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defaultThemeVersion="124226"/>
  <mc:AlternateContent xmlns:mc="http://schemas.openxmlformats.org/markup-compatibility/2006">
    <mc:Choice Requires="x15">
      <x15ac:absPath xmlns:x15ac="http://schemas.microsoft.com/office/spreadsheetml/2010/11/ac" url="https://unproteccion-my.sharepoint.com/personal/jose_brito_unp_gov_co/Documents/PLANEACION/2024/ANTEPROYECTO 2025/documentos para anteproyecto 2025  mhcp/"/>
    </mc:Choice>
  </mc:AlternateContent>
  <xr:revisionPtr revIDLastSave="0" documentId="8_{2EBFEBD6-F8CD-42F2-B2F3-7221EBB8EA0D}" xr6:coauthVersionLast="47" xr6:coauthVersionMax="47" xr10:uidLastSave="{00000000-0000-0000-0000-000000000000}"/>
  <bookViews>
    <workbookView xWindow="-120" yWindow="-120" windowWidth="29040" windowHeight="15840" tabRatio="922" xr2:uid="{00000000-000D-0000-FFFF-FFFF00000000}"/>
  </bookViews>
  <sheets>
    <sheet name="PRESUPUESTO T+1 " sheetId="46" r:id="rId1"/>
    <sheet name="Hoja2" sheetId="90" state="hidden" r:id="rId2"/>
    <sheet name="GASTOS DE PERSONAL" sheetId="85" r:id="rId3"/>
    <sheet name="SERVICIOS PERSONALES INDIRECTOS" sheetId="87" r:id="rId4"/>
    <sheet name="ACTIVOS FIJOS" sheetId="53" r:id="rId5"/>
    <sheet name="ACTIVOS NO PRODUCIDOS" sheetId="80" state="hidden" r:id="rId6"/>
    <sheet name="MATERIALES Y SUMINISTROS" sheetId="74" r:id="rId7"/>
    <sheet name="ADQUISICIÓN DE SERVICIOS" sheetId="76" r:id="rId8"/>
    <sheet name="HOMBRES DE PROTECCIÓN Y VEHICUL" sheetId="88" r:id="rId9"/>
    <sheet name="VIÁTICOS,GASTOS DE VIAJE,TIQUET" sheetId="82" r:id="rId10"/>
    <sheet name="SERVICIOS PÚBLICOS." sheetId="93" r:id="rId11"/>
    <sheet name="APOYOS DE PROTEC Y ENFOQUE DIF " sheetId="81" r:id="rId12"/>
    <sheet name="SENTENCIAS Y CONCILIACIONES" sheetId="77" r:id="rId13"/>
    <sheet name="GASTOS DE COMERCIALIZAC Y PROD" sheetId="78" r:id="rId14"/>
    <sheet name="GASTOS POR TRIBUTOS, MULTAS, SA" sheetId="92" r:id="rId15"/>
    <sheet name="SERVICIO A LA DEUDA PUBLICA" sheetId="89" r:id="rId16"/>
    <sheet name="GASTOS DE INVERSIÓN" sheetId="86" r:id="rId17"/>
    <sheet name="INSTRUCTIVO" sheetId="71" r:id="rId18"/>
  </sheets>
  <externalReferences>
    <externalReference r:id="rId19"/>
  </externalReferences>
  <definedNames>
    <definedName name="_xlnm._FilterDatabase" localSheetId="0" hidden="1">'PRESUPUESTO T+1 '!$A$12:$P$101</definedName>
    <definedName name="_xlnm._FilterDatabase" localSheetId="10" hidden="1">'SERVICIOS PÚBLICOS.'!$A$4:$T$213</definedName>
    <definedName name="_xlnm.Print_Area" localSheetId="4">'ACTIVOS FIJOS'!$A$3:$J$58</definedName>
    <definedName name="_xlnm.Print_Area" localSheetId="5">'ACTIVOS NO PRODUCIDOS'!$A$3:$K$23</definedName>
    <definedName name="_xlnm.Print_Area" localSheetId="7">'ADQUISICIÓN DE SERVICIOS'!$A$3:$J$68</definedName>
    <definedName name="_xlnm.Print_Area" localSheetId="11">'APOYOS DE PROTEC Y ENFOQUE DIF '!$A$3:$J$55</definedName>
    <definedName name="_xlnm.Print_Area" localSheetId="13">'GASTOS DE COMERCIALIZAC Y PROD'!$A$3:$I$19</definedName>
    <definedName name="_xlnm.Print_Area" localSheetId="16">'GASTOS DE INVERSIÓN'!$A$1:$E$12</definedName>
    <definedName name="_xlnm.Print_Area" localSheetId="14">'GASTOS POR TRIBUTOS, MULTAS, SA'!$A$3:$H$29</definedName>
    <definedName name="_xlnm.Print_Area" localSheetId="8">'HOMBRES DE PROTECCIÓN Y VEHICUL'!$A$3:$K$30</definedName>
    <definedName name="_xlnm.Print_Area" localSheetId="6">'MATERIALES Y SUMINISTROS'!$B$3:$K$79</definedName>
    <definedName name="_xlnm.Print_Area" localSheetId="0">'PRESUPUESTO T+1 '!$A$1:$K$115</definedName>
    <definedName name="_xlnm.Print_Area" localSheetId="12">'SENTENCIAS Y CONCILIACIONES'!$A$3:$H$29</definedName>
    <definedName name="_xlnm.Print_Area" localSheetId="3">'SERVICIOS PERSONALES INDIRECTOS'!$B$3:$J$53</definedName>
    <definedName name="_xlnm.Print_Area" localSheetId="10">'SERVICIOS PÚBLICOS.'!$A$3:$T$225</definedName>
    <definedName name="_xlnm.Print_Area" localSheetId="9">'VIÁTICOS,GASTOS DE VIAJE,TIQUET'!$A$3:$L$73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127" i="46" l="1"/>
  <c r="H128" i="46"/>
  <c r="H129" i="46"/>
  <c r="H130" i="46"/>
  <c r="H131" i="46"/>
  <c r="H132" i="46"/>
  <c r="H133" i="46"/>
  <c r="H126" i="46"/>
  <c r="C9" i="86" l="1"/>
  <c r="D9" i="86"/>
  <c r="K49" i="76" l="1"/>
  <c r="K50" i="76"/>
  <c r="K48" i="76"/>
  <c r="K47" i="76"/>
  <c r="K46" i="76"/>
  <c r="K44" i="76"/>
  <c r="K45" i="76"/>
  <c r="K43" i="76"/>
  <c r="J43" i="76"/>
  <c r="F79" i="46" l="1"/>
  <c r="F80" i="46"/>
  <c r="F81" i="46"/>
  <c r="M81" i="46"/>
  <c r="M80" i="46"/>
  <c r="D38" i="46"/>
  <c r="D37" i="46" s="1"/>
  <c r="D77" i="46"/>
  <c r="D29" i="46"/>
  <c r="F16" i="46"/>
  <c r="H16" i="46"/>
  <c r="F17" i="46"/>
  <c r="H17" i="46"/>
  <c r="F31" i="82" l="1"/>
  <c r="H28" i="82"/>
  <c r="H27" i="82"/>
  <c r="H38" i="87"/>
  <c r="G52" i="76" l="1"/>
  <c r="I59" i="76" l="1"/>
  <c r="J58" i="76"/>
  <c r="I57" i="76"/>
  <c r="J5" i="81"/>
  <c r="J6" i="81"/>
  <c r="J7" i="81"/>
  <c r="J8" i="81"/>
  <c r="J9" i="81"/>
  <c r="J10" i="81"/>
  <c r="J11" i="81"/>
  <c r="J12" i="81"/>
  <c r="J13" i="81"/>
  <c r="J14" i="81"/>
  <c r="J17" i="81"/>
  <c r="J18" i="81"/>
  <c r="J19" i="81"/>
  <c r="J20" i="81"/>
  <c r="J21" i="81"/>
  <c r="J22" i="81"/>
  <c r="J23" i="81"/>
  <c r="J24" i="81"/>
  <c r="J25" i="81"/>
  <c r="J26" i="81"/>
  <c r="J29" i="81"/>
  <c r="J30" i="81"/>
  <c r="J31" i="81"/>
  <c r="J32" i="81"/>
  <c r="J33" i="81"/>
  <c r="J34" i="81"/>
  <c r="J35" i="81"/>
  <c r="J36" i="81"/>
  <c r="J37" i="81"/>
  <c r="J38" i="81"/>
  <c r="J41" i="81"/>
  <c r="J42" i="81"/>
  <c r="J43" i="81"/>
  <c r="I40" i="81"/>
  <c r="I32" i="81"/>
  <c r="I28" i="81"/>
  <c r="I21" i="81"/>
  <c r="I20" i="81"/>
  <c r="I9" i="81"/>
  <c r="I10" i="81"/>
  <c r="I11" i="81"/>
  <c r="I12" i="81"/>
  <c r="I13" i="81"/>
  <c r="I14" i="81"/>
  <c r="I8" i="81"/>
  <c r="J45" i="81"/>
  <c r="J46" i="81"/>
  <c r="J47" i="81"/>
  <c r="J44" i="81"/>
  <c r="I44" i="81"/>
  <c r="I45" i="81"/>
  <c r="J52" i="81" l="1"/>
  <c r="I43" i="81"/>
  <c r="I46" i="81"/>
  <c r="I42" i="81"/>
  <c r="J65" i="76"/>
  <c r="I64" i="76"/>
  <c r="M76" i="46"/>
  <c r="I45" i="76"/>
  <c r="I46" i="76"/>
  <c r="I47" i="76"/>
  <c r="J50" i="76"/>
  <c r="J52" i="76" l="1"/>
  <c r="I48" i="76" l="1"/>
  <c r="J45" i="76" l="1"/>
  <c r="D222" i="93"/>
  <c r="J9" i="88"/>
  <c r="J40" i="76"/>
  <c r="I40" i="76"/>
  <c r="M74" i="46"/>
  <c r="O73" i="46"/>
  <c r="M73" i="46"/>
  <c r="J22" i="76"/>
  <c r="L67" i="82"/>
  <c r="J62" i="82"/>
  <c r="L62" i="82" s="1"/>
  <c r="L61" i="82"/>
  <c r="L66" i="82"/>
  <c r="M67" i="82"/>
  <c r="I28" i="76"/>
  <c r="I23" i="76"/>
  <c r="I22" i="76"/>
  <c r="D218" i="93"/>
  <c r="C223" i="93"/>
  <c r="J16" i="76"/>
  <c r="I11" i="76"/>
  <c r="I16" i="76"/>
  <c r="I68" i="76"/>
  <c r="J68" i="76" s="1"/>
  <c r="I67" i="76"/>
  <c r="J67" i="76" s="1"/>
  <c r="J59" i="76"/>
  <c r="J57" i="76"/>
  <c r="J56" i="76"/>
  <c r="I56" i="76"/>
  <c r="I55" i="76"/>
  <c r="J55" i="76" s="1"/>
  <c r="I54" i="76"/>
  <c r="J54" i="76" s="1"/>
  <c r="I53" i="76"/>
  <c r="J53" i="76" s="1"/>
  <c r="J47" i="76"/>
  <c r="J46" i="76"/>
  <c r="I42" i="76"/>
  <c r="I41" i="76"/>
  <c r="I38" i="76"/>
  <c r="I36" i="76"/>
  <c r="I35" i="76"/>
  <c r="I26" i="76"/>
  <c r="J26" i="76" s="1"/>
  <c r="J25" i="76"/>
  <c r="I25" i="76"/>
  <c r="L71" i="74"/>
  <c r="M62" i="82" l="1"/>
  <c r="K64" i="74"/>
  <c r="K46" i="74"/>
  <c r="J52" i="74"/>
  <c r="K47" i="74"/>
  <c r="K45" i="74"/>
  <c r="K44" i="74"/>
  <c r="J45" i="74" l="1"/>
  <c r="J44" i="74"/>
  <c r="J34" i="74"/>
  <c r="K33" i="74"/>
  <c r="J31" i="74"/>
  <c r="J32" i="74"/>
  <c r="J35" i="74"/>
  <c r="J41" i="74"/>
  <c r="J42" i="74"/>
  <c r="J43" i="74"/>
  <c r="J46" i="74"/>
  <c r="J53" i="74"/>
  <c r="K53" i="74" s="1"/>
  <c r="J54" i="74"/>
  <c r="K54" i="74"/>
  <c r="J55" i="74"/>
  <c r="K55" i="74"/>
  <c r="J56" i="74"/>
  <c r="K56" i="74"/>
  <c r="J57" i="74"/>
  <c r="K57" i="74" s="1"/>
  <c r="J58" i="74"/>
  <c r="K58" i="74"/>
  <c r="K59" i="74"/>
  <c r="K60" i="74"/>
  <c r="K61" i="74"/>
  <c r="K62" i="74"/>
  <c r="J63" i="74"/>
  <c r="K63" i="74"/>
  <c r="J65" i="74"/>
  <c r="K65" i="74" s="1"/>
  <c r="J66" i="74"/>
  <c r="K66" i="74"/>
  <c r="J67" i="74"/>
  <c r="K67" i="74"/>
  <c r="J68" i="74"/>
  <c r="K68" i="74"/>
  <c r="J69" i="74"/>
  <c r="K69" i="74" s="1"/>
  <c r="J70" i="74"/>
  <c r="K70" i="74"/>
  <c r="J71" i="74"/>
  <c r="K71" i="74"/>
  <c r="J72" i="74"/>
  <c r="K72" i="74"/>
  <c r="J73" i="74"/>
  <c r="K73" i="74" s="1"/>
  <c r="J74" i="74"/>
  <c r="K74" i="74"/>
  <c r="K32" i="74"/>
  <c r="K34" i="74"/>
  <c r="J38" i="74"/>
  <c r="J36" i="74"/>
  <c r="K31" i="74"/>
  <c r="J26" i="74"/>
  <c r="K26" i="74" s="1"/>
  <c r="J25" i="74"/>
  <c r="K25" i="74" s="1"/>
  <c r="J41" i="53"/>
  <c r="J38" i="53"/>
  <c r="J36" i="53"/>
  <c r="J31" i="53"/>
  <c r="J26" i="53"/>
  <c r="J25" i="53"/>
  <c r="J15" i="53"/>
  <c r="I38" i="53"/>
  <c r="I36" i="53"/>
  <c r="I26" i="53"/>
  <c r="I25" i="53"/>
  <c r="I31" i="53"/>
  <c r="I15" i="53"/>
  <c r="D27" i="46"/>
  <c r="J43" i="53" l="1"/>
  <c r="H24" i="82"/>
  <c r="F37" i="82"/>
  <c r="H37" i="82"/>
  <c r="G45" i="87" l="1"/>
  <c r="G46" i="87"/>
  <c r="G47" i="87"/>
  <c r="G48" i="87"/>
  <c r="G49" i="87"/>
  <c r="G50" i="87"/>
  <c r="G51" i="87"/>
  <c r="G44" i="87"/>
  <c r="E106" i="46"/>
  <c r="F51" i="46" l="1"/>
  <c r="F49" i="46"/>
  <c r="F46" i="46"/>
  <c r="F45" i="46"/>
  <c r="F44" i="46"/>
  <c r="F43" i="46"/>
  <c r="F38" i="46"/>
  <c r="F36" i="46"/>
  <c r="F35" i="46"/>
  <c r="F28" i="46"/>
  <c r="F27" i="46"/>
  <c r="F21" i="46"/>
  <c r="F20" i="46"/>
  <c r="F19" i="46"/>
  <c r="F100" i="46"/>
  <c r="F99" i="46"/>
  <c r="F97" i="46"/>
  <c r="F95" i="46"/>
  <c r="F92" i="46"/>
  <c r="F91" i="46"/>
  <c r="F90" i="46"/>
  <c r="F89" i="46"/>
  <c r="F87" i="46"/>
  <c r="F85" i="46"/>
  <c r="F77" i="46"/>
  <c r="F76" i="46"/>
  <c r="F75" i="46"/>
  <c r="O77" i="46" s="1"/>
  <c r="F74" i="46"/>
  <c r="F73" i="46"/>
  <c r="F72" i="46"/>
  <c r="F70" i="46"/>
  <c r="F69" i="46"/>
  <c r="F68" i="46"/>
  <c r="F67" i="46"/>
  <c r="F66" i="46"/>
  <c r="F65" i="46"/>
  <c r="F62" i="46"/>
  <c r="F61" i="46"/>
  <c r="F59" i="46"/>
  <c r="F58" i="46"/>
  <c r="F57" i="46"/>
  <c r="F56" i="46"/>
  <c r="F55" i="46"/>
  <c r="F50" i="46"/>
  <c r="F48" i="46"/>
  <c r="F47" i="46"/>
  <c r="F42" i="46"/>
  <c r="F41" i="46"/>
  <c r="F40" i="46"/>
  <c r="F39" i="46"/>
  <c r="F34" i="46"/>
  <c r="F33" i="46"/>
  <c r="F32" i="46"/>
  <c r="F31" i="46"/>
  <c r="F30" i="46"/>
  <c r="F25" i="46"/>
  <c r="F24" i="46"/>
  <c r="F23" i="46"/>
  <c r="F22" i="46"/>
  <c r="F18" i="46"/>
  <c r="D96" i="46"/>
  <c r="F96" i="46" s="1"/>
  <c r="D94" i="46"/>
  <c r="F94" i="46" s="1"/>
  <c r="D71" i="46"/>
  <c r="F71" i="46" s="1"/>
  <c r="D64" i="46"/>
  <c r="F64" i="46" s="1"/>
  <c r="D60" i="46"/>
  <c r="F60" i="46" s="1"/>
  <c r="D54" i="46"/>
  <c r="F54" i="46" s="1"/>
  <c r="F84" i="46" l="1"/>
  <c r="D53" i="46"/>
  <c r="F53" i="46" s="1"/>
  <c r="F29" i="46"/>
  <c r="F37" i="46"/>
  <c r="F86" i="46"/>
  <c r="D63" i="46"/>
  <c r="L19" i="88"/>
  <c r="F63" i="46" l="1"/>
  <c r="L21" i="88"/>
  <c r="F83" i="46" l="1"/>
  <c r="E98" i="46"/>
  <c r="E101" i="46" l="1"/>
  <c r="E41" i="53"/>
  <c r="L33" i="74" l="1"/>
  <c r="E11" i="89" l="1"/>
  <c r="F26" i="82" l="1"/>
  <c r="F25" i="82"/>
  <c r="F56" i="82" l="1"/>
  <c r="F55" i="82"/>
  <c r="F54" i="82"/>
  <c r="F53" i="82"/>
  <c r="F52" i="82"/>
  <c r="F51" i="82"/>
  <c r="F50" i="82"/>
  <c r="F49" i="82"/>
  <c r="F48" i="82"/>
  <c r="H47" i="82"/>
  <c r="F47" i="82" s="1"/>
  <c r="H46" i="82"/>
  <c r="F46" i="82" s="1"/>
  <c r="H45" i="82"/>
  <c r="F45" i="82" s="1"/>
  <c r="H44" i="82"/>
  <c r="F44" i="82" s="1"/>
  <c r="H43" i="82"/>
  <c r="F43" i="82" s="1"/>
  <c r="H42" i="82"/>
  <c r="F42" i="82" s="1"/>
  <c r="H41" i="82"/>
  <c r="F41" i="82" s="1"/>
  <c r="H40" i="82"/>
  <c r="F40" i="82" s="1"/>
  <c r="H39" i="82"/>
  <c r="F39" i="82" s="1"/>
  <c r="F23" i="82"/>
  <c r="H22" i="82"/>
  <c r="F21" i="82"/>
  <c r="F20" i="82"/>
  <c r="F19" i="82"/>
  <c r="F18" i="82"/>
  <c r="F17" i="82"/>
  <c r="F16" i="82"/>
  <c r="H15" i="82"/>
  <c r="H14" i="82"/>
  <c r="F14" i="82" s="1"/>
  <c r="H13" i="82"/>
  <c r="F12" i="82"/>
  <c r="H11" i="82"/>
  <c r="F11" i="82" s="1"/>
  <c r="H10" i="82"/>
  <c r="F10" i="82" s="1"/>
  <c r="H9" i="82"/>
  <c r="F9" i="82" s="1"/>
  <c r="H8" i="82"/>
  <c r="F8" i="82" s="1"/>
  <c r="H7" i="82"/>
  <c r="F7" i="82" s="1"/>
  <c r="F6" i="82"/>
  <c r="N212" i="93" l="1"/>
  <c r="M212" i="93"/>
  <c r="L212" i="93"/>
  <c r="K212" i="93"/>
  <c r="I212" i="93"/>
  <c r="H212" i="93"/>
  <c r="G212" i="93"/>
  <c r="F212" i="93"/>
  <c r="E212" i="93"/>
  <c r="D212" i="93"/>
  <c r="C212" i="93"/>
  <c r="O211" i="93"/>
  <c r="O210" i="93"/>
  <c r="O209" i="93"/>
  <c r="O208" i="93"/>
  <c r="B208" i="93"/>
  <c r="O207" i="93"/>
  <c r="O206" i="93"/>
  <c r="O212" i="93" s="1"/>
  <c r="J206" i="93"/>
  <c r="J212" i="93" s="1"/>
  <c r="N204" i="93"/>
  <c r="L204" i="93"/>
  <c r="J204" i="93"/>
  <c r="G204" i="93"/>
  <c r="F204" i="93"/>
  <c r="E204" i="93"/>
  <c r="O203" i="93"/>
  <c r="O202" i="93"/>
  <c r="O201" i="93"/>
  <c r="O200" i="93"/>
  <c r="B200" i="93"/>
  <c r="O199" i="93"/>
  <c r="N198" i="93"/>
  <c r="M198" i="93"/>
  <c r="M204" i="93" s="1"/>
  <c r="L198" i="93"/>
  <c r="K198" i="93"/>
  <c r="K204" i="93" s="1"/>
  <c r="J198" i="93"/>
  <c r="I198" i="93"/>
  <c r="I204" i="93" s="1"/>
  <c r="H198" i="93"/>
  <c r="H204" i="93" s="1"/>
  <c r="G198" i="93"/>
  <c r="F198" i="93"/>
  <c r="D198" i="93"/>
  <c r="O198" i="93" s="1"/>
  <c r="C198" i="93"/>
  <c r="C204" i="93" s="1"/>
  <c r="N196" i="93"/>
  <c r="M196" i="93"/>
  <c r="L196" i="93"/>
  <c r="K196" i="93"/>
  <c r="J196" i="93"/>
  <c r="I196" i="93"/>
  <c r="H196" i="93"/>
  <c r="G196" i="93"/>
  <c r="F196" i="93"/>
  <c r="E196" i="93"/>
  <c r="D196" i="93"/>
  <c r="C196" i="93"/>
  <c r="O195" i="93"/>
  <c r="O194" i="93"/>
  <c r="O193" i="93"/>
  <c r="O192" i="93"/>
  <c r="B192" i="93"/>
  <c r="O191" i="93"/>
  <c r="O190" i="93"/>
  <c r="O196" i="93" s="1"/>
  <c r="N188" i="93"/>
  <c r="M188" i="93"/>
  <c r="L188" i="93"/>
  <c r="K188" i="93"/>
  <c r="J188" i="93"/>
  <c r="I188" i="93"/>
  <c r="H188" i="93"/>
  <c r="G188" i="93"/>
  <c r="F188" i="93"/>
  <c r="E188" i="93"/>
  <c r="D188" i="93"/>
  <c r="C188" i="93"/>
  <c r="O187" i="93"/>
  <c r="O186" i="93"/>
  <c r="O185" i="93"/>
  <c r="O184" i="93"/>
  <c r="B184" i="93"/>
  <c r="O183" i="93"/>
  <c r="O182" i="93"/>
  <c r="N180" i="93"/>
  <c r="M180" i="93"/>
  <c r="L180" i="93"/>
  <c r="K180" i="93"/>
  <c r="J180" i="93"/>
  <c r="I180" i="93"/>
  <c r="H180" i="93"/>
  <c r="G180" i="93"/>
  <c r="F180" i="93"/>
  <c r="E180" i="93"/>
  <c r="D180" i="93"/>
  <c r="C180" i="93"/>
  <c r="O179" i="93"/>
  <c r="O178" i="93"/>
  <c r="O177" i="93"/>
  <c r="O176" i="93"/>
  <c r="B176" i="93"/>
  <c r="O175" i="93"/>
  <c r="O174" i="93"/>
  <c r="O180" i="93" s="1"/>
  <c r="N172" i="93"/>
  <c r="M172" i="93"/>
  <c r="L172" i="93"/>
  <c r="K172" i="93"/>
  <c r="J172" i="93"/>
  <c r="I172" i="93"/>
  <c r="H172" i="93"/>
  <c r="G172" i="93"/>
  <c r="F172" i="93"/>
  <c r="E172" i="93"/>
  <c r="D172" i="93"/>
  <c r="C172" i="93"/>
  <c r="O171" i="93"/>
  <c r="O170" i="93"/>
  <c r="O169" i="93"/>
  <c r="O168" i="93"/>
  <c r="B168" i="93"/>
  <c r="O167" i="93"/>
  <c r="O166" i="93"/>
  <c r="O172" i="93" s="1"/>
  <c r="N164" i="93"/>
  <c r="M164" i="93"/>
  <c r="L164" i="93"/>
  <c r="K164" i="93"/>
  <c r="J164" i="93"/>
  <c r="I164" i="93"/>
  <c r="H164" i="93"/>
  <c r="G164" i="93"/>
  <c r="F164" i="93"/>
  <c r="E164" i="93"/>
  <c r="D164" i="93"/>
  <c r="C164" i="93"/>
  <c r="O163" i="93"/>
  <c r="O162" i="93"/>
  <c r="O161" i="93"/>
  <c r="O160" i="93"/>
  <c r="B160" i="93"/>
  <c r="O159" i="93"/>
  <c r="O158" i="93"/>
  <c r="O164" i="93" s="1"/>
  <c r="M156" i="93"/>
  <c r="L156" i="93"/>
  <c r="G156" i="93"/>
  <c r="F156" i="93"/>
  <c r="D156" i="93"/>
  <c r="O155" i="93"/>
  <c r="O154" i="93"/>
  <c r="O153" i="93"/>
  <c r="O152" i="93"/>
  <c r="B152" i="93"/>
  <c r="N151" i="93"/>
  <c r="N156" i="93" s="1"/>
  <c r="L151" i="93"/>
  <c r="K151" i="93"/>
  <c r="K156" i="93" s="1"/>
  <c r="J151" i="93"/>
  <c r="I151" i="93"/>
  <c r="H151" i="93"/>
  <c r="G151" i="93"/>
  <c r="F151" i="93"/>
  <c r="E151" i="93"/>
  <c r="E156" i="93" s="1"/>
  <c r="D151" i="93"/>
  <c r="C151" i="93"/>
  <c r="C156" i="93" s="1"/>
  <c r="N150" i="93"/>
  <c r="L150" i="93"/>
  <c r="K150" i="93"/>
  <c r="J150" i="93"/>
  <c r="J156" i="93" s="1"/>
  <c r="I150" i="93"/>
  <c r="I156" i="93" s="1"/>
  <c r="H150" i="93"/>
  <c r="H156" i="93" s="1"/>
  <c r="G150" i="93"/>
  <c r="F150" i="93"/>
  <c r="E150" i="93"/>
  <c r="D150" i="93"/>
  <c r="O150" i="93" s="1"/>
  <c r="C150" i="93"/>
  <c r="N148" i="93"/>
  <c r="M148" i="93"/>
  <c r="L148" i="93"/>
  <c r="K148" i="93"/>
  <c r="J148" i="93"/>
  <c r="I148" i="93"/>
  <c r="H148" i="93"/>
  <c r="G148" i="93"/>
  <c r="F148" i="93"/>
  <c r="E148" i="93"/>
  <c r="D148" i="93"/>
  <c r="C148" i="93"/>
  <c r="O147" i="93"/>
  <c r="O146" i="93"/>
  <c r="O145" i="93"/>
  <c r="O144" i="93"/>
  <c r="B144" i="93"/>
  <c r="O143" i="93"/>
  <c r="O142" i="93"/>
  <c r="O148" i="93" s="1"/>
  <c r="N140" i="93"/>
  <c r="M140" i="93"/>
  <c r="L140" i="93"/>
  <c r="K140" i="93"/>
  <c r="J140" i="93"/>
  <c r="I140" i="93"/>
  <c r="H140" i="93"/>
  <c r="G140" i="93"/>
  <c r="F140" i="93"/>
  <c r="E140" i="93"/>
  <c r="D140" i="93"/>
  <c r="C140" i="93"/>
  <c r="O139" i="93"/>
  <c r="O138" i="93"/>
  <c r="O137" i="93"/>
  <c r="O136" i="93"/>
  <c r="B136" i="93"/>
  <c r="O135" i="93"/>
  <c r="O140" i="93" s="1"/>
  <c r="O134" i="93"/>
  <c r="N132" i="93"/>
  <c r="L132" i="93"/>
  <c r="K132" i="93"/>
  <c r="J132" i="93"/>
  <c r="I132" i="93"/>
  <c r="H132" i="93"/>
  <c r="G132" i="93"/>
  <c r="F132" i="93"/>
  <c r="E132" i="93"/>
  <c r="D132" i="93"/>
  <c r="O131" i="93"/>
  <c r="O130" i="93"/>
  <c r="O128" i="93"/>
  <c r="B128" i="93"/>
  <c r="O127" i="93"/>
  <c r="N126" i="93"/>
  <c r="M126" i="93"/>
  <c r="M132" i="93" s="1"/>
  <c r="D126" i="93"/>
  <c r="C126" i="93"/>
  <c r="C132" i="93" s="1"/>
  <c r="N124" i="93"/>
  <c r="M124" i="93"/>
  <c r="L124" i="93"/>
  <c r="K124" i="93"/>
  <c r="J124" i="93"/>
  <c r="I124" i="93"/>
  <c r="H124" i="93"/>
  <c r="G124" i="93"/>
  <c r="F124" i="93"/>
  <c r="E124" i="93"/>
  <c r="D124" i="93"/>
  <c r="C124" i="93"/>
  <c r="O123" i="93"/>
  <c r="O122" i="93"/>
  <c r="O121" i="93"/>
  <c r="O120" i="93"/>
  <c r="B120" i="93"/>
  <c r="O119" i="93"/>
  <c r="O124" i="93" s="1"/>
  <c r="O118" i="93"/>
  <c r="N116" i="93"/>
  <c r="M116" i="93"/>
  <c r="L116" i="93"/>
  <c r="K116" i="93"/>
  <c r="J116" i="93"/>
  <c r="I116" i="93"/>
  <c r="H116" i="93"/>
  <c r="G116" i="93"/>
  <c r="F116" i="93"/>
  <c r="E116" i="93"/>
  <c r="D116" i="93"/>
  <c r="C116" i="93"/>
  <c r="O115" i="93"/>
  <c r="O114" i="93"/>
  <c r="O113" i="93"/>
  <c r="O112" i="93"/>
  <c r="B112" i="93"/>
  <c r="O111" i="93"/>
  <c r="O110" i="93"/>
  <c r="O116" i="93" s="1"/>
  <c r="N108" i="93"/>
  <c r="M108" i="93"/>
  <c r="L108" i="93"/>
  <c r="K108" i="93"/>
  <c r="J108" i="93"/>
  <c r="I108" i="93"/>
  <c r="H108" i="93"/>
  <c r="G108" i="93"/>
  <c r="F108" i="93"/>
  <c r="E108" i="93"/>
  <c r="D108" i="93"/>
  <c r="C108" i="93"/>
  <c r="O107" i="93"/>
  <c r="O106" i="93"/>
  <c r="O105" i="93"/>
  <c r="O104" i="93"/>
  <c r="B104" i="93"/>
  <c r="O103" i="93"/>
  <c r="O102" i="93"/>
  <c r="N100" i="93"/>
  <c r="M100" i="93"/>
  <c r="L100" i="93"/>
  <c r="K100" i="93"/>
  <c r="J100" i="93"/>
  <c r="I100" i="93"/>
  <c r="H100" i="93"/>
  <c r="G100" i="93"/>
  <c r="F100" i="93"/>
  <c r="E100" i="93"/>
  <c r="D100" i="93"/>
  <c r="C100" i="93"/>
  <c r="O99" i="93"/>
  <c r="O98" i="93"/>
  <c r="O97" i="93"/>
  <c r="O96" i="93"/>
  <c r="B96" i="93"/>
  <c r="O95" i="93"/>
  <c r="O94" i="93"/>
  <c r="O100" i="93" s="1"/>
  <c r="M92" i="93"/>
  <c r="L92" i="93"/>
  <c r="K92" i="93"/>
  <c r="I92" i="93"/>
  <c r="G92" i="93"/>
  <c r="E92" i="93"/>
  <c r="D92" i="93"/>
  <c r="C92" i="93"/>
  <c r="O91" i="93"/>
  <c r="O90" i="93"/>
  <c r="O89" i="93"/>
  <c r="O88" i="93"/>
  <c r="B88" i="93"/>
  <c r="O87" i="93"/>
  <c r="N86" i="93"/>
  <c r="N92" i="93" s="1"/>
  <c r="M86" i="93"/>
  <c r="L86" i="93"/>
  <c r="K86" i="93"/>
  <c r="J86" i="93"/>
  <c r="J92" i="93" s="1"/>
  <c r="I86" i="93"/>
  <c r="H86" i="93"/>
  <c r="H92" i="93" s="1"/>
  <c r="G86" i="93"/>
  <c r="F86" i="93"/>
  <c r="F92" i="93" s="1"/>
  <c r="E86" i="93"/>
  <c r="O86" i="93" s="1"/>
  <c r="D86" i="93"/>
  <c r="C86" i="93"/>
  <c r="N84" i="93"/>
  <c r="M84" i="93"/>
  <c r="L84" i="93"/>
  <c r="K84" i="93"/>
  <c r="J84" i="93"/>
  <c r="I84" i="93"/>
  <c r="H84" i="93"/>
  <c r="G84" i="93"/>
  <c r="F84" i="93"/>
  <c r="E84" i="93"/>
  <c r="D84" i="93"/>
  <c r="C84" i="93"/>
  <c r="O83" i="93"/>
  <c r="O82" i="93"/>
  <c r="O81" i="93"/>
  <c r="O80" i="93"/>
  <c r="B80" i="93"/>
  <c r="O79" i="93"/>
  <c r="O78" i="93"/>
  <c r="O84" i="93" s="1"/>
  <c r="N76" i="93"/>
  <c r="M76" i="93"/>
  <c r="L76" i="93"/>
  <c r="K76" i="93"/>
  <c r="J76" i="93"/>
  <c r="I76" i="93"/>
  <c r="H76" i="93"/>
  <c r="G76" i="93"/>
  <c r="F76" i="93"/>
  <c r="E76" i="93"/>
  <c r="D76" i="93"/>
  <c r="C76" i="93"/>
  <c r="O75" i="93"/>
  <c r="O74" i="93"/>
  <c r="O73" i="93"/>
  <c r="O72" i="93"/>
  <c r="B72" i="93"/>
  <c r="O71" i="93"/>
  <c r="O70" i="93"/>
  <c r="O76" i="93" s="1"/>
  <c r="N68" i="93"/>
  <c r="M68" i="93"/>
  <c r="L68" i="93"/>
  <c r="K68" i="93"/>
  <c r="J68" i="93"/>
  <c r="I68" i="93"/>
  <c r="H68" i="93"/>
  <c r="G68" i="93"/>
  <c r="F68" i="93"/>
  <c r="E68" i="93"/>
  <c r="D68" i="93"/>
  <c r="C68" i="93"/>
  <c r="O67" i="93"/>
  <c r="O66" i="93"/>
  <c r="O65" i="93"/>
  <c r="O64" i="93"/>
  <c r="B64" i="93"/>
  <c r="O63" i="93"/>
  <c r="O62" i="93"/>
  <c r="O68" i="93" s="1"/>
  <c r="C62" i="93"/>
  <c r="N60" i="93"/>
  <c r="M60" i="93"/>
  <c r="L60" i="93"/>
  <c r="K60" i="93"/>
  <c r="J60" i="93"/>
  <c r="I60" i="93"/>
  <c r="H60" i="93"/>
  <c r="G60" i="93"/>
  <c r="F60" i="93"/>
  <c r="E60" i="93"/>
  <c r="D60" i="93"/>
  <c r="C60" i="93"/>
  <c r="O59" i="93"/>
  <c r="O58" i="93"/>
  <c r="O57" i="93"/>
  <c r="O56" i="93"/>
  <c r="B56" i="93"/>
  <c r="O55" i="93"/>
  <c r="O54" i="93"/>
  <c r="O60" i="93" s="1"/>
  <c r="N52" i="93"/>
  <c r="M52" i="93"/>
  <c r="L52" i="93"/>
  <c r="K52" i="93"/>
  <c r="J52" i="93"/>
  <c r="I52" i="93"/>
  <c r="H52" i="93"/>
  <c r="G52" i="93"/>
  <c r="F52" i="93"/>
  <c r="E52" i="93"/>
  <c r="C52" i="93"/>
  <c r="O51" i="93"/>
  <c r="O50" i="93"/>
  <c r="O49" i="93"/>
  <c r="O48" i="93"/>
  <c r="B48" i="93"/>
  <c r="O47" i="93"/>
  <c r="D47" i="93"/>
  <c r="D52" i="93" s="1"/>
  <c r="O46" i="93"/>
  <c r="O52" i="93" s="1"/>
  <c r="N44" i="93"/>
  <c r="M44" i="93"/>
  <c r="L44" i="93"/>
  <c r="K44" i="93"/>
  <c r="J44" i="93"/>
  <c r="I44" i="93"/>
  <c r="H44" i="93"/>
  <c r="G44" i="93"/>
  <c r="F44" i="93"/>
  <c r="E44" i="93"/>
  <c r="C44" i="93"/>
  <c r="O43" i="93"/>
  <c r="O42" i="93"/>
  <c r="O41" i="93"/>
  <c r="O40" i="93"/>
  <c r="B40" i="93"/>
  <c r="D39" i="93"/>
  <c r="D44" i="93" s="1"/>
  <c r="O38" i="93"/>
  <c r="N36" i="93"/>
  <c r="M36" i="93"/>
  <c r="L36" i="93"/>
  <c r="K36" i="93"/>
  <c r="J36" i="93"/>
  <c r="I36" i="93"/>
  <c r="H36" i="93"/>
  <c r="G36" i="93"/>
  <c r="F36" i="93"/>
  <c r="E36" i="93"/>
  <c r="D36" i="93"/>
  <c r="C36" i="93"/>
  <c r="O35" i="93"/>
  <c r="O34" i="93"/>
  <c r="O33" i="93"/>
  <c r="O32" i="93"/>
  <c r="B32" i="93"/>
  <c r="O31" i="93"/>
  <c r="O30" i="93"/>
  <c r="N28" i="93"/>
  <c r="D28" i="93"/>
  <c r="O27" i="93"/>
  <c r="O26" i="93"/>
  <c r="O25" i="93"/>
  <c r="O24" i="93"/>
  <c r="N24" i="93"/>
  <c r="M24" i="93"/>
  <c r="L24" i="93"/>
  <c r="K24" i="93"/>
  <c r="J24" i="93"/>
  <c r="I24" i="93"/>
  <c r="H24" i="93"/>
  <c r="G24" i="93"/>
  <c r="E24" i="93"/>
  <c r="C24" i="93"/>
  <c r="B24" i="93"/>
  <c r="N23" i="93"/>
  <c r="M23" i="93"/>
  <c r="L23" i="93"/>
  <c r="L28" i="93" s="1"/>
  <c r="K23" i="93"/>
  <c r="J23" i="93"/>
  <c r="I23" i="93"/>
  <c r="H23" i="93"/>
  <c r="F23" i="93"/>
  <c r="F28" i="93" s="1"/>
  <c r="E23" i="93"/>
  <c r="C23" i="93"/>
  <c r="N22" i="93"/>
  <c r="M22" i="93"/>
  <c r="M28" i="93" s="1"/>
  <c r="L22" i="93"/>
  <c r="K22" i="93"/>
  <c r="K28" i="93" s="1"/>
  <c r="J22" i="93"/>
  <c r="J28" i="93" s="1"/>
  <c r="I22" i="93"/>
  <c r="I28" i="93" s="1"/>
  <c r="H22" i="93"/>
  <c r="H28" i="93" s="1"/>
  <c r="G22" i="93"/>
  <c r="G28" i="93" s="1"/>
  <c r="F22" i="93"/>
  <c r="E22" i="93"/>
  <c r="E28" i="93" s="1"/>
  <c r="D22" i="93"/>
  <c r="C22" i="93"/>
  <c r="C28" i="93" s="1"/>
  <c r="N20" i="93"/>
  <c r="M20" i="93"/>
  <c r="L20" i="93"/>
  <c r="K20" i="93"/>
  <c r="J20" i="93"/>
  <c r="I20" i="93"/>
  <c r="H20" i="93"/>
  <c r="G20" i="93"/>
  <c r="F20" i="93"/>
  <c r="E20" i="93"/>
  <c r="D20" i="93"/>
  <c r="C20" i="93"/>
  <c r="O19" i="93"/>
  <c r="O18" i="93"/>
  <c r="O17" i="93"/>
  <c r="O16" i="93"/>
  <c r="B16" i="93"/>
  <c r="O15" i="93"/>
  <c r="O14" i="93"/>
  <c r="N12" i="93"/>
  <c r="N213" i="93" s="1"/>
  <c r="M12" i="93"/>
  <c r="M213" i="93" s="1"/>
  <c r="L12" i="93"/>
  <c r="L213" i="93" s="1"/>
  <c r="K12" i="93"/>
  <c r="J12" i="93"/>
  <c r="J213" i="93" s="1"/>
  <c r="I12" i="93"/>
  <c r="H12" i="93"/>
  <c r="H213" i="93" s="1"/>
  <c r="G12" i="93"/>
  <c r="F12" i="93"/>
  <c r="E12" i="93"/>
  <c r="E213" i="93" s="1"/>
  <c r="D12" i="93"/>
  <c r="C12" i="93"/>
  <c r="O11" i="93"/>
  <c r="O10" i="93"/>
  <c r="O9" i="93"/>
  <c r="O8" i="93"/>
  <c r="B8" i="93"/>
  <c r="O7" i="93"/>
  <c r="O6" i="93"/>
  <c r="O12" i="93" s="1"/>
  <c r="T4" i="93"/>
  <c r="P211" i="93" s="1"/>
  <c r="P30" i="93" l="1"/>
  <c r="P83" i="93"/>
  <c r="P135" i="93"/>
  <c r="P177" i="93"/>
  <c r="P102" i="93"/>
  <c r="P128" i="93"/>
  <c r="P10" i="93"/>
  <c r="P26" i="93"/>
  <c r="P58" i="93"/>
  <c r="P80" i="93"/>
  <c r="P87" i="93"/>
  <c r="P112" i="93"/>
  <c r="P136" i="93"/>
  <c r="P146" i="93"/>
  <c r="P154" i="93"/>
  <c r="P168" i="93"/>
  <c r="P184" i="93"/>
  <c r="P199" i="93"/>
  <c r="P9" i="93"/>
  <c r="P40" i="93"/>
  <c r="P91" i="93"/>
  <c r="P145" i="93"/>
  <c r="P183" i="93"/>
  <c r="P41" i="93"/>
  <c r="P107" i="93"/>
  <c r="P153" i="93"/>
  <c r="P15" i="93"/>
  <c r="P7" i="93"/>
  <c r="P71" i="93"/>
  <c r="P95" i="93"/>
  <c r="P155" i="93"/>
  <c r="P159" i="93"/>
  <c r="P185" i="93"/>
  <c r="P208" i="93"/>
  <c r="P25" i="93"/>
  <c r="P120" i="93"/>
  <c r="P152" i="93"/>
  <c r="P47" i="93"/>
  <c r="P14" i="93"/>
  <c r="P106" i="93"/>
  <c r="P203" i="93"/>
  <c r="P65" i="93"/>
  <c r="P43" i="93"/>
  <c r="P66" i="93"/>
  <c r="P137" i="93"/>
  <c r="P74" i="93"/>
  <c r="P97" i="93"/>
  <c r="P194" i="93"/>
  <c r="P11" i="93"/>
  <c r="P99" i="93"/>
  <c r="P122" i="93"/>
  <c r="P27" i="93"/>
  <c r="P33" i="93"/>
  <c r="P49" i="93"/>
  <c r="P59" i="93"/>
  <c r="P67" i="93"/>
  <c r="P113" i="93"/>
  <c r="P143" i="93"/>
  <c r="P175" i="93"/>
  <c r="P72" i="93"/>
  <c r="P104" i="93"/>
  <c r="P170" i="93"/>
  <c r="P209" i="93"/>
  <c r="P8" i="93"/>
  <c r="P17" i="93"/>
  <c r="P24" i="93"/>
  <c r="P34" i="93"/>
  <c r="P50" i="93"/>
  <c r="P82" i="93"/>
  <c r="P89" i="93"/>
  <c r="P96" i="93"/>
  <c r="P114" i="93"/>
  <c r="P119" i="93"/>
  <c r="P127" i="93"/>
  <c r="P139" i="93"/>
  <c r="P160" i="93"/>
  <c r="P171" i="93"/>
  <c r="P176" i="93"/>
  <c r="P187" i="93"/>
  <c r="P202" i="93"/>
  <c r="P19" i="93"/>
  <c r="P57" i="93"/>
  <c r="P167" i="93"/>
  <c r="P31" i="93"/>
  <c r="P75" i="93"/>
  <c r="P121" i="93"/>
  <c r="P163" i="93"/>
  <c r="P207" i="93"/>
  <c r="P42" i="93"/>
  <c r="P32" i="93"/>
  <c r="P48" i="93"/>
  <c r="P103" i="93"/>
  <c r="P16" i="93"/>
  <c r="P38" i="93"/>
  <c r="P55" i="93"/>
  <c r="P63" i="93"/>
  <c r="P81" i="93"/>
  <c r="P123" i="93"/>
  <c r="P169" i="93"/>
  <c r="P191" i="93"/>
  <c r="P88" i="93"/>
  <c r="P138" i="93"/>
  <c r="P186" i="93"/>
  <c r="P18" i="93"/>
  <c r="P35" i="93"/>
  <c r="P51" i="93"/>
  <c r="P56" i="93"/>
  <c r="P64" i="93"/>
  <c r="P73" i="93"/>
  <c r="P79" i="93"/>
  <c r="P90" i="93"/>
  <c r="P105" i="93"/>
  <c r="P111" i="93"/>
  <c r="P193" i="93"/>
  <c r="C213" i="93"/>
  <c r="K213" i="93"/>
  <c r="D213" i="93"/>
  <c r="F213" i="93"/>
  <c r="P86" i="93"/>
  <c r="O92" i="93"/>
  <c r="G213" i="93"/>
  <c r="O204" i="93"/>
  <c r="P198" i="93"/>
  <c r="P150" i="93"/>
  <c r="I213" i="93"/>
  <c r="O23" i="93"/>
  <c r="P23" i="93" s="1"/>
  <c r="O39" i="93"/>
  <c r="P78" i="93"/>
  <c r="P110" i="93"/>
  <c r="O151" i="93"/>
  <c r="P151" i="93" s="1"/>
  <c r="P174" i="93"/>
  <c r="P206" i="93"/>
  <c r="O126" i="93"/>
  <c r="P130" i="93"/>
  <c r="P147" i="93"/>
  <c r="P161" i="93"/>
  <c r="P178" i="93"/>
  <c r="P195" i="93"/>
  <c r="P200" i="93"/>
  <c r="D204" i="93"/>
  <c r="P210" i="93"/>
  <c r="P6" i="93"/>
  <c r="P46" i="93"/>
  <c r="P62" i="93"/>
  <c r="P94" i="93"/>
  <c r="P158" i="93"/>
  <c r="O22" i="93"/>
  <c r="O36" i="93"/>
  <c r="P98" i="93"/>
  <c r="P115" i="93"/>
  <c r="P118" i="93"/>
  <c r="P131" i="93"/>
  <c r="P134" i="93"/>
  <c r="P144" i="93"/>
  <c r="P162" i="93"/>
  <c r="P179" i="93"/>
  <c r="P182" i="93"/>
  <c r="O188" i="93"/>
  <c r="P192" i="93"/>
  <c r="P201" i="93"/>
  <c r="O20" i="93"/>
  <c r="P70" i="93"/>
  <c r="O108" i="93"/>
  <c r="P166" i="93"/>
  <c r="P54" i="93"/>
  <c r="P142" i="93"/>
  <c r="P190" i="93"/>
  <c r="B219" i="93" l="1"/>
  <c r="P68" i="93"/>
  <c r="P20" i="93"/>
  <c r="P60" i="93"/>
  <c r="P188" i="93"/>
  <c r="P148" i="93"/>
  <c r="P124" i="93"/>
  <c r="P52" i="93"/>
  <c r="P108" i="93"/>
  <c r="P172" i="93"/>
  <c r="P92" i="93"/>
  <c r="B221" i="93"/>
  <c r="P36" i="93"/>
  <c r="P76" i="93"/>
  <c r="P164" i="93"/>
  <c r="P140" i="93"/>
  <c r="B222" i="93"/>
  <c r="B220" i="93"/>
  <c r="P84" i="93"/>
  <c r="P100" i="93"/>
  <c r="P116" i="93"/>
  <c r="P204" i="93"/>
  <c r="P156" i="93"/>
  <c r="P196" i="93"/>
  <c r="P39" i="93"/>
  <c r="P44" i="93" s="1"/>
  <c r="O44" i="93"/>
  <c r="P12" i="93"/>
  <c r="P126" i="93"/>
  <c r="P132" i="93" s="1"/>
  <c r="O132" i="93"/>
  <c r="P212" i="93"/>
  <c r="P22" i="93"/>
  <c r="P28" i="93" s="1"/>
  <c r="O28" i="93"/>
  <c r="O213" i="93" s="1"/>
  <c r="P180" i="93"/>
  <c r="O156" i="93"/>
  <c r="P213" i="93" l="1"/>
  <c r="B217" i="93"/>
  <c r="B218" i="93"/>
  <c r="L22" i="88" s="1"/>
  <c r="B223" i="93" l="1"/>
  <c r="E22" i="76"/>
  <c r="B40" i="85"/>
  <c r="B25" i="85"/>
  <c r="B17" i="85"/>
  <c r="B26" i="85"/>
  <c r="K20" i="88" l="1"/>
  <c r="H29" i="87" l="1"/>
  <c r="H30" i="87"/>
  <c r="H31" i="87"/>
  <c r="H32" i="87"/>
  <c r="H33" i="87"/>
  <c r="H34" i="87"/>
  <c r="H35" i="87"/>
  <c r="H36" i="87"/>
  <c r="H28" i="87" l="1"/>
  <c r="E27" i="76"/>
  <c r="E39" i="76"/>
  <c r="E40" i="76" l="1"/>
  <c r="C37" i="87" l="1"/>
  <c r="D37" i="87"/>
  <c r="F37" i="87" l="1"/>
  <c r="E63" i="76" l="1"/>
  <c r="E28" i="76"/>
  <c r="E10" i="78"/>
  <c r="E11" i="78" s="1"/>
  <c r="E15" i="88"/>
  <c r="H23" i="46"/>
  <c r="K5" i="92"/>
  <c r="E6" i="53"/>
  <c r="E7" i="53"/>
  <c r="E8" i="80" l="1"/>
  <c r="E21" i="92"/>
  <c r="E8" i="53"/>
  <c r="G16" i="92"/>
  <c r="H90" i="46" s="1"/>
  <c r="E26" i="92"/>
  <c r="G11" i="92"/>
  <c r="E11" i="92"/>
  <c r="G21" i="92"/>
  <c r="H91" i="46" s="1"/>
  <c r="G26" i="92"/>
  <c r="H92" i="46" s="1"/>
  <c r="E16" i="92"/>
  <c r="H89" i="46" l="1"/>
  <c r="G27" i="92"/>
  <c r="E9" i="89" l="1"/>
  <c r="K5" i="89"/>
  <c r="G6" i="89" l="1"/>
  <c r="G11" i="89"/>
  <c r="E14" i="89"/>
  <c r="E15" i="89" s="1"/>
  <c r="H39" i="46"/>
  <c r="G9" i="89" l="1"/>
  <c r="H95" i="46" s="1"/>
  <c r="G14" i="89"/>
  <c r="H97" i="46" s="1"/>
  <c r="J97" i="46" l="1"/>
  <c r="H94" i="46"/>
  <c r="J94" i="46" s="1"/>
  <c r="H96" i="46"/>
  <c r="J95" i="46"/>
  <c r="G15" i="89"/>
  <c r="H4" i="86"/>
  <c r="K5" i="78"/>
  <c r="J5" i="77"/>
  <c r="M4" i="81"/>
  <c r="L4" i="82"/>
  <c r="M4" i="88"/>
  <c r="N4" i="74"/>
  <c r="K4" i="80"/>
  <c r="L4" i="53"/>
  <c r="C10" i="86"/>
  <c r="H79" i="46"/>
  <c r="J79" i="46" s="1"/>
  <c r="K95" i="46" l="1"/>
  <c r="L95" i="46"/>
  <c r="K94" i="46"/>
  <c r="L94" i="46"/>
  <c r="K79" i="46"/>
  <c r="L79" i="46"/>
  <c r="K97" i="46"/>
  <c r="L97" i="46"/>
  <c r="J96" i="46"/>
  <c r="H6" i="82"/>
  <c r="H31" i="82" s="1"/>
  <c r="H77" i="46" s="1"/>
  <c r="G27" i="76"/>
  <c r="G39" i="76"/>
  <c r="I39" i="76" s="1"/>
  <c r="G15" i="88"/>
  <c r="E16" i="88"/>
  <c r="E27" i="88"/>
  <c r="K96" i="46" l="1"/>
  <c r="L96" i="46"/>
  <c r="G40" i="76"/>
  <c r="G37" i="87"/>
  <c r="G11" i="78"/>
  <c r="G16" i="88"/>
  <c r="H74" i="46" s="1"/>
  <c r="E28" i="88"/>
  <c r="G27" i="88"/>
  <c r="G28" i="88" l="1"/>
  <c r="H40" i="46" l="1"/>
  <c r="H41" i="46"/>
  <c r="J41" i="46" s="1"/>
  <c r="K41" i="46" s="1"/>
  <c r="H42" i="46"/>
  <c r="J42" i="46" s="1"/>
  <c r="K42" i="46" s="1"/>
  <c r="H43" i="46"/>
  <c r="J43" i="46" s="1"/>
  <c r="K43" i="46" s="1"/>
  <c r="H44" i="46"/>
  <c r="J44" i="46" s="1"/>
  <c r="K44" i="46" s="1"/>
  <c r="H45" i="46"/>
  <c r="J45" i="46" s="1"/>
  <c r="K45" i="46" s="1"/>
  <c r="H46" i="46"/>
  <c r="J46" i="46" s="1"/>
  <c r="K46" i="46" s="1"/>
  <c r="H47" i="46"/>
  <c r="J47" i="46" s="1"/>
  <c r="K47" i="46" s="1"/>
  <c r="H48" i="46"/>
  <c r="J48" i="46" s="1"/>
  <c r="K48" i="46" s="1"/>
  <c r="H49" i="46"/>
  <c r="H50" i="46"/>
  <c r="J50" i="46" s="1"/>
  <c r="K50" i="46" s="1"/>
  <c r="H51" i="46"/>
  <c r="J51" i="46" s="1"/>
  <c r="K51" i="46" s="1"/>
  <c r="J39" i="46"/>
  <c r="K39" i="46" s="1"/>
  <c r="H31" i="46"/>
  <c r="H32" i="46"/>
  <c r="H33" i="46"/>
  <c r="H34" i="46"/>
  <c r="H35" i="46"/>
  <c r="H36" i="46"/>
  <c r="H30" i="46"/>
  <c r="J30" i="46" s="1"/>
  <c r="K30" i="46" s="1"/>
  <c r="H28" i="46"/>
  <c r="J28" i="46" s="1"/>
  <c r="K28" i="46" s="1"/>
  <c r="H18" i="46"/>
  <c r="H19" i="46"/>
  <c r="H20" i="46"/>
  <c r="H21" i="46"/>
  <c r="H22" i="46"/>
  <c r="H24" i="46"/>
  <c r="H25" i="46"/>
  <c r="E7" i="78"/>
  <c r="J49" i="46" l="1"/>
  <c r="K49" i="46" s="1"/>
  <c r="J40" i="46"/>
  <c r="K40" i="46" s="1"/>
  <c r="H38" i="46"/>
  <c r="H37" i="46" s="1"/>
  <c r="H27" i="46"/>
  <c r="J27" i="46" s="1"/>
  <c r="K27" i="46" s="1"/>
  <c r="H29" i="46"/>
  <c r="J29" i="46" s="1"/>
  <c r="K29" i="46" s="1"/>
  <c r="J17" i="46"/>
  <c r="K17" i="46" s="1"/>
  <c r="J37" i="46" l="1"/>
  <c r="K37" i="46" s="1"/>
  <c r="J38" i="46"/>
  <c r="K38" i="46" s="1"/>
  <c r="G8" i="80" l="1"/>
  <c r="H61" i="46" l="1"/>
  <c r="C26" i="87"/>
  <c r="C15" i="87"/>
  <c r="J61" i="46" l="1"/>
  <c r="C38" i="87"/>
  <c r="D26" i="87"/>
  <c r="D15" i="87"/>
  <c r="F15" i="87"/>
  <c r="K61" i="46" l="1"/>
  <c r="L61" i="46"/>
  <c r="D38" i="87"/>
  <c r="D10" i="86"/>
  <c r="H100" i="46" s="1"/>
  <c r="J100" i="46" s="1"/>
  <c r="F26" i="87"/>
  <c r="F38" i="87" s="1"/>
  <c r="G25" i="87"/>
  <c r="G52" i="87" s="1"/>
  <c r="G53" i="87" l="1"/>
  <c r="G26" i="87"/>
  <c r="G15" i="87"/>
  <c r="H51" i="87" l="1"/>
  <c r="I51" i="87" s="1"/>
  <c r="H46" i="87"/>
  <c r="I46" i="87" s="1"/>
  <c r="H50" i="87"/>
  <c r="I50" i="87" s="1"/>
  <c r="H49" i="87"/>
  <c r="I49" i="87" s="1"/>
  <c r="H48" i="87"/>
  <c r="I48" i="87" s="1"/>
  <c r="H45" i="87"/>
  <c r="I45" i="87" s="1"/>
  <c r="H47" i="87"/>
  <c r="I47" i="87" s="1"/>
  <c r="H44" i="87"/>
  <c r="I44" i="87" s="1"/>
  <c r="H52" i="87"/>
  <c r="I52" i="87" s="1"/>
  <c r="G38" i="87"/>
  <c r="L20" i="88" l="1"/>
  <c r="E51" i="81"/>
  <c r="G51" i="81" s="1"/>
  <c r="G52" i="81" s="1"/>
  <c r="L23" i="88" l="1"/>
  <c r="L18" i="88"/>
  <c r="E52" i="81"/>
  <c r="H80" i="46"/>
  <c r="J80" i="46" l="1"/>
  <c r="F68" i="82"/>
  <c r="F63" i="82"/>
  <c r="F64" i="82"/>
  <c r="F57" i="82"/>
  <c r="K80" i="46" l="1"/>
  <c r="L80" i="46"/>
  <c r="F69" i="82"/>
  <c r="F65" i="82"/>
  <c r="F58" i="82"/>
  <c r="F70" i="82" l="1"/>
  <c r="F59" i="82"/>
  <c r="H64" i="82"/>
  <c r="L64" i="82" s="1"/>
  <c r="H63" i="82"/>
  <c r="L63" i="82" s="1"/>
  <c r="H68" i="82"/>
  <c r="H57" i="82"/>
  <c r="E39" i="81"/>
  <c r="G39" i="81" s="1"/>
  <c r="J39" i="81" s="1"/>
  <c r="E27" i="81"/>
  <c r="G27" i="81" s="1"/>
  <c r="J27" i="81" s="1"/>
  <c r="E15" i="81"/>
  <c r="G15" i="81" s="1"/>
  <c r="I15" i="81" s="1"/>
  <c r="I16" i="81" l="1"/>
  <c r="J15" i="81"/>
  <c r="E40" i="81"/>
  <c r="H65" i="82"/>
  <c r="J65" i="82" s="1"/>
  <c r="F71" i="82"/>
  <c r="E20" i="80"/>
  <c r="E21" i="80" s="1"/>
  <c r="H26" i="46"/>
  <c r="H15" i="46" s="1"/>
  <c r="H69" i="82"/>
  <c r="H58" i="82"/>
  <c r="M58" i="82" s="1"/>
  <c r="E28" i="81"/>
  <c r="E16" i="81"/>
  <c r="G16" i="81"/>
  <c r="G28" i="81"/>
  <c r="J28" i="81" s="1"/>
  <c r="G40" i="81"/>
  <c r="J40" i="81" s="1"/>
  <c r="G20" i="80"/>
  <c r="G21" i="80" s="1"/>
  <c r="H82" i="46" l="1"/>
  <c r="D82" i="46" s="1"/>
  <c r="F82" i="46" s="1"/>
  <c r="H14" i="46"/>
  <c r="J70" i="82"/>
  <c r="L65" i="82"/>
  <c r="J43" i="82"/>
  <c r="L43" i="82" s="1"/>
  <c r="J51" i="82"/>
  <c r="L51" i="82" s="1"/>
  <c r="J44" i="82"/>
  <c r="L44" i="82" s="1"/>
  <c r="J52" i="82"/>
  <c r="L52" i="82" s="1"/>
  <c r="J45" i="82"/>
  <c r="L45" i="82" s="1"/>
  <c r="J53" i="82"/>
  <c r="L53" i="82" s="1"/>
  <c r="J47" i="82"/>
  <c r="L47" i="82" s="1"/>
  <c r="J56" i="82"/>
  <c r="L56" i="82" s="1"/>
  <c r="J50" i="82"/>
  <c r="L50" i="82" s="1"/>
  <c r="J46" i="82"/>
  <c r="L46" i="82" s="1"/>
  <c r="J54" i="82"/>
  <c r="L54" i="82" s="1"/>
  <c r="J55" i="82"/>
  <c r="L55" i="82" s="1"/>
  <c r="J42" i="82"/>
  <c r="L42" i="82" s="1"/>
  <c r="J40" i="82"/>
  <c r="L40" i="82" s="1"/>
  <c r="J48" i="82"/>
  <c r="L48" i="82" s="1"/>
  <c r="J41" i="82"/>
  <c r="L41" i="82" s="1"/>
  <c r="J49" i="82"/>
  <c r="L49" i="82" s="1"/>
  <c r="J39" i="82"/>
  <c r="J16" i="81"/>
  <c r="J26" i="46"/>
  <c r="D26" i="46"/>
  <c r="H70" i="82"/>
  <c r="H62" i="46"/>
  <c r="G53" i="81"/>
  <c r="E53" i="81"/>
  <c r="F26" i="46" l="1"/>
  <c r="K26" i="46" s="1"/>
  <c r="D15" i="46"/>
  <c r="L70" i="82"/>
  <c r="N73" i="46"/>
  <c r="L58" i="82"/>
  <c r="L39" i="82"/>
  <c r="J77" i="46"/>
  <c r="H59" i="82"/>
  <c r="H71" i="82" s="1"/>
  <c r="J15" i="46"/>
  <c r="J82" i="46"/>
  <c r="J62" i="46"/>
  <c r="H60" i="46"/>
  <c r="J60" i="46" s="1"/>
  <c r="D14" i="46" l="1"/>
  <c r="F14" i="46" s="1"/>
  <c r="F15" i="46"/>
  <c r="K15" i="46" s="1"/>
  <c r="K82" i="46"/>
  <c r="L82" i="46"/>
  <c r="K62" i="46"/>
  <c r="L62" i="46"/>
  <c r="K77" i="46"/>
  <c r="L77" i="46"/>
  <c r="K60" i="46"/>
  <c r="L60" i="46"/>
  <c r="J89" i="46"/>
  <c r="E13" i="78"/>
  <c r="K89" i="46" l="1"/>
  <c r="L89" i="46"/>
  <c r="E14" i="78"/>
  <c r="E8" i="78"/>
  <c r="G13" i="78"/>
  <c r="G8" i="78"/>
  <c r="I85" i="46" l="1"/>
  <c r="I84" i="46" s="1"/>
  <c r="G14" i="78"/>
  <c r="I87" i="46" s="1"/>
  <c r="E15" i="78"/>
  <c r="E25" i="77"/>
  <c r="F25" i="77" s="1"/>
  <c r="E19" i="77"/>
  <c r="F19" i="77" s="1"/>
  <c r="E14" i="77"/>
  <c r="F14" i="77" s="1"/>
  <c r="F10" i="77"/>
  <c r="G15" i="78" l="1"/>
  <c r="J85" i="46"/>
  <c r="I86" i="46"/>
  <c r="F15" i="77"/>
  <c r="F26" i="77"/>
  <c r="J84" i="46"/>
  <c r="F20" i="77"/>
  <c r="E20" i="77"/>
  <c r="E10" i="77"/>
  <c r="E26" i="77"/>
  <c r="E15" i="77"/>
  <c r="K84" i="46" l="1"/>
  <c r="L84" i="46"/>
  <c r="K85" i="46"/>
  <c r="L85" i="46"/>
  <c r="J86" i="46"/>
  <c r="J87" i="46"/>
  <c r="F27" i="77"/>
  <c r="E27" i="77"/>
  <c r="E64" i="76"/>
  <c r="G64" i="76" s="1"/>
  <c r="G63" i="76"/>
  <c r="I63" i="76" s="1"/>
  <c r="E15" i="76"/>
  <c r="G15" i="76" s="1"/>
  <c r="I15" i="76" s="1"/>
  <c r="J15" i="76" s="1"/>
  <c r="F27" i="74"/>
  <c r="H27" i="74" s="1"/>
  <c r="K87" i="46" l="1"/>
  <c r="L87" i="46"/>
  <c r="K86" i="46"/>
  <c r="L86" i="46"/>
  <c r="F28" i="74"/>
  <c r="H81" i="46"/>
  <c r="E16" i="76"/>
  <c r="G16" i="76"/>
  <c r="E52" i="76"/>
  <c r="E65" i="76"/>
  <c r="J74" i="46"/>
  <c r="K52" i="76"/>
  <c r="G65" i="76"/>
  <c r="H28" i="74"/>
  <c r="H66" i="46" s="1"/>
  <c r="J66" i="46" s="1"/>
  <c r="K66" i="46" l="1"/>
  <c r="L66" i="46"/>
  <c r="K74" i="46"/>
  <c r="L74" i="46"/>
  <c r="J81" i="46"/>
  <c r="H76" i="46"/>
  <c r="J76" i="46" s="1"/>
  <c r="H75" i="46"/>
  <c r="G28" i="76"/>
  <c r="H73" i="46" s="1"/>
  <c r="H72" i="46"/>
  <c r="F75" i="74"/>
  <c r="H75" i="74" s="1"/>
  <c r="J75" i="74" s="1"/>
  <c r="K75" i="74" s="1"/>
  <c r="H64" i="74"/>
  <c r="F51" i="74"/>
  <c r="H51" i="74" s="1"/>
  <c r="F39" i="74"/>
  <c r="H39" i="74" s="1"/>
  <c r="J39" i="74" s="1"/>
  <c r="K40" i="74" s="1"/>
  <c r="L34" i="74" s="1"/>
  <c r="F15" i="74"/>
  <c r="H15" i="74" s="1"/>
  <c r="J15" i="74" s="1"/>
  <c r="K15" i="74" s="1"/>
  <c r="K76" i="46" l="1"/>
  <c r="L76" i="46"/>
  <c r="K81" i="46"/>
  <c r="L81" i="46"/>
  <c r="J75" i="46"/>
  <c r="J72" i="46"/>
  <c r="J73" i="46"/>
  <c r="G66" i="76"/>
  <c r="I66" i="76" s="1"/>
  <c r="J66" i="76" s="1"/>
  <c r="F52" i="74"/>
  <c r="F76" i="74"/>
  <c r="F40" i="74"/>
  <c r="F16" i="74"/>
  <c r="H16" i="74"/>
  <c r="F64" i="74"/>
  <c r="H52" i="74"/>
  <c r="H68" i="46" s="1"/>
  <c r="H76" i="74"/>
  <c r="H40" i="74"/>
  <c r="H69" i="46"/>
  <c r="K73" i="46" l="1"/>
  <c r="L73" i="46"/>
  <c r="K72" i="46"/>
  <c r="L72" i="46"/>
  <c r="K75" i="46"/>
  <c r="L75" i="46"/>
  <c r="H70" i="46"/>
  <c r="J70" i="46" s="1"/>
  <c r="J76" i="74"/>
  <c r="K76" i="74" s="1"/>
  <c r="J69" i="46"/>
  <c r="J68" i="46"/>
  <c r="H71" i="46"/>
  <c r="H65" i="46"/>
  <c r="H77" i="74"/>
  <c r="J77" i="74" s="1"/>
  <c r="K77" i="74" s="1"/>
  <c r="H67" i="46"/>
  <c r="G43" i="53"/>
  <c r="G6" i="53"/>
  <c r="K68" i="46" l="1"/>
  <c r="L68" i="46"/>
  <c r="K70" i="46"/>
  <c r="L70" i="46"/>
  <c r="K69" i="46"/>
  <c r="L69" i="46"/>
  <c r="J71" i="46"/>
  <c r="J67" i="46"/>
  <c r="H64" i="46"/>
  <c r="H63" i="46" s="1"/>
  <c r="J65" i="46"/>
  <c r="E55" i="53"/>
  <c r="E43" i="53"/>
  <c r="G31" i="53"/>
  <c r="H57" i="46" s="1"/>
  <c r="G55" i="53"/>
  <c r="E31" i="53"/>
  <c r="K65" i="46" l="1"/>
  <c r="L65" i="46"/>
  <c r="K67" i="46"/>
  <c r="L67" i="46"/>
  <c r="K71" i="46"/>
  <c r="L71" i="46"/>
  <c r="J64" i="46"/>
  <c r="H58" i="46"/>
  <c r="H59" i="46"/>
  <c r="J57" i="46"/>
  <c r="G7" i="53"/>
  <c r="K64" i="46" l="1"/>
  <c r="L64" i="46"/>
  <c r="K57" i="46"/>
  <c r="L57" i="46"/>
  <c r="J59" i="46"/>
  <c r="J58" i="46"/>
  <c r="G20" i="53"/>
  <c r="E20" i="53"/>
  <c r="K59" i="46" l="1"/>
  <c r="L59" i="46"/>
  <c r="K58" i="46"/>
  <c r="L58" i="46"/>
  <c r="H56" i="46"/>
  <c r="J56" i="46" s="1"/>
  <c r="G8" i="53"/>
  <c r="K56" i="46" l="1"/>
  <c r="L56" i="46"/>
  <c r="G56" i="53"/>
  <c r="H55" i="46"/>
  <c r="H54" i="46" s="1"/>
  <c r="J16" i="46"/>
  <c r="K16" i="46" s="1"/>
  <c r="J18" i="46"/>
  <c r="K18" i="46" s="1"/>
  <c r="J19" i="46"/>
  <c r="K19" i="46" s="1"/>
  <c r="J20" i="46"/>
  <c r="K20" i="46" s="1"/>
  <c r="J21" i="46"/>
  <c r="K21" i="46" s="1"/>
  <c r="J22" i="46"/>
  <c r="K22" i="46" s="1"/>
  <c r="J23" i="46"/>
  <c r="K23" i="46" s="1"/>
  <c r="J24" i="46"/>
  <c r="K24" i="46" s="1"/>
  <c r="J25" i="46"/>
  <c r="K25" i="46" s="1"/>
  <c r="J31" i="46"/>
  <c r="K31" i="46" s="1"/>
  <c r="J32" i="46"/>
  <c r="K32" i="46" s="1"/>
  <c r="J33" i="46"/>
  <c r="K33" i="46" s="1"/>
  <c r="J34" i="46"/>
  <c r="K34" i="46" s="1"/>
  <c r="J35" i="46"/>
  <c r="K35" i="46" s="1"/>
  <c r="J36" i="46"/>
  <c r="K36" i="46" s="1"/>
  <c r="J90" i="46"/>
  <c r="J91" i="46"/>
  <c r="J92" i="46"/>
  <c r="K92" i="46" l="1"/>
  <c r="L92" i="46"/>
  <c r="K91" i="46"/>
  <c r="L91" i="46"/>
  <c r="K90" i="46"/>
  <c r="L90" i="46"/>
  <c r="J55" i="46"/>
  <c r="K55" i="46" s="1"/>
  <c r="H53" i="46" l="1"/>
  <c r="H52" i="46" s="1"/>
  <c r="J54" i="46"/>
  <c r="K54" i="46" s="1"/>
  <c r="J53" i="46" l="1"/>
  <c r="K53" i="46" s="1"/>
  <c r="J63" i="46"/>
  <c r="K63" i="46" l="1"/>
  <c r="L63" i="46"/>
  <c r="J14" i="46" l="1"/>
  <c r="K14" i="46" s="1"/>
  <c r="K100" i="46" l="1"/>
  <c r="L100" i="46"/>
  <c r="I83" i="46"/>
  <c r="I98" i="46" s="1"/>
  <c r="I101" i="46" s="1"/>
  <c r="H93" i="46"/>
  <c r="H99" i="46" s="1"/>
  <c r="J99" i="46" s="1"/>
  <c r="H88" i="46"/>
  <c r="H78" i="46"/>
  <c r="J78" i="46" s="1"/>
  <c r="J52" i="46"/>
  <c r="H13" i="46"/>
  <c r="J13" i="46" s="1"/>
  <c r="D13" i="46"/>
  <c r="F13" i="46" s="1"/>
  <c r="D78" i="46"/>
  <c r="F78" i="46" s="1"/>
  <c r="D52" i="46"/>
  <c r="F52" i="46" s="1"/>
  <c r="D93" i="46"/>
  <c r="D105" i="46" s="1"/>
  <c r="D107" i="46" s="1"/>
  <c r="D88" i="46"/>
  <c r="J83" i="46" l="1"/>
  <c r="L83" i="46" s="1"/>
  <c r="H98" i="46"/>
  <c r="J98" i="46" s="1"/>
  <c r="K52" i="46"/>
  <c r="J93" i="46"/>
  <c r="D98" i="46"/>
  <c r="D101" i="46" s="1"/>
  <c r="F101" i="46" s="1"/>
  <c r="H101" i="46"/>
  <c r="J101" i="46" s="1"/>
  <c r="L78" i="46"/>
  <c r="K78" i="46"/>
  <c r="F93" i="46"/>
  <c r="K13" i="46"/>
  <c r="L99" i="46"/>
  <c r="K99" i="46"/>
  <c r="J88" i="46"/>
  <c r="F88" i="46"/>
  <c r="F98" i="46" l="1"/>
  <c r="K98" i="46" s="1"/>
  <c r="K83" i="46"/>
  <c r="K93" i="46"/>
  <c r="L93" i="46"/>
  <c r="K88" i="46"/>
  <c r="L88" i="46"/>
  <c r="K101" i="46"/>
  <c r="L101" i="46"/>
  <c r="E104" i="46"/>
  <c r="L98" i="46" l="1"/>
  <c r="E107" i="46"/>
  <c r="F104"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tc={6B8C15A9-367B-4F33-8237-A16097273295}</author>
    <author>tc={73AFD604-F4D8-416B-B18B-1F7F94581BF9}</author>
    <author>tc={FAB5F57F-F5ED-48AC-A34E-EAEF2B69FD94}</author>
    <author>Marcela Correa Florez</author>
  </authors>
  <commentList>
    <comment ref="C13" authorId="0" shapeId="0" xr:uid="{64448AA0-7CB4-4787-8F03-AE1D936F594C}">
      <text>
        <r>
          <rPr>
            <sz val="9"/>
            <color rgb="FF000000"/>
            <rFont val="Tahoma"/>
            <family val="2"/>
          </rPr>
          <t>Son los gastos asociados con el personal vinculado laboralmente con el Estado. Entiéndase como personal vinculado laboralmente con el Estado a los servidores públicos –en estricto sentido- que prestan servicios personales remunerados en los organismos y entidades de la administración pública a través de una relación legal/reglamentaria o de una relación contractual laboral</t>
        </r>
      </text>
    </comment>
    <comment ref="C15" authorId="0" shapeId="0" xr:uid="{B9A8F481-ABB5-49AF-8772-F5D528F7465B}">
      <text>
        <r>
          <rPr>
            <sz val="9"/>
            <color rgb="FF000000"/>
            <rFont val="Tahoma"/>
            <family val="2"/>
          </rPr>
          <t xml:space="preserve">Corresponde a los componentes del salario que son comunes32 a todo el personal vinculado laboralmente con el Estado (empleados públicos y trabajadores oficiales).
</t>
        </r>
        <r>
          <rPr>
            <b/>
            <sz val="9"/>
            <color rgb="FF000000"/>
            <rFont val="Tahoma"/>
            <family val="2"/>
          </rPr>
          <t>Incluye</t>
        </r>
        <r>
          <rPr>
            <sz val="9"/>
            <color rgb="FF000000"/>
            <rFont val="Tahoma"/>
            <family val="2"/>
          </rPr>
          <t>: Sueldo básico, Gastos de representación, Prima técnica salarial, Subsidio de alimentación, Auxilio de transporte, Prima de servicio, Bonificación por servicios prestados, Horas extras, dominicales, festivos y recargos, Prima de navidad, Prima de vacaciones, Viáticos de los funcionarios en comisión (Cuando son mayores a 180 dias)</t>
        </r>
      </text>
    </comment>
    <comment ref="C27" authorId="0" shapeId="0" xr:uid="{57DDC1D4-98B4-4E16-B41E-CB2F9152F905}">
      <text>
        <r>
          <rPr>
            <sz val="9"/>
            <color rgb="FF000000"/>
            <rFont val="Tahoma"/>
            <family val="2"/>
          </rPr>
          <t xml:space="preserve">Corresponde a los componentes del salario de los sistemas especiales de remuneración, legalmente
</t>
        </r>
        <r>
          <rPr>
            <sz val="9"/>
            <color rgb="FF000000"/>
            <rFont val="Tahoma"/>
            <family val="2"/>
          </rPr>
          <t xml:space="preserve">aprobados, y que se rigen por disposiciones particulares para determinados regímenes laborales y por
</t>
        </r>
        <r>
          <rPr>
            <sz val="9"/>
            <color rgb="FF000000"/>
            <rFont val="Tahoma"/>
            <family val="2"/>
          </rPr>
          <t>tanto no son comunes a todas las entidades públicas.</t>
        </r>
      </text>
    </comment>
    <comment ref="C29" authorId="0" shapeId="0" xr:uid="{353A632A-A945-47CA-8963-5E3767BD9D0D}">
      <text>
        <r>
          <rPr>
            <sz val="9"/>
            <color indexed="81"/>
            <rFont val="Tahoma"/>
            <family val="2"/>
          </rPr>
          <t>Corresponde a las contribuciones legales que debe hacer una entidad como empleadora, a entidades del sector privado y público, tales como: Cajas de Compensación Familiar, SENA, ICBF, ESAP, Fondo Nacional de Ahorro, Fondos Administradores de Cesantías y Pensiones, Empresas Promotoras de Salud privadas y públicas, así como, las administradoras públicas y privadas de aportes que se destinan para accidentes de trabajo y enfermedad profesional.</t>
        </r>
      </text>
    </comment>
    <comment ref="C37" authorId="0" shapeId="0" xr:uid="{74D34BDA-1FBD-47A7-979F-88F3AAF6770D}">
      <text>
        <r>
          <rPr>
            <sz val="9"/>
            <color indexed="81"/>
            <rFont val="Tahoma"/>
            <family val="2"/>
          </rPr>
          <t xml:space="preserve">Corresponde a los gastos del personal vinculado laboralmente con el Estado que la ley no reconoce como constitutivos de factor salarial. Estos pagos no forman parte de la base para el cálculo y pago de las prestaciones sociales, aportes parafiscales y seguridad social, aunque sí forman parte de la base de retención en la fuente, por ingresos laborales.
</t>
        </r>
      </text>
    </comment>
    <comment ref="C52" authorId="0" shapeId="0" xr:uid="{FDE7B880-ACF1-445E-B514-A7BA5776AE70}">
      <text>
        <r>
          <rPr>
            <sz val="9"/>
            <color indexed="81"/>
            <rFont val="Tahoma"/>
            <family val="2"/>
          </rPr>
          <t>Son los gastos asociados a la compra de bienes y a la contratación de servicios, suministrados por personas naturales o jurídicas, que son necesarios para el cumplimiento de las funciones asignadas por la Constitución Política y la ley al establecimiento público.</t>
        </r>
      </text>
    </comment>
    <comment ref="C53" authorId="0" shapeId="0" xr:uid="{77735D90-4DB5-4125-8F2A-5E8A78897324}">
      <text>
        <r>
          <rPr>
            <sz val="9"/>
            <color rgb="FF000000"/>
            <rFont val="Tahoma"/>
            <family val="2"/>
          </rPr>
          <t xml:space="preserve">Son los gastos asociados a la adquisición de algunos activos producidos y no producidos. Entiéndase por </t>
        </r>
        <r>
          <rPr>
            <b/>
            <sz val="9"/>
            <color rgb="FF000000"/>
            <rFont val="Tahoma"/>
            <family val="2"/>
          </rPr>
          <t>activos producidos</t>
        </r>
        <r>
          <rPr>
            <sz val="9"/>
            <color rgb="FF000000"/>
            <rFont val="Tahoma"/>
            <family val="2"/>
          </rPr>
          <t xml:space="preserve"> aquellos que tienen su origen en procesos de producción, como lo son los activos fijos y los objetos de valor; y por </t>
        </r>
        <r>
          <rPr>
            <b/>
            <sz val="9"/>
            <color rgb="FF000000"/>
            <rFont val="Tahoma"/>
            <family val="2"/>
          </rPr>
          <t>activos no producidos</t>
        </r>
        <r>
          <rPr>
            <sz val="9"/>
            <color rgb="FF000000"/>
            <rFont val="Tahoma"/>
            <family val="2"/>
          </rPr>
          <t>, aquellos de origen natural como las tierras y terrenos y los recursos biológicos no cultivados</t>
        </r>
      </text>
    </comment>
    <comment ref="C54" authorId="0" shapeId="0" xr:uid="{EA815FB1-1C00-4FB8-9997-32A5AB95EE0D}">
      <text>
        <r>
          <rPr>
            <sz val="9"/>
            <color rgb="FF000000"/>
            <rFont val="Tahoma"/>
            <family val="2"/>
          </rPr>
          <t>Son los gastos asociados a la adquisición de activos producidos, que se utilizan repetida y continuamente en procesos de producción por más de un año y cuyo precio es significativo.</t>
        </r>
      </text>
    </comment>
    <comment ref="C55" authorId="0" shapeId="0" xr:uid="{7174795B-AD85-4BA0-9A07-B9990707297B}">
      <text>
        <r>
          <rPr>
            <sz val="9"/>
            <color rgb="FF000000"/>
            <rFont val="Tahoma"/>
            <family val="2"/>
          </rPr>
          <t xml:space="preserve">Son los gastos asociados a la adquisición de todo tipo de edificios y estructuras necesarias para el desarrollo de las funciones del órgano del PGN.
</t>
        </r>
        <r>
          <rPr>
            <b/>
            <sz val="9"/>
            <color rgb="FF000000"/>
            <rFont val="Tahoma"/>
            <family val="2"/>
          </rPr>
          <t>Incluye</t>
        </r>
        <r>
          <rPr>
            <sz val="9"/>
            <color rgb="FF000000"/>
            <rFont val="Tahoma"/>
            <family val="2"/>
          </rPr>
          <t>: Costos de limpieza y preparación del terreno para edificaciones nuevas, Accesorios fijos, instalaciones y equipos que forman parte integral de las estructuras.</t>
        </r>
      </text>
    </comment>
    <comment ref="C56" authorId="0" shapeId="0" xr:uid="{BEB7F0FC-AE45-493C-88E9-5330BEB4CBC3}">
      <text>
        <r>
          <rPr>
            <sz val="9"/>
            <color rgb="FF000000"/>
            <rFont val="Tahoma"/>
            <family val="2"/>
          </rPr>
          <t xml:space="preserve">Son los gastos asociados a la adquisición de activos que se emplean continuamente en la prestación de servicios de defensa, incluso si su utilización en tiempos de paz es simplemente de carácter disuasivo).
</t>
        </r>
        <r>
          <rPr>
            <sz val="9"/>
            <color rgb="FF000000"/>
            <rFont val="Tahoma"/>
            <family val="2"/>
          </rPr>
          <t xml:space="preserve">No incluye: Elementos militares de un solo uso como las municiones, bombas y misiles; Equipos adquiridos con fines militares, armas.
</t>
        </r>
        <r>
          <rPr>
            <sz val="9"/>
            <color rgb="FF000000"/>
            <rFont val="Tahoma"/>
            <family val="2"/>
          </rPr>
          <t xml:space="preserve">Buques de guerra
</t>
        </r>
        <r>
          <rPr>
            <sz val="9"/>
            <color rgb="FF000000"/>
            <rFont val="Tahoma"/>
            <family val="2"/>
          </rPr>
          <t>Incluye: Submarinos, Aeronaves militares, Dispositivos de transporte.</t>
        </r>
      </text>
    </comment>
    <comment ref="C57" authorId="0" shapeId="0" xr:uid="{5A962C9E-C68D-44C7-AC24-F5BDA21672E2}">
      <text>
        <r>
          <rPr>
            <sz val="9"/>
            <color rgb="FF000000"/>
            <rFont val="Tahoma"/>
            <family val="2"/>
          </rPr>
          <t xml:space="preserve">
</t>
        </r>
        <r>
          <rPr>
            <sz val="9"/>
            <color rgb="FF000000"/>
            <rFont val="Tahoma"/>
            <family val="2"/>
          </rPr>
          <t xml:space="preserve">Son los gastos asociados a la adquisición de activos fijos clasificados como otros bienes transportables (Excepto productos metálicos, maquinaria y Equipo) dentro de la Clasificación Central de Productos –CPC.
</t>
        </r>
        <r>
          <rPr>
            <b/>
            <sz val="9"/>
            <color rgb="FF000000"/>
            <rFont val="Tahoma"/>
            <family val="2"/>
          </rPr>
          <t>Incluye:</t>
        </r>
        <r>
          <rPr>
            <sz val="9"/>
            <color rgb="FF000000"/>
            <rFont val="Tahoma"/>
            <family val="2"/>
          </rPr>
          <t xml:space="preserve"> Muebles, Instrumentos musicales, Artículos de deporte, Antigüedades u otros objetos de arte.</t>
        </r>
      </text>
    </comment>
    <comment ref="C58" authorId="0" shapeId="0" xr:uid="{0FD8E5F7-2054-43A2-A4F1-974C6BEEF9E9}">
      <text>
        <r>
          <rPr>
            <sz val="9"/>
            <color indexed="81"/>
            <rFont val="Tahoma"/>
            <family val="2"/>
          </rPr>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
Incluye: Maquinaria para uso general, Maquinaria para usos especiales, Maquinaria de oficina, contabilidad e informática, Maquinaria y aparatos eléctricos, Equipo y aparatos de radio, televisión y comunicaciones, Aparatos médicos, Instrumentos ópticos y de precisión, relojes, Equipo de transporte, Equipo militar y policía, armamento.</t>
        </r>
      </text>
    </comment>
    <comment ref="C59" authorId="0" shapeId="0" xr:uid="{3604DB78-4621-4F0D-BE3D-B64A0763AB22}">
      <text>
        <r>
          <rPr>
            <sz val="9"/>
            <color indexed="81"/>
            <rFont val="Tahoma"/>
            <family val="2"/>
          </rPr>
          <t xml:space="preserve">
Corresponde a la adquisición de recursos biológicos y productos de propiedad intelectual.
</t>
        </r>
        <r>
          <rPr>
            <b/>
            <sz val="9"/>
            <color indexed="81"/>
            <rFont val="Tahoma"/>
            <family val="2"/>
          </rPr>
          <t>Recursos bológicos:</t>
        </r>
        <r>
          <rPr>
            <sz val="9"/>
            <color indexed="81"/>
            <rFont val="Tahoma"/>
            <family val="2"/>
          </rPr>
          <t xml:space="preserve"> Corresponde a animales, árboles, cultivos o plantas que generan productos en forma repetida y cuyo crecimiento natural y regeneración se encuentran bajo control, responsabilidad y manejo directo de una persona.
</t>
        </r>
        <r>
          <rPr>
            <b/>
            <sz val="9"/>
            <color indexed="81"/>
            <rFont val="Tahoma"/>
            <family val="2"/>
          </rPr>
          <t>Productos de propiedad intelectual</t>
        </r>
        <r>
          <rPr>
            <sz val="9"/>
            <color indexed="81"/>
            <rFont val="Tahoma"/>
            <family val="2"/>
          </rPr>
          <t xml:space="preserve">: Son resultado de la investigación, el desarrollo o la innovación, y conducen a conocimientos, los cuales pueden ser vendidos en el mercado o
utilizados para beneficio propio en la producción siempre y cuando cuente con algún tipo de protección legal, o de otra índole.
</t>
        </r>
        <r>
          <rPr>
            <b/>
            <sz val="9"/>
            <color indexed="81"/>
            <rFont val="Tahoma"/>
            <family val="2"/>
          </rPr>
          <t>Incluye:</t>
        </r>
        <r>
          <rPr>
            <sz val="9"/>
            <color indexed="81"/>
            <rFont val="Tahoma"/>
            <family val="2"/>
          </rPr>
          <t xml:space="preserve"> La investigación y desarrollo, la exploración y evaluación minera, programas de informática y bases de datos, originales de entretenimiento, literatura y arte, y otros.</t>
        </r>
      </text>
    </comment>
    <comment ref="C60" authorId="0" shapeId="0" xr:uid="{683FE8FC-6604-4CCD-B063-4C8ACB8B4A0B}">
      <text>
        <r>
          <rPr>
            <sz val="9"/>
            <color rgb="FF000000"/>
            <rFont val="Tahoma"/>
            <family val="2"/>
          </rPr>
          <t xml:space="preserve">
</t>
        </r>
        <r>
          <rPr>
            <sz val="9"/>
            <color rgb="FF000000"/>
            <rFont val="Tahoma"/>
            <family val="2"/>
          </rPr>
          <t xml:space="preserve">Son los gastos asociados a la adquisición de activos tangibles de origen natural (recursos naturales) sobre los que se ejercen derechos de propiedad.
</t>
        </r>
        <r>
          <rPr>
            <b/>
            <sz val="9"/>
            <color rgb="FF000000"/>
            <rFont val="Tahoma"/>
            <family val="2"/>
          </rPr>
          <t>Incluye:</t>
        </r>
        <r>
          <rPr>
            <sz val="9"/>
            <color rgb="FF000000"/>
            <rFont val="Tahoma"/>
            <family val="2"/>
          </rPr>
          <t xml:space="preserve"> Tierras y terrenos y Recursos biológicos no cultivados.
</t>
        </r>
      </text>
    </comment>
    <comment ref="C61" authorId="0" shapeId="0" xr:uid="{A09174E7-1636-45A2-82DC-FE958C482B33}">
      <text>
        <r>
          <rPr>
            <sz val="9"/>
            <color rgb="FF000000"/>
            <rFont val="Tahoma"/>
            <family val="2"/>
          </rPr>
          <t xml:space="preserve"> Se refiere al suelo propiamente dicho, sobre el que se han establecido derechos de propiedad y del cual se pueden derivar beneficios económicos para sus propietarios por su tenencia o uso.</t>
        </r>
      </text>
    </comment>
    <comment ref="C62" authorId="0" shapeId="0" xr:uid="{C8948625-BA8A-4A82-B754-11947CE516F1}">
      <text>
        <r>
          <rPr>
            <sz val="9"/>
            <color rgb="FF000000"/>
            <rFont val="Tahoma"/>
            <family val="2"/>
          </rPr>
          <t>Se refiere a animales, aves, peces y plantas que producen productos una sola vez o de forma repetida y sobre los que se ejercen derechos de propiedad, pero cuyo crecimiento natural o regeneración no está bajo el control, responsabilidad y gestión directa de ninguna persona.</t>
        </r>
      </text>
    </comment>
    <comment ref="C63" authorId="0" shapeId="0" xr:uid="{7CCEEE7F-A2A4-4882-8A76-18A3F528E886}">
      <text>
        <r>
          <rPr>
            <sz val="9"/>
            <color indexed="81"/>
            <rFont val="Tahoma"/>
            <family val="2"/>
          </rPr>
          <t>Son los gastos asociados a la adquisición de</t>
        </r>
        <r>
          <rPr>
            <b/>
            <sz val="9"/>
            <color indexed="81"/>
            <rFont val="Tahoma"/>
            <family val="2"/>
          </rPr>
          <t xml:space="preserve"> bienes (que no constituyen activos)</t>
        </r>
        <r>
          <rPr>
            <sz val="9"/>
            <color indexed="81"/>
            <rFont val="Tahoma"/>
            <family val="2"/>
          </rPr>
          <t xml:space="preserve">, y </t>
        </r>
        <r>
          <rPr>
            <b/>
            <sz val="9"/>
            <color indexed="81"/>
            <rFont val="Tahoma"/>
            <family val="2"/>
          </rPr>
          <t>servicios</t>
        </r>
        <r>
          <rPr>
            <sz val="9"/>
            <color indexed="81"/>
            <rFont val="Tahoma"/>
            <family val="2"/>
          </rPr>
          <t xml:space="preserve">, suministrados por personas naturales y jurídicas, que se utilizan apoyar el desarrollo de las funciones de la entidad.
</t>
        </r>
      </text>
    </comment>
    <comment ref="C64" authorId="0" shapeId="0" xr:uid="{04E5C083-6A30-4468-B4C5-E2E08E4B8066}">
      <text>
        <r>
          <rPr>
            <sz val="9"/>
            <color indexed="81"/>
            <rFont val="Tahoma"/>
            <family val="2"/>
          </rPr>
          <t>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t>
        </r>
      </text>
    </comment>
    <comment ref="C65" authorId="0" shapeId="0" xr:uid="{850C697D-B115-4626-92B8-27B30FAF8A3A}">
      <text>
        <r>
          <rPr>
            <sz val="9"/>
            <color rgb="FF000000"/>
            <rFont val="Tahoma"/>
            <family val="2"/>
          </rPr>
          <t>Son los gastos asociados a la adquisición de productos relacionados con la agricultura, la horticultura, la silvicultura y los productos de explotación forestal. Incluye también la compra de animales o productos animales, y la compra de pescados o productos de la pesca.</t>
        </r>
      </text>
    </comment>
    <comment ref="C66" authorId="0" shapeId="0" xr:uid="{BC1984FA-0D8D-4570-8146-C2BFFD480682}">
      <text>
        <r>
          <rPr>
            <sz val="9"/>
            <color rgb="FF000000"/>
            <rFont val="Tahoma"/>
            <family val="2"/>
          </rPr>
          <t xml:space="preserve">Son los gastos asociados a la adquisición de todo tipo de minerales incluidos el carbón, el petróleo, los concentrados de uranio y torio, los minerales metálicos, las piedras preciosas, entre otros. </t>
        </r>
      </text>
    </comment>
    <comment ref="C67" authorId="0" shapeId="0" xr:uid="{9B7DAB1E-0A3B-4A41-B1FB-5E7BEEF37AEE}">
      <text>
        <r>
          <rPr>
            <sz val="9"/>
            <color indexed="81"/>
            <rFont val="Tahoma"/>
            <family val="2"/>
          </rPr>
          <t>Son los gastos asociados a la adquisición de productos alimenticios como la carne; las preparaciones y conservas de pescados, frutas y hortalizas; los productos lácteos y ovoproductos; los productos de la molinería; y todo tipo de bebidas. Esta sección</t>
        </r>
        <r>
          <rPr>
            <b/>
            <sz val="9"/>
            <color indexed="81"/>
            <rFont val="Tahoma"/>
            <family val="2"/>
          </rPr>
          <t xml:space="preserve"> incluye</t>
        </r>
        <r>
          <rPr>
            <sz val="9"/>
            <color indexed="81"/>
            <rFont val="Tahoma"/>
            <family val="2"/>
          </rPr>
          <t xml:space="preserve"> también la adquisición de hilados, tejidos, artículos textiles y dotación.</t>
        </r>
      </text>
    </comment>
    <comment ref="C68" authorId="0" shapeId="0" xr:uid="{CDA12664-A297-4FEF-955C-C650EB60DB20}">
      <text>
        <r>
          <rPr>
            <sz val="9"/>
            <color indexed="81"/>
            <rFont val="Tahoma"/>
            <family val="2"/>
          </rPr>
          <t xml:space="preserve">Son los gastos asociados a la adquisición de productos de madera; libros, diarios o publicaciones impresas; productos de refinación de petróleo y </t>
        </r>
        <r>
          <rPr>
            <b/>
            <sz val="9"/>
            <color indexed="81"/>
            <rFont val="Tahoma"/>
            <family val="2"/>
          </rPr>
          <t>combustibles</t>
        </r>
        <r>
          <rPr>
            <sz val="9"/>
            <color indexed="81"/>
            <rFont val="Tahoma"/>
            <family val="2"/>
          </rPr>
          <t>; productos químicos; productos de caucho y plástico; productos de vidrio; muebles; desechos; entre otros.</t>
        </r>
      </text>
    </comment>
    <comment ref="D68" authorId="1" shapeId="0" xr:uid="{6B8C15A9-367B-4F33-8237-A1609727329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77489828322,96 se ajusta de la proyección inicial
</t>
      </text>
    </comment>
    <comment ref="C69" authorId="0" shapeId="0" xr:uid="{E19F4C3A-841E-47A1-AFB3-08D5A2A168E5}">
      <text>
        <r>
          <rPr>
            <sz val="9"/>
            <color rgb="FF000000"/>
            <rFont val="Tahoma"/>
            <family val="2"/>
          </rPr>
          <t>Son los gastos asociados a la adquisición de metales básicos, productos metálicos elaborados y paquetes de software.</t>
        </r>
      </text>
    </comment>
    <comment ref="D69" authorId="2" shapeId="0" xr:uid="{73AFD604-F4D8-416B-B18B-1F7F94581BF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Inicialmente en cero
</t>
      </text>
    </comment>
    <comment ref="C70" authorId="0" shapeId="0" xr:uid="{12D48505-7F1D-4D09-973C-F0F04D81B410}">
      <text>
        <r>
          <rPr>
            <sz val="9"/>
            <color indexed="81"/>
            <rFont val="Tahoma"/>
            <family val="2"/>
          </rPr>
          <t xml:space="preserve">Corresponde a los bienes fungibles adquiridos por el sector seguridad, defensa y orden público para uso exclusivo relacionado con sus funciones.
</t>
        </r>
        <r>
          <rPr>
            <b/>
            <sz val="9"/>
            <color indexed="81"/>
            <rFont val="Tahoma"/>
            <family val="2"/>
          </rPr>
          <t>Incluye</t>
        </r>
        <r>
          <rPr>
            <sz val="9"/>
            <color indexed="81"/>
            <rFont val="Tahoma"/>
            <family val="2"/>
          </rPr>
          <t xml:space="preserve">: Municiones, Misiles, Cohetes, Bombas y Otros elementos militares de un solo uso.
</t>
        </r>
      </text>
    </comment>
    <comment ref="D70" authorId="3" shapeId="0" xr:uid="{FAB5F57F-F5ED-48AC-A34E-EAEF2B69FD9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Incialmente en cero
</t>
      </text>
    </comment>
    <comment ref="C71" authorId="0" shapeId="0" xr:uid="{A127735D-C12B-49D1-A818-B89A525BAA54}">
      <text>
        <r>
          <rPr>
            <sz val="9"/>
            <color rgb="FF000000"/>
            <rFont val="Tahoma"/>
            <family val="2"/>
          </rPr>
          <t xml:space="preserve">Son los gastos asociados a la contratación de servicios que complementan el desarrollo de las funciones del órgano del PGN, o que permiten mantener y proteger los bienes que son de su propiedad o están a su cargo.
</t>
        </r>
      </text>
    </comment>
    <comment ref="C72" authorId="0" shapeId="0" xr:uid="{D8A172CD-8C32-4BCB-ACC4-A5307DBEDD35}">
      <text>
        <r>
          <rPr>
            <sz val="9"/>
            <color indexed="81"/>
            <rFont val="Tahoma"/>
            <family val="2"/>
          </rPr>
          <t xml:space="preserve">
Son los gastos asociados a la adquisición de servicios de construcción como preparaciones de terreno, montaje de construcciones prefabricadas, instalaciones, servicios de terminación y acabados de edificios, entre otros.</t>
        </r>
      </text>
    </comment>
    <comment ref="C73" authorId="0" shapeId="0" xr:uid="{679BE0BA-28E2-43CB-AE7B-3EDF0B277630}">
      <text>
        <r>
          <rPr>
            <sz val="9"/>
            <color rgb="FF000000"/>
            <rFont val="Tahoma"/>
            <family val="2"/>
          </rPr>
          <t xml:space="preserve">Son los gastos asociados a la adquisición de servicios de alojamiento; servicios de suministro de comidas y bebidas; servicios de transporte de pasajeros o de carga; servicios de mensajería y servicios de distribución de electricidad, gas y agua.
</t>
        </r>
        <r>
          <rPr>
            <b/>
            <sz val="9"/>
            <color rgb="FF000000"/>
            <rFont val="Tahoma"/>
            <family val="2"/>
          </rPr>
          <t>En este rubro se incluye el pago por gastos de viaje a contratistas y los servicios públicos de energia y gas natural.</t>
        </r>
      </text>
    </comment>
    <comment ref="M73" authorId="4" shapeId="0" xr:uid="{BCCED833-60DA-4319-A5C5-2855AF355323}">
      <text>
        <r>
          <rPr>
            <b/>
            <sz val="9"/>
            <color indexed="81"/>
            <rFont val="Tahoma"/>
            <family val="2"/>
          </rPr>
          <t>Marcela Correa Florez:</t>
        </r>
        <r>
          <rPr>
            <sz val="9"/>
            <color indexed="81"/>
            <rFont val="Tahoma"/>
            <family val="2"/>
          </rPr>
          <t xml:space="preserve">
ruta de la felicidad y mensajeria </t>
        </r>
      </text>
    </comment>
    <comment ref="N73" authorId="4" shapeId="0" xr:uid="{4167E5CC-5184-4931-8E42-CE9F72585884}">
      <text>
        <r>
          <rPr>
            <b/>
            <sz val="9"/>
            <color indexed="81"/>
            <rFont val="Tahoma"/>
            <family val="2"/>
          </rPr>
          <t>Marcela Correa Florez:</t>
        </r>
        <r>
          <rPr>
            <sz val="9"/>
            <color indexed="81"/>
            <rFont val="Tahoma"/>
            <family val="2"/>
          </rPr>
          <t xml:space="preserve">
viaticos y tiquetes
</t>
        </r>
      </text>
    </comment>
    <comment ref="O73" authorId="4" shapeId="0" xr:uid="{A37EBA19-720A-48D4-A177-29AE69C69880}">
      <text>
        <r>
          <rPr>
            <b/>
            <sz val="9"/>
            <color indexed="81"/>
            <rFont val="Tahoma"/>
            <family val="2"/>
          </rPr>
          <t>Marcela Correa Florez:</t>
        </r>
        <r>
          <rPr>
            <sz val="9"/>
            <color indexed="81"/>
            <rFont val="Tahoma"/>
            <family val="2"/>
          </rPr>
          <t xml:space="preserve">
servicios publicos
</t>
        </r>
      </text>
    </comment>
    <comment ref="C74" authorId="0" shapeId="0" xr:uid="{01093FF4-B97E-40EF-9FE1-8A64DEDD5E9C}">
      <text>
        <r>
          <rPr>
            <sz val="9"/>
            <color rgb="FF000000"/>
            <rFont val="Tahoma"/>
            <family val="2"/>
          </rPr>
          <t xml:space="preserve">Son los gastos asociados a la adquisición de servicios financieros, seguros, servicios de mantenimiento de activos financieros, servicios inmobiliarios y arrendamientos.
</t>
        </r>
        <r>
          <rPr>
            <b/>
            <sz val="9"/>
            <color rgb="FF000000"/>
            <rFont val="Tahoma"/>
            <family val="2"/>
          </rPr>
          <t>En este rubro se incluye el arrendamiento de vehiculos corrientes y blindados  para protección.</t>
        </r>
        <r>
          <rPr>
            <sz val="9"/>
            <color rgb="FF000000"/>
            <rFont val="Tahoma"/>
            <family val="2"/>
          </rPr>
          <t xml:space="preserve">
</t>
        </r>
      </text>
    </comment>
    <comment ref="M74" authorId="4" shapeId="0" xr:uid="{B64E5F21-261F-4EEB-8BC8-D658A59AB6B6}">
      <text>
        <r>
          <rPr>
            <b/>
            <sz val="9"/>
            <color indexed="81"/>
            <rFont val="Tahoma"/>
            <family val="2"/>
          </rPr>
          <t>Marcela Correa Florez:</t>
        </r>
        <r>
          <rPr>
            <sz val="9"/>
            <color indexed="81"/>
            <rFont val="Tahoma"/>
            <family val="2"/>
          </rPr>
          <t xml:space="preserve">
polizas y arrendamientos
</t>
        </r>
      </text>
    </comment>
    <comment ref="N74" authorId="4" shapeId="0" xr:uid="{3F66ADD9-4531-45A8-BEB4-A72FEFEF5997}">
      <text>
        <r>
          <rPr>
            <b/>
            <sz val="9"/>
            <color indexed="81"/>
            <rFont val="Tahoma"/>
            <family val="2"/>
          </rPr>
          <t>Marcela Correa Florez:</t>
        </r>
        <r>
          <rPr>
            <sz val="9"/>
            <color indexed="81"/>
            <rFont val="Tahoma"/>
            <family val="2"/>
          </rPr>
          <t xml:space="preserve">
arrendamiento de vehiculos</t>
        </r>
      </text>
    </comment>
    <comment ref="C75" authorId="0" shapeId="0" xr:uid="{0D94359D-B4DA-4F49-822B-205C0411F15C}">
      <text>
        <r>
          <rPr>
            <sz val="9"/>
            <color rgb="FF000000"/>
            <rFont val="Tahoma"/>
            <family val="2"/>
          </rPr>
          <t xml:space="preserve">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t>
        </r>
        <r>
          <rPr>
            <b/>
            <sz val="9"/>
            <color rgb="FF000000"/>
            <rFont val="Tahoma"/>
            <family val="2"/>
          </rPr>
          <t>En este rubro se incluye hombres de protección y los contratos de prestación de servicios.</t>
        </r>
      </text>
    </comment>
    <comment ref="M75" authorId="4" shapeId="0" xr:uid="{6C9631C9-FE30-4A1C-A22C-1445F096E45D}">
      <text>
        <r>
          <rPr>
            <b/>
            <sz val="9"/>
            <color indexed="81"/>
            <rFont val="Tahoma"/>
            <family val="2"/>
          </rPr>
          <t>Marcela Correa Florez:</t>
        </r>
        <r>
          <rPr>
            <sz val="9"/>
            <color indexed="81"/>
            <rFont val="Tahoma"/>
            <family val="2"/>
          </rPr>
          <t xml:space="preserve">
servicios personales indirectos</t>
        </r>
      </text>
    </comment>
    <comment ref="N75" authorId="4" shapeId="0" xr:uid="{B26E080B-1A21-4E2D-8B7B-D3796D271ADD}">
      <text>
        <r>
          <rPr>
            <b/>
            <sz val="9"/>
            <color indexed="81"/>
            <rFont val="Tahoma"/>
            <family val="2"/>
          </rPr>
          <t>Marcela Correa Florez:</t>
        </r>
        <r>
          <rPr>
            <sz val="9"/>
            <color indexed="81"/>
            <rFont val="Tahoma"/>
            <family val="2"/>
          </rPr>
          <t xml:space="preserve">
Servicios pulblicos
</t>
        </r>
      </text>
    </comment>
    <comment ref="O75" authorId="4" shapeId="0" xr:uid="{3D1CB17B-F9B4-4BF7-B297-21B9B9977E7F}">
      <text>
        <r>
          <rPr>
            <b/>
            <sz val="9"/>
            <color indexed="81"/>
            <rFont val="Tahoma"/>
            <family val="2"/>
          </rPr>
          <t>Marcela Correa Florez:</t>
        </r>
        <r>
          <rPr>
            <sz val="9"/>
            <color indexed="81"/>
            <rFont val="Tahoma"/>
            <family val="2"/>
          </rPr>
          <t xml:space="preserve">
SERVICIOS PRESTADOS A LAS EMPRESAS Y SERVICIOS DE PRODUCCIÓN
</t>
        </r>
      </text>
    </comment>
    <comment ref="P75" authorId="4" shapeId="0" xr:uid="{08344926-FF4C-4378-B8C1-995DBAF97166}">
      <text>
        <r>
          <rPr>
            <b/>
            <sz val="9"/>
            <color indexed="81"/>
            <rFont val="Tahoma"/>
            <family val="2"/>
          </rPr>
          <t>Marcela Correa Florez:</t>
        </r>
        <r>
          <rPr>
            <sz val="9"/>
            <color indexed="81"/>
            <rFont val="Tahoma"/>
            <family val="2"/>
          </rPr>
          <t xml:space="preserve">
personas de protección y vehiculos
</t>
        </r>
      </text>
    </comment>
    <comment ref="C76" authorId="0" shapeId="0" xr:uid="{E1D5A8DB-B564-4DBA-BF14-4B0FF6BF4EBC}">
      <text>
        <r>
          <rPr>
            <sz val="9"/>
            <color rgb="FF000000"/>
            <rFont val="Tahoma"/>
            <family val="2"/>
          </rPr>
          <t xml:space="preserve">Son los gastos asociados a la adquisición de servicios educativos, servicios de salud, servicios culturales y deportivos, servicios de tratamiento (agua y alcantarillado) y recolección de desechos, servicios proporcionados por asociaciones, entre otros.
</t>
        </r>
        <r>
          <rPr>
            <b/>
            <sz val="9"/>
            <color rgb="FF000000"/>
            <rFont val="Tahoma"/>
            <family val="2"/>
          </rPr>
          <t>En este rubro se incluye el pago por el servicio público de acueducto, alcantarillado y aseo y los servicios bienestar relacionados con educación, salud, recreación y cultura.</t>
        </r>
        <r>
          <rPr>
            <sz val="9"/>
            <color rgb="FF000000"/>
            <rFont val="Tahoma"/>
            <family val="2"/>
          </rPr>
          <t xml:space="preserve">
</t>
        </r>
      </text>
    </comment>
    <comment ref="M76" authorId="4" shapeId="0" xr:uid="{1A78B873-0E87-475B-9889-C64D7CE2AE62}">
      <text>
        <r>
          <rPr>
            <b/>
            <sz val="9"/>
            <color indexed="81"/>
            <rFont val="Tahoma"/>
            <family val="2"/>
          </rPr>
          <t>Marcela Correa Florez:</t>
        </r>
        <r>
          <rPr>
            <sz val="9"/>
            <color indexed="81"/>
            <rFont val="Tahoma"/>
            <family val="2"/>
          </rPr>
          <t xml:space="preserve">
servicios publicos
</t>
        </r>
      </text>
    </comment>
    <comment ref="N76" authorId="4" shapeId="0" xr:uid="{96608B5A-745C-42B8-913F-02F743EE832A}">
      <text>
        <r>
          <rPr>
            <b/>
            <sz val="9"/>
            <color indexed="81"/>
            <rFont val="Tahoma"/>
            <family val="2"/>
          </rPr>
          <t>Marcela Correa Florez:</t>
        </r>
        <r>
          <rPr>
            <sz val="9"/>
            <color indexed="81"/>
            <rFont val="Tahoma"/>
            <family val="2"/>
          </rPr>
          <t xml:space="preserve">
adquisiciòn de servicios
</t>
        </r>
      </text>
    </comment>
    <comment ref="C77" authorId="0" shapeId="0" xr:uid="{429641C9-2F09-4982-B050-35520BC8B1BA}">
      <text>
        <r>
          <rPr>
            <sz val="9"/>
            <color indexed="81"/>
            <rFont val="Tahoma"/>
            <family val="2"/>
          </rPr>
          <t xml:space="preserve">Son los pagos por concepto de viáticos que reciben los funcionarios y trabajadores oficiales en comisión, para alojamiento y manutención cuando: a) deban desempeñar sus funciones en un lugar diferente a su sede habitual de trabajo, ya sea dentro o fuera del país, o b) deba atender transitoriamente actividades oficiales distintas a las inherentes al empleo del que es titular.
</t>
        </r>
        <r>
          <rPr>
            <b/>
            <sz val="9"/>
            <color indexed="81"/>
            <rFont val="Tahoma"/>
            <family val="2"/>
          </rPr>
          <t>Solo se registran en esta cuenta los viáticos de los funcionarios en comisión que sean por un término inferior a 180 días.</t>
        </r>
      </text>
    </comment>
    <comment ref="C78" authorId="0" shapeId="0" xr:uid="{8D304DDB-4E02-4A15-95A4-7EA5B7C219D8}">
      <text>
        <r>
          <rPr>
            <sz val="9"/>
            <color indexed="81"/>
            <rFont val="Tahoma"/>
            <family val="2"/>
          </rPr>
          <t xml:space="preserve">
Comprende las transacciones que realiza un órgano del PGN a otra unidad (personas, hogares, organizaciones, empresas, gobiernos extranjeros, organizaciones internacionales,unidades de gobiernos, entre otros), sin recibir de esta ningún bien, servicio o activo a cambio como contrapartida directa.</t>
        </r>
      </text>
    </comment>
    <comment ref="C79" authorId="0" shapeId="0" xr:uid="{DD98FEC0-F992-4A90-A2C3-9AEDC11FAE4B}">
      <text>
        <r>
          <rPr>
            <sz val="9"/>
            <color rgb="FF000000"/>
            <rFont val="Tahoma"/>
            <family val="2"/>
          </rPr>
          <t xml:space="preserve">
</t>
        </r>
        <r>
          <rPr>
            <sz val="9"/>
            <color rgb="FF000000"/>
            <rFont val="Tahoma"/>
            <family val="2"/>
          </rPr>
          <t>Son transferencias que las unidades de gobierno realizan directamente a sus empleados para satisfacer necesidades derivadas de riesgos sociales. Estas prestaciones pueden incluir el reconocimiento de salarios durante periodos de ausencia del trabajo debido a incapacidad médica, accidentes, maternidad, entre otros.</t>
        </r>
      </text>
    </comment>
    <comment ref="C81" authorId="0" shapeId="0" xr:uid="{2427BCF7-31CF-40F6-9CB0-220109722AFF}">
      <text>
        <r>
          <rPr>
            <sz val="9"/>
            <color indexed="81"/>
            <rFont val="Tahoma"/>
            <family val="2"/>
          </rPr>
          <t xml:space="preserve">
Corresponde a las transferencias por acatamiento de un fallo judicial, de un mandamiento ejecutivo, de créditos judicialmente reconocidos, de laudos arbitrales, o de una conciliación ante autoridad  ompetente, en los que se ordene resarcir un derecho de terceros.</t>
        </r>
      </text>
    </comment>
    <comment ref="C82" authorId="0" shapeId="0" xr:uid="{E8AC9C79-7851-4B66-B6E6-69EDD8E1CD0B}">
      <text>
        <r>
          <rPr>
            <b/>
            <sz val="9"/>
            <color indexed="81"/>
            <rFont val="Tahoma"/>
            <family val="2"/>
          </rPr>
          <t>Apoyos de protección</t>
        </r>
        <r>
          <rPr>
            <sz val="9"/>
            <color indexed="81"/>
            <rFont val="Tahoma"/>
            <family val="2"/>
          </rPr>
          <t xml:space="preserve">: Corresponde al dinero que se le entrega al protegido del programa, para sufragar gastos de trasporte, reubicación y trasteo para brindar condiciones de seguridad.
</t>
        </r>
        <r>
          <rPr>
            <b/>
            <sz val="9"/>
            <color indexed="81"/>
            <rFont val="Tahoma"/>
            <family val="2"/>
          </rPr>
          <t>Medidas con enfoque diferencial</t>
        </r>
        <r>
          <rPr>
            <sz val="9"/>
            <color indexed="81"/>
            <rFont val="Tahoma"/>
            <family val="2"/>
          </rPr>
          <t xml:space="preserve">: Corresponde a medidas de protección diferentes de esquemas de protección, recursos fisicos de soporte a ls esquemas, apoyos, medios de movilización, entre otros, teniendo en cuenta un enfoque diferencial, el nivel de riesgo y el factor territorial. </t>
        </r>
      </text>
    </comment>
    <comment ref="D82" authorId="4" shapeId="0" xr:uid="{899493C5-3E95-47A2-8975-847D109CB5E4}">
      <text>
        <r>
          <rPr>
            <b/>
            <sz val="9"/>
            <color indexed="81"/>
            <rFont val="Tahoma"/>
            <family val="2"/>
          </rPr>
          <t>Marcela Correa Florez:</t>
        </r>
        <r>
          <rPr>
            <sz val="9"/>
            <color indexed="81"/>
            <rFont val="Tahoma"/>
            <family val="2"/>
          </rPr>
          <t xml:space="preserve">
Se ajusta el valor. Incialmente 
59698388000
</t>
        </r>
      </text>
    </comment>
    <comment ref="C83" authorId="0" shapeId="0" xr:uid="{595CEE12-AD23-41E5-A90A-B8211B225947}">
      <text>
        <r>
          <rPr>
            <sz val="9"/>
            <color rgb="FF000000"/>
            <rFont val="Tahoma"/>
            <family val="2"/>
          </rPr>
          <t>Comprende los gastos asociados a la adquisición de insumos necesarios para la producción y comercialización de los bienes y servicios que provee el establecimiento público.</t>
        </r>
      </text>
    </comment>
    <comment ref="C84" authorId="0" shapeId="0" xr:uid="{7659D0E9-7517-42DF-B7E8-EFD552A4CD98}">
      <text>
        <r>
          <rPr>
            <sz val="9"/>
            <color indexed="81"/>
            <rFont val="Tahoma"/>
            <family val="2"/>
          </rPr>
          <t xml:space="preserve">Son los gastos asociados a la adquisición de servicios financieros, seguros, servicios de mantenimiento de activos financieros, servicios inmobiliarios y arrendamientos.
</t>
        </r>
        <r>
          <rPr>
            <b/>
            <sz val="9"/>
            <color indexed="81"/>
            <rFont val="Tahoma"/>
            <family val="2"/>
          </rPr>
          <t>En este rubro se incluye el arrendamiento de vehiculos corrientes y blindados  para protección.</t>
        </r>
      </text>
    </comment>
    <comment ref="C86" authorId="0" shapeId="0" xr:uid="{B2BAF94C-B7F4-4F59-B456-288E2A14D972}">
      <text>
        <r>
          <rPr>
            <sz val="9"/>
            <color rgb="FF000000"/>
            <rFont val="Tahoma"/>
            <family val="2"/>
          </rPr>
          <t xml:space="preserve">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t>
        </r>
        <r>
          <rPr>
            <b/>
            <sz val="9"/>
            <color rgb="FF000000"/>
            <rFont val="Tahoma"/>
            <family val="2"/>
          </rPr>
          <t>En este rubro se incluye hombres de protección y los contratos de prestación de servicios</t>
        </r>
        <r>
          <rPr>
            <sz val="9"/>
            <color rgb="FF000000"/>
            <rFont val="Tahoma"/>
            <family val="2"/>
          </rPr>
          <t>.</t>
        </r>
      </text>
    </comment>
    <comment ref="C88" authorId="0" shapeId="0" xr:uid="{33F92247-8E9C-4583-AE3E-AE0690D6770C}">
      <text>
        <r>
          <rPr>
            <sz val="9"/>
            <color indexed="81"/>
            <rFont val="Tahoma"/>
            <family val="2"/>
          </rPr>
          <t>Comprende el gasto por tributos, multas, sanciones e intereses de mora, que por mandato legal deben atender los órganos del PGN. Entiéndase por tributos, las prestaciones pecuniarias establecidas por una autoridad estatal, en ejercicio de su poder de imperio, para el cumplimiento de sus fines.</t>
        </r>
      </text>
    </comment>
    <comment ref="C89" authorId="0" shapeId="0" xr:uid="{DDBBAEC3-8CE5-4B71-83B9-B8F27A83FEEB}">
      <text>
        <r>
          <rPr>
            <sz val="9"/>
            <color rgb="FF000000"/>
            <rFont val="Tahoma"/>
            <family val="2"/>
          </rPr>
          <t xml:space="preserve">Son los gastos asociados a pagos obligatorios que debe realizar el establecimiento público a la Nación, Departamento o Municipio, sin que exista una retribución particular por parte de los mismos, en función de su condición de contribuyente o sujeto pasivo de un impuesto nacional o territorial.
</t>
        </r>
        <r>
          <rPr>
            <b/>
            <sz val="9"/>
            <color rgb="FF000000"/>
            <rFont val="Tahoma"/>
            <family val="2"/>
          </rPr>
          <t>Incluye:</t>
        </r>
        <r>
          <rPr>
            <sz val="9"/>
            <color rgb="FF000000"/>
            <rFont val="Tahoma"/>
            <family val="2"/>
          </rPr>
          <t xml:space="preserve"> Impuesto predial, impuesto sobre vehículos automotores.</t>
        </r>
      </text>
    </comment>
    <comment ref="C90" authorId="0" shapeId="0" xr:uid="{9C9C6DCC-AAF9-43D1-99A0-06C604847140}">
      <text>
        <r>
          <rPr>
            <sz val="9"/>
            <color rgb="FF000000"/>
            <rFont val="Tahoma"/>
            <family val="2"/>
          </rPr>
          <t xml:space="preserve">Son los gastos asociados al pago por la prestación directa y efectiva de un servicio público individualizado y específico (tasa); o al pago de un bien o servicio ofrecido por una entidad pública en cumplimiento de su función regulatoria (derecho administrativo). 
</t>
        </r>
        <r>
          <rPr>
            <sz val="9"/>
            <color rgb="FF000000"/>
            <rFont val="Tahoma"/>
            <family val="2"/>
          </rPr>
          <t>Incluye: Pagos por notariado, Renovación de salvoconductos para armas.</t>
        </r>
      </text>
    </comment>
    <comment ref="C91" authorId="0" shapeId="0" xr:uid="{0D894317-E55A-4319-9B88-A8B96FA5757B}">
      <text>
        <r>
          <rPr>
            <sz val="9"/>
            <color indexed="81"/>
            <rFont val="Tahoma"/>
            <family val="2"/>
          </rPr>
          <t xml:space="preserve">Son los gastos asociados al pago de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En este caso </t>
        </r>
        <r>
          <rPr>
            <b/>
            <sz val="9"/>
            <color indexed="81"/>
            <rFont val="Tahoma"/>
            <family val="2"/>
          </rPr>
          <t>No se incluye</t>
        </r>
        <r>
          <rPr>
            <sz val="9"/>
            <color indexed="81"/>
            <rFont val="Tahoma"/>
            <family val="2"/>
          </rPr>
          <t>: Ni contribuciones sociales, ni contribuciones asociadas a la nómina.</t>
        </r>
      </text>
    </comment>
    <comment ref="C92" authorId="0" shapeId="0" xr:uid="{6DA7CC4D-04BE-4AB8-AB2C-CDEBA7B96455}">
      <text>
        <r>
          <rPr>
            <sz val="9"/>
            <color rgb="FF000000"/>
            <rFont val="Tahoma"/>
            <family val="2"/>
          </rPr>
          <t xml:space="preserve">Comprende el gasto por penalidades pecuniarias que se derivan del poder punitivo del Estado, y que se establecen por el incumplimiento de leyes o normas administrativas, con el fin de prevenir un comportamiento considerado indeseable.
</t>
        </r>
        <r>
          <rPr>
            <sz val="9"/>
            <color rgb="FF000000"/>
            <rFont val="Tahoma"/>
            <family val="2"/>
          </rPr>
          <t>Esta cuenta incluye también el gasto por intereses de mora generados como resarcimiento tarifado o indemnización a los perjuicios que padece el acreedor por no tener consigo el dinero en la oportunidad debida.</t>
        </r>
      </text>
    </comment>
    <comment ref="C93" authorId="0" shapeId="0" xr:uid="{8E969DA9-BD93-4305-87D0-0102AFD37901}">
      <text>
        <r>
          <rPr>
            <sz val="9"/>
            <color indexed="81"/>
            <rFont val="Tahoma"/>
            <family val="2"/>
          </rPr>
          <t>Comprende el gasto por tributos, multas, sanciones e intereses de mora, que por mandato legal deben atender los órganos del PGN. Entiéndase por tributos, las prestaciones pecuniarias establecidas por una autoridad estatal, en ejercicio de su poder de imperio, para el cumplimiento de sus fines.</t>
        </r>
      </text>
    </comment>
    <comment ref="C100" authorId="0" shapeId="0" xr:uid="{C00574EF-0560-4CA1-AD54-D5E4F7F87BBE}">
      <text>
        <r>
          <rPr>
            <sz val="9"/>
            <color indexed="81"/>
            <rFont val="Tahoma"/>
            <family val="2"/>
          </rPr>
          <t>Son los destinados a la prestación de servicios o a la realización de transferencias a la comunidad por parte de las unidades ejecutoras del Presupuesto General de la Nación (PGN), incluidasen los programas sociales, así como a la adquisición de activos no financieros por parte de las mismas.</t>
        </r>
      </text>
    </comment>
    <comment ref="E126" authorId="0" shapeId="0" xr:uid="{D0738B81-5550-4DD9-9648-F52CF4F81ED8}">
      <text>
        <r>
          <rPr>
            <sz val="9"/>
            <color indexed="81"/>
            <rFont val="Tahoma"/>
            <family val="2"/>
          </rPr>
          <t>Son los gastos asociados a la adquisición de</t>
        </r>
        <r>
          <rPr>
            <b/>
            <sz val="9"/>
            <color indexed="81"/>
            <rFont val="Tahoma"/>
            <family val="2"/>
          </rPr>
          <t xml:space="preserve"> bienes (que no constituyen activos)</t>
        </r>
        <r>
          <rPr>
            <sz val="9"/>
            <color indexed="81"/>
            <rFont val="Tahoma"/>
            <family val="2"/>
          </rPr>
          <t xml:space="preserve">, y </t>
        </r>
        <r>
          <rPr>
            <b/>
            <sz val="9"/>
            <color indexed="81"/>
            <rFont val="Tahoma"/>
            <family val="2"/>
          </rPr>
          <t>servicios</t>
        </r>
        <r>
          <rPr>
            <sz val="9"/>
            <color indexed="81"/>
            <rFont val="Tahoma"/>
            <family val="2"/>
          </rPr>
          <t xml:space="preserve">, suministrados por personas naturales y jurídicas, que se utilizan apoyar el desarrollo de las funciones de la entidad.
</t>
        </r>
      </text>
    </comment>
    <comment ref="E127" authorId="0" shapeId="0" xr:uid="{0A033149-83CE-438B-A57B-C76E7F2DCC15}">
      <text>
        <r>
          <rPr>
            <sz val="9"/>
            <color indexed="81"/>
            <rFont val="Tahoma"/>
            <family val="2"/>
          </rPr>
          <t>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t>
        </r>
      </text>
    </comment>
    <comment ref="E128" authorId="0" shapeId="0" xr:uid="{0507DDE2-BB66-4682-BC91-FC34352D956F}">
      <text>
        <r>
          <rPr>
            <sz val="9"/>
            <color rgb="FF000000"/>
            <rFont val="Tahoma"/>
            <family val="2"/>
          </rPr>
          <t>Son los gastos asociados a la adquisición de productos relacionados con la agricultura, la horticultura, la silvicultura y los productos de explotación forestal. Incluye también la compra de animales o productos animales, y la compra de pescados o productos de la pesca.</t>
        </r>
      </text>
    </comment>
    <comment ref="E129" authorId="0" shapeId="0" xr:uid="{AD6BAD0E-58D2-4445-A63B-4734DE7F899E}">
      <text>
        <r>
          <rPr>
            <sz val="9"/>
            <color rgb="FF000000"/>
            <rFont val="Tahoma"/>
            <family val="2"/>
          </rPr>
          <t xml:space="preserve">Son los gastos asociados a la adquisición de todo tipo de minerales incluidos el carbón, el petróleo, los concentrados de uranio y torio, los minerales metálicos, las piedras preciosas, entre otros. </t>
        </r>
      </text>
    </comment>
    <comment ref="E130" authorId="0" shapeId="0" xr:uid="{95260063-3914-4A80-8050-C7D4575A08F7}">
      <text>
        <r>
          <rPr>
            <sz val="9"/>
            <color indexed="81"/>
            <rFont val="Tahoma"/>
            <family val="2"/>
          </rPr>
          <t>Son los gastos asociados a la adquisición de productos alimenticios como la carne; las preparaciones y conservas de pescados, frutas y hortalizas; los productos lácteos y ovoproductos; los productos de la molinería; y todo tipo de bebidas. Esta sección</t>
        </r>
        <r>
          <rPr>
            <b/>
            <sz val="9"/>
            <color indexed="81"/>
            <rFont val="Tahoma"/>
            <family val="2"/>
          </rPr>
          <t xml:space="preserve"> incluye</t>
        </r>
        <r>
          <rPr>
            <sz val="9"/>
            <color indexed="81"/>
            <rFont val="Tahoma"/>
            <family val="2"/>
          </rPr>
          <t xml:space="preserve"> también la adquisición de hilados, tejidos, artículos textiles y dotación.</t>
        </r>
      </text>
    </comment>
    <comment ref="E131" authorId="0" shapeId="0" xr:uid="{CE82B0D8-AE22-4827-883B-C7BA8B2734D1}">
      <text>
        <r>
          <rPr>
            <sz val="9"/>
            <color indexed="81"/>
            <rFont val="Tahoma"/>
            <family val="2"/>
          </rPr>
          <t xml:space="preserve">Son los gastos asociados a la adquisición de productos de madera; libros, diarios o publicaciones impresas; productos de refinación de petróleo y </t>
        </r>
        <r>
          <rPr>
            <b/>
            <sz val="9"/>
            <color indexed="81"/>
            <rFont val="Tahoma"/>
            <family val="2"/>
          </rPr>
          <t>combustibles</t>
        </r>
        <r>
          <rPr>
            <sz val="9"/>
            <color indexed="81"/>
            <rFont val="Tahoma"/>
            <family val="2"/>
          </rPr>
          <t>; productos químicos; productos de caucho y plástico; productos de vidrio; muebles; desechos; entre otros.</t>
        </r>
      </text>
    </comment>
    <comment ref="E132" authorId="0" shapeId="0" xr:uid="{D1FD73F1-A892-4AD4-ADF6-234697EC7E22}">
      <text>
        <r>
          <rPr>
            <sz val="9"/>
            <color rgb="FF000000"/>
            <rFont val="Tahoma"/>
            <family val="2"/>
          </rPr>
          <t>Son los gastos asociados a la adquisición de metales básicos, productos metálicos elaborados y paquetes de software.</t>
        </r>
      </text>
    </comment>
    <comment ref="E133" authorId="0" shapeId="0" xr:uid="{9F39B276-CDC0-4978-A3FA-4C99B4C4802B}">
      <text>
        <r>
          <rPr>
            <sz val="9"/>
            <color indexed="81"/>
            <rFont val="Tahoma"/>
            <family val="2"/>
          </rPr>
          <t xml:space="preserve">Corresponde a los bienes fungibles adquiridos por el sector seguridad, defensa y orden público para uso exclusivo relacionado con sus funciones.
</t>
        </r>
        <r>
          <rPr>
            <b/>
            <sz val="9"/>
            <color indexed="81"/>
            <rFont val="Tahoma"/>
            <family val="2"/>
          </rPr>
          <t>Incluye</t>
        </r>
        <r>
          <rPr>
            <sz val="9"/>
            <color indexed="81"/>
            <rFont val="Tahoma"/>
            <family val="2"/>
          </rPr>
          <t xml:space="preserve">: Municiones, Misiles, Cohetes, Bombas y Otros elementos militares de un solo uso.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5" authorId="0" shapeId="0" xr:uid="{16F4628F-A59E-4D85-8DBE-E0A534279B5E}">
      <text>
        <r>
          <rPr>
            <sz val="9"/>
            <color rgb="FF000000"/>
            <rFont val="Tahoma"/>
            <family val="2"/>
          </rPr>
          <t>Dinero que se le entrega al protegido del programa, para sufragar el precio del contrato de transporte, para brindar condiciones de seguridad en la movilidad.</t>
        </r>
      </text>
    </comment>
    <comment ref="A17" authorId="0" shapeId="0" xr:uid="{D9C3C181-AF31-4277-A858-3678F6CB764F}">
      <text>
        <r>
          <rPr>
            <sz val="9"/>
            <color rgb="FF000000"/>
            <rFont val="Tahoma"/>
            <family val="2"/>
          </rPr>
          <t>Asignación y entrega al protegido de una suma de dinero para facilitar su asentamiento en un lugar diferente a la zona de riesgo, según las particularidades del grupo familiar.</t>
        </r>
      </text>
    </comment>
    <comment ref="A29" authorId="0" shapeId="0" xr:uid="{C805F75B-0907-4E2F-A119-96F71F81F10C}">
      <text>
        <r>
          <rPr>
            <sz val="9"/>
            <color rgb="FF000000"/>
            <rFont val="Tahoma"/>
            <family val="2"/>
          </rPr>
          <t>Dinero que se le entrega para el traslado de muebles y enseres de las personas que en razón del riesgo extremo o extraordinario deban trasladar su domicilio.</t>
        </r>
      </text>
    </comment>
    <comment ref="A41" authorId="0" shapeId="0" xr:uid="{5DBF222C-3ECD-443F-B9EF-E2690CDEA154}">
      <text>
        <r>
          <rPr>
            <sz val="9"/>
            <color rgb="FF000000"/>
            <rFont val="Tahoma"/>
            <family val="2"/>
          </rPr>
          <t xml:space="preserve">Medidas de protección diferentes de esquemas de protección, recursos físicos de soporte a las esquemas, apoyos, medios de movilización, entre otros, teniendo en cuenta un enfoque diferencial, el nivel de riesgo y el factor territorial.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DFBD5A59-7AD2-4F98-9120-C3DE2A961CC1}">
      <text>
        <r>
          <rPr>
            <sz val="9"/>
            <color rgb="FF000000"/>
            <rFont val="Tahoma"/>
            <family val="2"/>
          </rPr>
          <t xml:space="preserve">Corresponde a las transferencias por acatamiento de un fallo judicial, de un mandamiento ejecutivo, de créditos judicialmente reconocidos, de laudos arbitrales, o de una conciliación ante autoridad  competente, en los que se ordene resarcir un derecho de terceros.
</t>
        </r>
      </text>
    </comment>
    <comment ref="A6" authorId="0" shapeId="0" xr:uid="{5D86F41A-D38A-44F4-986A-CC81CF0EB38E}">
      <text>
        <r>
          <rPr>
            <sz val="9"/>
            <color rgb="FF000000"/>
            <rFont val="Tahoma"/>
            <family val="2"/>
          </rPr>
          <t xml:space="preserve">Corresponde a las transferencias por el acatamiento de una decisión judicial que pone fin a un pleito civil o a una causa criminal, resolviendo
</t>
        </r>
        <r>
          <rPr>
            <sz val="9"/>
            <color rgb="FF000000"/>
            <rFont val="Tahoma"/>
            <family val="2"/>
          </rPr>
          <t>respectivamente los derechos de cada litigante y la condena o absolución del procesado</t>
        </r>
      </text>
    </comment>
    <comment ref="A11" authorId="0" shapeId="0" xr:uid="{0FA515EC-A574-4DFC-A867-3EA9D716B6E3}">
      <text>
        <r>
          <rPr>
            <sz val="9"/>
            <color rgb="FF000000"/>
            <rFont val="Tahoma"/>
            <family val="2"/>
          </rPr>
          <t xml:space="preserve">Corresponde a las transferencias por una conciliación. 
</t>
        </r>
        <r>
          <rPr>
            <b/>
            <sz val="9"/>
            <color rgb="FF000000"/>
            <rFont val="Tahoma"/>
            <family val="2"/>
          </rPr>
          <t>La conciliación</t>
        </r>
        <r>
          <rPr>
            <sz val="9"/>
            <color rgb="FF000000"/>
            <rFont val="Tahoma"/>
            <family val="2"/>
          </rPr>
          <t xml:space="preserve"> es un procedimiento, a través del cual las personas que se encuentran involucradas en un conflicto desistible, transigible o determinado como conciliable por
</t>
        </r>
        <r>
          <rPr>
            <sz val="9"/>
            <color rgb="FF000000"/>
            <rFont val="Tahoma"/>
            <family val="2"/>
          </rPr>
          <t>la ley, encuentran la manera de resolverlo a través de un acuerdo satisfactorio para ambas partes</t>
        </r>
      </text>
    </comment>
    <comment ref="A16" authorId="0" shapeId="0" xr:uid="{862CBA95-0E11-42E4-9114-1D9B22833517}">
      <text>
        <r>
          <rPr>
            <sz val="9"/>
            <color rgb="FF000000"/>
            <rFont val="Tahoma"/>
            <family val="2"/>
          </rPr>
          <t>Corresponde a las transferencias por el acatamiento de las sentencias que profieren los tribunales de arbitraje</t>
        </r>
      </text>
    </comment>
    <comment ref="A21" authorId="0" shapeId="0" xr:uid="{01E84A67-78B9-402B-8691-58853090F2EF}">
      <text>
        <r>
          <rPr>
            <sz val="9"/>
            <color rgb="FF000000"/>
            <rFont val="Tahoma"/>
            <family val="2"/>
          </rPr>
          <t>Corresponde a las transferencias por el acatamiento de un fallo judicial, de un mandamiento ejecutivo, de créditos judicialmente reconocidos, de laudos arbitrales, o de una conciliación ante una autoridad de carácter internacional.</t>
        </r>
      </text>
    </comment>
    <comment ref="A22" authorId="0" shapeId="0" xr:uid="{2037E3EB-6661-445B-AD27-6DF0E58E6AED}">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1076B94E-2216-476A-98BB-C8FD53AE9F94}">
      <text>
        <r>
          <rPr>
            <sz val="9"/>
            <color rgb="FF000000"/>
            <rFont val="Tahoma"/>
            <family val="2"/>
          </rPr>
          <t xml:space="preserve">Comprende los gastos asociados a la adquisición de insumos necesarios para la producción y
</t>
        </r>
        <r>
          <rPr>
            <sz val="9"/>
            <color rgb="FF000000"/>
            <rFont val="Tahoma"/>
            <family val="2"/>
          </rPr>
          <t>comercialización de los bienes y servicios que provee el establecimiento público.</t>
        </r>
      </text>
    </comment>
    <comment ref="A4" authorId="0" shapeId="0" xr:uid="{EBBC966F-D23D-472F-81B3-D4F0D7F00E65}">
      <text>
        <r>
          <rPr>
            <sz val="9"/>
            <color indexed="81"/>
            <rFont val="Tahoma"/>
            <family val="2"/>
          </rPr>
          <t>Comprende los recursos destinados a la contratación de servicios asociados directamente con el proceso de producción y comercialización de bienes y servicios que provee el establecimiento público.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3AD0493F-B543-764F-BF67-51A1D04A8AFE}">
      <text>
        <r>
          <rPr>
            <sz val="9"/>
            <color rgb="FF000000"/>
            <rFont val="Tahoma"/>
            <family val="2"/>
          </rPr>
          <t>Comprende el gasto por tributos, multas, sanciones e intereses de mora, que por mandato legal deben atender los órganos del PGN. Entiéndase por tributos, las prestaciones pecuniarias establecidas por una autoridad estatal, en ejercicio de su poder de imperio, para el cumplimiento de sus fines.</t>
        </r>
      </text>
    </comment>
    <comment ref="A5" authorId="0" shapeId="0" xr:uid="{D69BC434-A340-104B-8ADB-D302FD66A5F8}">
      <text>
        <r>
          <rPr>
            <sz val="9"/>
            <color rgb="FF000000"/>
            <rFont val="Tahoma"/>
            <family val="2"/>
          </rPr>
          <t>Son los gastos asociados a pagos obligatorios que debe realizar el establecimiento público a la Nación, Departamento o Municipio, sin que exista una retribución particular por parte de los mismos, en función de su condición de contribuyente o sujeto pasivo de un impuesto nacional o territorial.</t>
        </r>
      </text>
    </comment>
    <comment ref="A12" authorId="0" shapeId="0" xr:uid="{CFEA2BE5-8157-DE42-B3D4-FDBD335EA12F}">
      <text>
        <r>
          <rPr>
            <sz val="9"/>
            <color rgb="FF000000"/>
            <rFont val="Tahoma"/>
            <family val="2"/>
          </rPr>
          <t xml:space="preserve">Son los gastos asociados al pago por la prestación directa y efectiva de un servicio público individualizado y específico (tasa); o al pago de un bien o servicio ofrecido por una entidad pública en cumplimiento de su función regulatoria (derecho administrativo). 
</t>
        </r>
        <r>
          <rPr>
            <b/>
            <sz val="9"/>
            <color rgb="FF000000"/>
            <rFont val="Tahoma"/>
            <family val="2"/>
          </rPr>
          <t>Incluye:</t>
        </r>
        <r>
          <rPr>
            <sz val="9"/>
            <color rgb="FF000000"/>
            <rFont val="Tahoma"/>
            <family val="2"/>
          </rPr>
          <t xml:space="preserve"> Pagos por notariado, Renovación de salvoconductos para armas.</t>
        </r>
      </text>
    </comment>
    <comment ref="A17" authorId="0" shapeId="0" xr:uid="{9376B1C2-0CE7-D540-B714-B4E814A125AB}">
      <text>
        <r>
          <rPr>
            <sz val="9"/>
            <color rgb="FF000000"/>
            <rFont val="Tahoma"/>
            <family val="2"/>
          </rPr>
          <t xml:space="preserve">Son los gastos asociados al pago de cargas fiscales que recaen sobre el patrimonio particular, sustentadas en la potestad tributaria del Estado. La jurisprudencia diferencia entre </t>
        </r>
        <r>
          <rPr>
            <b/>
            <sz val="9"/>
            <color rgb="FF000000"/>
            <rFont val="Tahoma"/>
            <family val="2"/>
          </rPr>
          <t>contribuciones parafiscales y contribuciones especiales</t>
        </r>
        <r>
          <rPr>
            <sz val="9"/>
            <color rgb="FF000000"/>
            <rFont val="Tahoma"/>
            <family val="2"/>
          </rPr>
          <t xml:space="preserve">;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t>
        </r>
        <r>
          <rPr>
            <b/>
            <sz val="9"/>
            <color rgb="FF000000"/>
            <rFont val="Tahoma"/>
            <family val="2"/>
          </rPr>
          <t xml:space="preserve">En este caso No se incluye: </t>
        </r>
        <r>
          <rPr>
            <sz val="9"/>
            <color rgb="FF000000"/>
            <rFont val="Tahoma"/>
            <family val="2"/>
          </rPr>
          <t>Ni contribuciones sociales, ni contribuciones asociadas a la nómina.</t>
        </r>
      </text>
    </comment>
    <comment ref="A22" authorId="0" shapeId="0" xr:uid="{F222F141-6957-B447-9CD3-07CF8E2FCF1D}">
      <text>
        <r>
          <rPr>
            <sz val="9"/>
            <color rgb="FF000000"/>
            <rFont val="Tahoma"/>
            <family val="2"/>
          </rPr>
          <t xml:space="preserve">Comprende el gasto por penalidades pecuniarias que se derivan del poder punitivo del Estado, y que se establecen por el incumplimiento de leyes o normas administrativas, con el fin de prevenir un comportamiento considerado indeseable.
</t>
        </r>
        <r>
          <rPr>
            <sz val="9"/>
            <color rgb="FF000000"/>
            <rFont val="Tahoma"/>
            <family val="2"/>
          </rPr>
          <t>Esta cuenta incluye también el gasto por intereses de mora generados como resarcimiento tarifado o indemnización a los perjuicios que padece el acreedor por no tener consigo el dinero en la oportunidad debida.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Karen Tatiana Gonzalez Ladino</author>
  </authors>
  <commentList>
    <comment ref="A3" authorId="0" shapeId="0" xr:uid="{3E5B744C-B3CA-45D1-B261-3D2C045F84C2}">
      <text>
        <r>
          <rPr>
            <sz val="9"/>
            <color rgb="FF000000"/>
            <rFont val="Tahoma"/>
            <family val="2"/>
          </rPr>
          <t>Comprende los gastos asociados a la deuda interna de la que es acreedora la entidad.</t>
        </r>
      </text>
    </comment>
    <comment ref="A10" authorId="1" shapeId="0" xr:uid="{21E3690A-9679-4C24-91FF-D2B17B5603D1}">
      <text>
        <r>
          <rPr>
            <sz val="9"/>
            <color indexed="81"/>
            <rFont val="Tahoma"/>
            <family val="2"/>
          </rPr>
          <t>Comprende a los gastos asociados al reconocimiento del préstamo para el pago que las entidades territoriales y las entidades descentralizadas de cualquier orden deberán incluir en sus presupuestos de servicio a la deuda, las apropiaciones necesarias para cubrir las posibles pérdidas de las obligaciones contingentes a su cargo.
Para el diligenciamiento de estos campos se debe tener en cuenta el Plan de Aportes aprobado por el FCEE. (Fondo de Contingencias)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85768CCB-FA72-4158-B5AE-6B1508F292B5}">
      <text>
        <r>
          <rPr>
            <sz val="9"/>
            <color rgb="FF000000"/>
            <rFont val="Tahoma"/>
            <family val="2"/>
          </rPr>
          <t>Son los destinados a la prestación de servicios o a la realización de transferencias a la comunidad por parte de las unidades ejecutoras del Presupuesto General de la Nación (PGN), incluidasen los programas sociales, así como a la adquisición de activos no financieros por parte de las mismas.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1" authorId="0" shapeId="0" xr:uid="{7B339AC8-7968-42F2-B7F4-3B09238FB8D6}">
      <text>
        <r>
          <rPr>
            <sz val="9"/>
            <color rgb="FF000000"/>
            <rFont val="Tahoma"/>
            <family val="2"/>
          </rPr>
          <t>Son los gastos asociados con el personal vinculado laboralmente con el Estado. Entiéndase como personal vinculado laboralmente con el Estado a los servidores públicos –en estricto sentido- que prestan servicios personales remunerados en los organismos y entidades de la administración pública a través de una relación legal/reglamentaria o de una relación contractual laboral</t>
        </r>
      </text>
    </comment>
    <comment ref="A3" authorId="0" shapeId="0" xr:uid="{65A5BDFC-9C37-47F7-876C-8895B38487AB}">
      <text>
        <r>
          <rPr>
            <sz val="9"/>
            <color rgb="FF000000"/>
            <rFont val="Tahoma"/>
            <family val="2"/>
          </rPr>
          <t xml:space="preserve">
</t>
        </r>
        <r>
          <rPr>
            <sz val="9"/>
            <color rgb="FF000000"/>
            <rFont val="Tahoma"/>
            <family val="2"/>
          </rPr>
          <t xml:space="preserve">Son las remuneraciones pagadas en efectivo o en especie a los empleados vinculados laboralmente
</t>
        </r>
        <r>
          <rPr>
            <sz val="9"/>
            <color rgb="FF000000"/>
            <rFont val="Tahoma"/>
            <family val="2"/>
          </rPr>
          <t xml:space="preserve">con el Estado, como contraprestación por los servicios prestados. El salario se compone por un sueldo
</t>
        </r>
        <r>
          <rPr>
            <sz val="9"/>
            <color rgb="FF000000"/>
            <rFont val="Tahoma"/>
            <family val="2"/>
          </rPr>
          <t>básico y por los demás pagos que tienen como particularidad remunerar el trabajo del empleado</t>
        </r>
      </text>
    </comment>
    <comment ref="A4" authorId="0" shapeId="0" xr:uid="{DEEF25A8-6EE0-455A-A0D5-EC678B047119}">
      <text>
        <r>
          <rPr>
            <sz val="9"/>
            <color indexed="81"/>
            <rFont val="Tahoma"/>
            <family val="2"/>
          </rPr>
          <t xml:space="preserve">Corresponde a los componentes del salario que son comunes32 a todo el personal vinculado
laboralmente con el Estado (empleados públicos y trabajadores oficiales).
</t>
        </r>
        <r>
          <rPr>
            <b/>
            <sz val="9"/>
            <color indexed="81"/>
            <rFont val="Tahoma"/>
            <family val="2"/>
          </rPr>
          <t>Incluye:</t>
        </r>
        <r>
          <rPr>
            <sz val="9"/>
            <color indexed="81"/>
            <rFont val="Tahoma"/>
            <family val="2"/>
          </rPr>
          <t xml:space="preserve"> Sueldo básico, Gastos de representación, Prima técnica salarial, Subsidio de alimentación, Auxilio de transporte, Prima de servicio, Bonificación por servicios prestados, Horas extras, dominicales, festivos y recargos, Prima de navidad, Prima de vacaciones, Viáticos de los funcionarios en comisión (Cuando son mayores a 180 dias)</t>
        </r>
      </text>
    </comment>
    <comment ref="A15" authorId="0" shapeId="0" xr:uid="{EB6921FD-F92E-4486-99FB-65098BE08A16}">
      <text>
        <r>
          <rPr>
            <sz val="9"/>
            <color indexed="81"/>
            <rFont val="Tahoma"/>
            <family val="2"/>
          </rPr>
          <t>Corresponde a los componentes del salario de los sistemas especiales de remuneración, legalmente
aprobados, y que se rigen por disposiciones particulares para determinados regímenes laborales y por
tanto no son comunes a todas las entidades públicas.</t>
        </r>
      </text>
    </comment>
    <comment ref="A17" authorId="0" shapeId="0" xr:uid="{E96A0517-8B2C-46AB-9743-BF0E4EFEA75A}">
      <text>
        <r>
          <rPr>
            <sz val="9"/>
            <color indexed="81"/>
            <rFont val="Tahoma"/>
            <family val="2"/>
          </rPr>
          <t>Corresponde a las contribuciones legales que debe hacer una entidad como empleadora, a entidades del sector privado y público, tales como: Cajas de Compensación Familiar, SENA, ICBF, ESAP, Fondo Nacional de Ahorro, Fondos Administradores de Cesantías y Pensiones, Empresas Promotoras de Salud privadas y públicas, así como, las administradoras públicas y privadas de aportes que se destinan para accidentes de trabajo y enfermedad profesional.</t>
        </r>
      </text>
    </comment>
    <comment ref="A25" authorId="0" shapeId="0" xr:uid="{41BAF3DB-F8CA-4795-BBB5-D9F455A10567}">
      <text>
        <r>
          <rPr>
            <sz val="9"/>
            <color indexed="81"/>
            <rFont val="Tahoma"/>
            <family val="2"/>
          </rPr>
          <t>Corresponde a los gastos del personal vinculado laboralmente con el Estado que la ley no reconoce como constitutivos de factor salarial. Estos pagos no forman parte de la base para el cálculo y pago de las prestaciones sociales, aportes parafiscales y seguridad social, aunque sí forman parte de la base de retención en la fuente, por ingresos laborales.</t>
        </r>
      </text>
    </comment>
    <comment ref="A41" authorId="0" shapeId="0" xr:uid="{92D361C6-FD06-4EFA-99C8-3173385AA240}">
      <text>
        <r>
          <rPr>
            <sz val="9"/>
            <color indexed="81"/>
            <rFont val="Tahoma"/>
            <family val="2"/>
          </rPr>
          <t xml:space="preserve">
Son transferencias que las unidades de gobierno realizan directamente a sus empleados para satisfacer necesidades derivadas de riesgos sociales. Estas prestaciones pueden incluir el reconocimiento de salarios durante periodos de ausencia del trabajo debido a incapacidad médica, accidentes, maternidad, entre otros.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B3" authorId="0" shapeId="0" xr:uid="{2F22EE96-B085-4FC7-800C-2B2F445881C2}">
      <text>
        <r>
          <rPr>
            <sz val="9"/>
            <color rgb="FF000000"/>
            <rFont val="Tahoma"/>
            <family val="2"/>
          </rPr>
          <t>Son los gastos asociados a la contratación de personas naturales y jurídicas para la prestación de servicios de investigación y desarrollo, jurídicos y contables, de consultoría, profesionales, científicos, técnicos entre otros, para apoyar el desarrollo de las funciones de la entidad.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Marcela Correa Florez</author>
  </authors>
  <commentList>
    <comment ref="A3" authorId="0" shapeId="0" xr:uid="{9E50EA05-2618-4430-A0A7-019EC9A17CE4}">
      <text>
        <r>
          <rPr>
            <sz val="9"/>
            <color indexed="81"/>
            <rFont val="Tahoma"/>
            <family val="2"/>
          </rPr>
          <t>Son los gastos asociados a la adquisición de activos producidos, que se utilizan repetida y continuamente en procesos de producción por más de un año y cuyo precio es significativo.</t>
        </r>
      </text>
    </comment>
    <comment ref="A5" authorId="0" shapeId="0" xr:uid="{CD61516E-68C3-4E12-B1FF-C5D846D4437F}">
      <text>
        <r>
          <rPr>
            <sz val="9"/>
            <color rgb="FF000000"/>
            <rFont val="Tahoma"/>
            <family val="2"/>
          </rPr>
          <t xml:space="preserve">
</t>
        </r>
        <r>
          <rPr>
            <sz val="9"/>
            <color rgb="FF000000"/>
            <rFont val="Tahoma"/>
            <family val="2"/>
          </rPr>
          <t xml:space="preserve">Son los gastos asociados a la adquisición de todo tipo de edificios y estructuras necesarias para el desarrollo de las funciones del órgano del PGN.
</t>
        </r>
        <r>
          <rPr>
            <b/>
            <sz val="9"/>
            <color rgb="FF000000"/>
            <rFont val="Tahoma"/>
            <family val="2"/>
          </rPr>
          <t xml:space="preserve">Incluye: </t>
        </r>
        <r>
          <rPr>
            <sz val="9"/>
            <color rgb="FF000000"/>
            <rFont val="Tahoma"/>
            <family val="2"/>
          </rPr>
          <t xml:space="preserve">Costos de limpieza y preparación del terreno para edificaciones nuevas, Accesorios fijos, instalaciones y equipos que forman parte integral de las estructuras.
</t>
        </r>
      </text>
    </comment>
    <comment ref="A9" authorId="0" shapeId="0" xr:uid="{6CFA569B-17AA-4B58-BFDB-ECB54F96CA0C}">
      <text>
        <r>
          <rPr>
            <sz val="9"/>
            <color rgb="FF000000"/>
            <rFont val="Tahoma"/>
            <family val="2"/>
          </rPr>
          <t xml:space="preserve">
</t>
        </r>
        <r>
          <rPr>
            <sz val="9"/>
            <color rgb="FF000000"/>
            <rFont val="Tahoma"/>
            <family val="2"/>
          </rPr>
          <t xml:space="preserve">Son los gastos asociados a la adquisición de activos que se emplean continuamente en la prestación de servicios de defensa, incluso si su utilización en tiempos de paz es simplemente de carácter disuasivo).
</t>
        </r>
        <r>
          <rPr>
            <b/>
            <sz val="9"/>
            <color rgb="FF000000"/>
            <rFont val="Tahoma"/>
            <family val="2"/>
          </rPr>
          <t>No incluye</t>
        </r>
        <r>
          <rPr>
            <sz val="9"/>
            <color rgb="FF000000"/>
            <rFont val="Tahoma"/>
            <family val="2"/>
          </rPr>
          <t xml:space="preserve">: Elementos militares de un solo uso como las municiones, bombas y misiles; Equipos adquiridos con fines militares, armas.
</t>
        </r>
        <r>
          <rPr>
            <sz val="9"/>
            <color rgb="FF000000"/>
            <rFont val="Tahoma"/>
            <family val="2"/>
          </rPr>
          <t xml:space="preserve">Buques de guerra
</t>
        </r>
        <r>
          <rPr>
            <b/>
            <sz val="9"/>
            <color rgb="FF000000"/>
            <rFont val="Tahoma"/>
            <family val="2"/>
          </rPr>
          <t xml:space="preserve">Incluye: </t>
        </r>
        <r>
          <rPr>
            <sz val="9"/>
            <color rgb="FF000000"/>
            <rFont val="Tahoma"/>
            <family val="2"/>
          </rPr>
          <t>Submarinos, Aeronaves militares, Dispositivos de transporte.</t>
        </r>
      </text>
    </comment>
    <comment ref="A21" authorId="0" shapeId="0" xr:uid="{CDAEF3C4-7F41-4AD7-BB1E-177279813FCA}">
      <text>
        <r>
          <rPr>
            <sz val="9"/>
            <color rgb="FF000000"/>
            <rFont val="Tahoma"/>
            <family val="2"/>
          </rPr>
          <t xml:space="preserve">
</t>
        </r>
        <r>
          <rPr>
            <sz val="9"/>
            <color rgb="FF000000"/>
            <rFont val="Tahoma"/>
            <family val="2"/>
          </rPr>
          <t xml:space="preserve">Son los gastos asociados a la adquisición de activos fijos clasificados como otros bienes transportables (Excepto productos metálicos, maquinaria y Equipo) dentro de la Clasificación Central de Productos –CPC.
</t>
        </r>
        <r>
          <rPr>
            <b/>
            <sz val="9"/>
            <color rgb="FF000000"/>
            <rFont val="Tahoma"/>
            <family val="2"/>
          </rPr>
          <t>Incluye:</t>
        </r>
        <r>
          <rPr>
            <sz val="9"/>
            <color rgb="FF000000"/>
            <rFont val="Tahoma"/>
            <family val="2"/>
          </rPr>
          <t xml:space="preserve"> Muebles, Instrumentos musicales, Artículos de deporte, Antigüedades u otros objetos de arte.</t>
        </r>
      </text>
    </comment>
    <comment ref="A32" authorId="0" shapeId="0" xr:uid="{0AD45D51-7E3A-4CBD-B581-FA6433505B85}">
      <text>
        <r>
          <rPr>
            <sz val="9"/>
            <color rgb="FF000000"/>
            <rFont val="Tahoma"/>
            <family val="2"/>
          </rPr>
          <t xml:space="preserve">
</t>
        </r>
        <r>
          <rPr>
            <sz val="9"/>
            <color rgb="FF000000"/>
            <rFont val="Tahoma"/>
            <family val="2"/>
          </rPr>
          <t xml:space="preserve">Son los gastos asociados a la adquisición de todo tipo de maquinaria (Uso general, uso especial y uso contable), aparatos eléctricos, equipos de transporte, y equipo militar y de policía.
</t>
        </r>
        <r>
          <rPr>
            <b/>
            <sz val="9"/>
            <color rgb="FF000000"/>
            <rFont val="Tahoma"/>
            <family val="2"/>
          </rPr>
          <t>No incluye</t>
        </r>
        <r>
          <rPr>
            <sz val="9"/>
            <color rgb="FF000000"/>
            <rFont val="Tahoma"/>
            <family val="2"/>
          </rPr>
          <t xml:space="preserve">: Sistemas de armamento, Maquinaria y equipo que forma parte integral de un edificio o estructura, Herramientas de mano adquiridas con regularidad, pero a bajo costo, a menos que formen una gran parte de los inventarios de maquinaria y equipo.
</t>
        </r>
        <r>
          <rPr>
            <b/>
            <sz val="9"/>
            <color rgb="FF000000"/>
            <rFont val="Tahoma"/>
            <family val="2"/>
          </rPr>
          <t>Incluye</t>
        </r>
        <r>
          <rPr>
            <sz val="9"/>
            <color rgb="FF000000"/>
            <rFont val="Tahoma"/>
            <family val="2"/>
          </rPr>
          <t>: Maquinaria para uso general, Maquinaria para usos especiales, Maquinaria de oficina, contabilidad e informática, Maquinaria y aparatos eléctricos, Equipo y aparatos de radio, televisión y comunicaciones, Aparatos médicos, Instrumentos ópticos y de precisión, relojes, Equipo de transporte, Equipo militar y policía, armamento.</t>
        </r>
      </text>
    </comment>
    <comment ref="H35" authorId="1" shapeId="0" xr:uid="{EBF0085E-DC25-46AF-B78D-69151B0D2FA6}">
      <text>
        <r>
          <rPr>
            <sz val="9"/>
            <color indexed="81"/>
            <rFont val="Tahoma"/>
            <family val="2"/>
          </rPr>
          <t xml:space="preserve">De acuerdo con el Manual de Clasificación presupuestal: 
Clasificar en 02-01-01-004-007-02 Aparatos transmisores de televisión y radio; televisión, video y cámaras digitales; teléfonos </t>
        </r>
      </text>
    </comment>
    <comment ref="A44" authorId="0" shapeId="0" xr:uid="{F2B98692-7926-4E1B-8EC7-8C18683AA6BD}">
      <text>
        <r>
          <rPr>
            <sz val="9"/>
            <color rgb="FF000000"/>
            <rFont val="Tahoma"/>
            <family val="2"/>
          </rPr>
          <t xml:space="preserve">
</t>
        </r>
        <r>
          <rPr>
            <sz val="9"/>
            <color rgb="FF000000"/>
            <rFont val="Tahoma"/>
            <family val="2"/>
          </rPr>
          <t xml:space="preserve">Corresponde a la adquisición de recursos biológicos y productos de propiedad intelectual.
</t>
        </r>
        <r>
          <rPr>
            <b/>
            <sz val="9"/>
            <color rgb="FF000000"/>
            <rFont val="Tahoma"/>
            <family val="2"/>
          </rPr>
          <t>Recursos biológicos</t>
        </r>
        <r>
          <rPr>
            <sz val="9"/>
            <color rgb="FF000000"/>
            <rFont val="Tahoma"/>
            <family val="2"/>
          </rPr>
          <t xml:space="preserve">: Corresponde a animales, árboles, cultivos o plantas que generan productos en forma repetida y cuyo crecimiento natural y regeneración se encuentran bajo control, responsabilidad y manejo directo de una persona.
</t>
        </r>
        <r>
          <rPr>
            <b/>
            <sz val="9"/>
            <color rgb="FF000000"/>
            <rFont val="Tahoma"/>
            <family val="2"/>
          </rPr>
          <t>Productos de propiedad intelectual:</t>
        </r>
        <r>
          <rPr>
            <sz val="9"/>
            <color rgb="FF000000"/>
            <rFont val="Tahoma"/>
            <family val="2"/>
          </rPr>
          <t xml:space="preserve"> Son resultado de la investigación, el desarrollo o la innovación, y conducen a conocimientos, los cuales pueden ser vendidos en el mercado o
</t>
        </r>
        <r>
          <rPr>
            <sz val="9"/>
            <color rgb="FF000000"/>
            <rFont val="Tahoma"/>
            <family val="2"/>
          </rPr>
          <t xml:space="preserve">utilizados para beneficio propio en la producción
</t>
        </r>
        <r>
          <rPr>
            <sz val="9"/>
            <color rgb="FF000000"/>
            <rFont val="Tahoma"/>
            <family val="2"/>
          </rPr>
          <t xml:space="preserve">siempre y cuando cuente con algún tipo de protección
</t>
        </r>
        <r>
          <rPr>
            <sz val="9"/>
            <color rgb="FF000000"/>
            <rFont val="Tahoma"/>
            <family val="2"/>
          </rPr>
          <t xml:space="preserve">legal, o de otra índole.
</t>
        </r>
        <r>
          <rPr>
            <b/>
            <sz val="9"/>
            <color rgb="FF000000"/>
            <rFont val="Tahoma"/>
            <family val="2"/>
          </rPr>
          <t>Incluye:</t>
        </r>
        <r>
          <rPr>
            <sz val="9"/>
            <color rgb="FF000000"/>
            <rFont val="Tahoma"/>
            <family val="2"/>
          </rPr>
          <t xml:space="preserve"> La investigación y desarrollo, la exploración y evaluación minera, programas de informática y bases de datos, originales de entretenimiento, literatura y arte, y otros.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873B43EC-6C01-4683-998E-36EF1EC507A1}">
      <text>
        <r>
          <rPr>
            <sz val="9"/>
            <color rgb="FF000000"/>
            <rFont val="Tahoma"/>
            <family val="2"/>
          </rPr>
          <t xml:space="preserve">
</t>
        </r>
        <r>
          <rPr>
            <sz val="9"/>
            <color rgb="FF000000"/>
            <rFont val="Tahoma"/>
            <family val="2"/>
          </rPr>
          <t xml:space="preserve">Son los gastos asociados a la adquisición de activos tangibles de origen natural (recursos naturales) sobre los que se ejercen derechos de propiedad.
</t>
        </r>
        <r>
          <rPr>
            <b/>
            <sz val="9"/>
            <color rgb="FF000000"/>
            <rFont val="Tahoma"/>
            <family val="2"/>
          </rPr>
          <t>Incluye:</t>
        </r>
        <r>
          <rPr>
            <sz val="9"/>
            <color rgb="FF000000"/>
            <rFont val="Tahoma"/>
            <family val="2"/>
          </rPr>
          <t xml:space="preserve"> Tierras y terrenos y Recursos biológicos no cultivados.
</t>
        </r>
      </text>
    </comment>
    <comment ref="A5" authorId="0" shapeId="0" xr:uid="{6659D048-1801-4AFF-B63A-40D52BE827A6}">
      <text>
        <r>
          <rPr>
            <sz val="9"/>
            <color rgb="FF000000"/>
            <rFont val="Tahoma"/>
            <family val="2"/>
          </rPr>
          <t xml:space="preserve"> Se refiere al suelo propiamente dicho, sobre el que se han establecido derechos de propiedad y del cual se pueden derivar beneficios económicos para sus propietarios por su tenencia o uso.</t>
        </r>
      </text>
    </comment>
    <comment ref="A9" authorId="0" shapeId="0" xr:uid="{C527004E-F639-4DCB-B880-222EA92B2245}">
      <text>
        <r>
          <rPr>
            <sz val="9"/>
            <color rgb="FF000000"/>
            <rFont val="Tahoma"/>
            <family val="2"/>
          </rPr>
          <t>Se refiere a animales, aves, peces y plantas que producen productos una sola vez o de forma repetida y sobre los que se ejercen derechos de propiedad, pero cuyo crecimiento natural o regeneración no está bajo el control, responsabilidad y gestión directa de ninguna persona.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B3" authorId="0" shapeId="0" xr:uid="{C3049F33-F9BE-4D8B-B1A3-8E0F5E65B9A6}">
      <text>
        <r>
          <rPr>
            <sz val="9"/>
            <color indexed="81"/>
            <rFont val="Tahoma"/>
            <family val="2"/>
          </rPr>
          <t xml:space="preserve">
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t>
        </r>
      </text>
    </comment>
    <comment ref="B5" authorId="0" shapeId="0" xr:uid="{A1827B1A-2BE7-41DB-B95C-B53FBDC0B7EB}">
      <text>
        <r>
          <rPr>
            <sz val="9"/>
            <color rgb="FF000000"/>
            <rFont val="Tahoma"/>
            <family val="2"/>
          </rPr>
          <t xml:space="preserve">
</t>
        </r>
        <r>
          <rPr>
            <sz val="9"/>
            <color rgb="FF000000"/>
            <rFont val="Tahoma"/>
            <family val="2"/>
          </rPr>
          <t>Son los gastos asociados a la adquisición de productos relacionados con la agricultura, la horticultura, la silvicultura y los productos de explotación forestal. Incluye también la compra de animales o productos animales, y la compra de pescados o productos de la pesca.</t>
        </r>
      </text>
    </comment>
    <comment ref="B17" authorId="0" shapeId="0" xr:uid="{1DEF2395-5E53-4BCF-89DB-16D083B79FF5}">
      <text>
        <r>
          <rPr>
            <sz val="9"/>
            <color rgb="FF000000"/>
            <rFont val="Tahoma"/>
            <family val="2"/>
          </rPr>
          <t xml:space="preserve">
</t>
        </r>
        <r>
          <rPr>
            <sz val="9"/>
            <color rgb="FF000000"/>
            <rFont val="Tahoma"/>
            <family val="2"/>
          </rPr>
          <t xml:space="preserve">Son los gastos asociados a la adquisición de todo tipo de minerales incluidos el carbón, el petróleo, los concentrados de uranio y torio, los minerales metálicos, las piedras preciosas, entre otros. </t>
        </r>
      </text>
    </comment>
    <comment ref="B29" authorId="0" shapeId="0" xr:uid="{A074DC9E-6C47-44AE-ADE4-7E1D82C06758}">
      <text>
        <r>
          <rPr>
            <sz val="9"/>
            <color indexed="81"/>
            <rFont val="Tahoma"/>
            <family val="2"/>
          </rPr>
          <t xml:space="preserve">
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r>
      </text>
    </comment>
    <comment ref="B41" authorId="0" shapeId="0" xr:uid="{0E6FAB23-7AF7-4D1B-BABD-DCEC7C080E58}">
      <text>
        <r>
          <rPr>
            <sz val="9"/>
            <color indexed="81"/>
            <rFont val="Tahoma"/>
            <family val="2"/>
          </rPr>
          <t xml:space="preserve">
Son los gastos asociados a la adquisición de productos de madera; libros, diarios o publicaciones impresas; productos de refinación de petróleo </t>
        </r>
        <r>
          <rPr>
            <b/>
            <sz val="9"/>
            <color indexed="81"/>
            <rFont val="Tahoma"/>
            <family val="2"/>
          </rPr>
          <t>y combustibles</t>
        </r>
        <r>
          <rPr>
            <sz val="9"/>
            <color indexed="81"/>
            <rFont val="Tahoma"/>
            <family val="2"/>
          </rPr>
          <t>; productos químicos; productos de caucho y plástico; productos de vidrio; muebles; desechos; entre otros.</t>
        </r>
      </text>
    </comment>
    <comment ref="B53" authorId="0" shapeId="0" xr:uid="{50953F95-5CEB-4260-9066-49CD61E73C5A}">
      <text>
        <r>
          <rPr>
            <sz val="9"/>
            <color rgb="FF000000"/>
            <rFont val="Tahoma"/>
            <family val="2"/>
          </rPr>
          <t xml:space="preserve">
</t>
        </r>
        <r>
          <rPr>
            <sz val="9"/>
            <color rgb="FF000000"/>
            <rFont val="Tahoma"/>
            <family val="2"/>
          </rPr>
          <t>Son los gastos asociados a la adquisición de metales básicos, productos metálicos elaborados y paquetes de software.</t>
        </r>
      </text>
    </comment>
    <comment ref="B65" authorId="0" shapeId="0" xr:uid="{EB42CC13-D818-43B8-9640-47543826E201}">
      <text>
        <r>
          <rPr>
            <sz val="9"/>
            <color indexed="81"/>
            <rFont val="Tahoma"/>
            <family val="2"/>
          </rPr>
          <t xml:space="preserve">
Corresponde a los bienes fungibles adquiridos por el sector seguridad, defensa y orden público para
uso exclusivo relacionado con sus funciones.
Incluye: Municiones, Misiles, Cohetes, Bombas y Otros elementos militares de </t>
        </r>
        <r>
          <rPr>
            <b/>
            <sz val="9"/>
            <color indexed="81"/>
            <rFont val="Tahoma"/>
            <family val="2"/>
          </rPr>
          <t>un solo uso.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92FC53A8-DA0B-4BAD-8A55-FF7E500FFDD0}">
      <text>
        <r>
          <rPr>
            <sz val="9"/>
            <color indexed="81"/>
            <rFont val="Tahoma"/>
            <family val="2"/>
          </rPr>
          <t xml:space="preserve">
Son los gastos asociados a la contratación de servicios que complementan el desarrollo de las funciones del órgano del PGN, o que permiten mantener y proteger los bienes que son de su propiedad o están a su cargo.</t>
        </r>
      </text>
    </comment>
    <comment ref="A5" authorId="0" shapeId="0" xr:uid="{80465D82-34D1-4011-A1B9-1CDE2616B46A}">
      <text>
        <r>
          <rPr>
            <sz val="9"/>
            <color rgb="FF000000"/>
            <rFont val="Tahoma"/>
            <family val="2"/>
          </rPr>
          <t xml:space="preserve">
</t>
        </r>
        <r>
          <rPr>
            <sz val="9"/>
            <color rgb="FF000000"/>
            <rFont val="Tahoma"/>
            <family val="2"/>
          </rPr>
          <t xml:space="preserve">Son los gastos asociados a la adquisición de servicios de construcción como preparaciones de terreno,
</t>
        </r>
        <r>
          <rPr>
            <sz val="9"/>
            <color rgb="FF000000"/>
            <rFont val="Tahoma"/>
            <family val="2"/>
          </rPr>
          <t>montaje de construcciones prefabricadas, instalaciones, servicios de terminación y acabados de edificios, entre otros.</t>
        </r>
      </text>
    </comment>
    <comment ref="A17" authorId="0" shapeId="0" xr:uid="{A0DDD293-9C99-409B-A9ED-60716B5D6076}">
      <text>
        <r>
          <rPr>
            <sz val="9"/>
            <color rgb="FF000000"/>
            <rFont val="Tahoma"/>
            <family val="2"/>
          </rPr>
          <t xml:space="preserve">
</t>
        </r>
        <r>
          <rPr>
            <sz val="9"/>
            <color rgb="FF000000"/>
            <rFont val="Tahoma"/>
            <family val="2"/>
          </rPr>
          <t>Son los gastos asociados a la adquisición de servicios de alojamiento; servicios de suministro de comidas y bebidas; servicios de transporte de pasajeros o de carga; servicios de mensajería y servicios de distribución de electricidad, gas y agua.</t>
        </r>
      </text>
    </comment>
    <comment ref="A29" authorId="0" shapeId="0" xr:uid="{8DF4B511-1F47-4B9E-BF17-7F474C459067}">
      <text>
        <r>
          <rPr>
            <sz val="9"/>
            <color rgb="FF000000"/>
            <rFont val="Tahoma"/>
            <family val="2"/>
          </rPr>
          <t xml:space="preserve">
</t>
        </r>
        <r>
          <rPr>
            <sz val="9"/>
            <color rgb="FF000000"/>
            <rFont val="Tahoma"/>
            <family val="2"/>
          </rPr>
          <t xml:space="preserve">Son los gastos asociados a la adquisición de servicios financieros, seguros, servicios de
</t>
        </r>
        <r>
          <rPr>
            <sz val="9"/>
            <color rgb="FF000000"/>
            <rFont val="Tahoma"/>
            <family val="2"/>
          </rPr>
          <t>mantenimiento de activos financieros, servicios inmobiliarios y arrendamientos.</t>
        </r>
      </text>
    </comment>
    <comment ref="A41" authorId="0" shapeId="0" xr:uid="{E3ACA1DE-0FDD-4877-88F2-8FC9BB1B6162}">
      <text>
        <r>
          <rPr>
            <sz val="9"/>
            <color rgb="FF000000"/>
            <rFont val="Tahoma"/>
            <family val="2"/>
          </rPr>
          <t xml:space="preserve">
</t>
        </r>
        <r>
          <rPr>
            <sz val="9"/>
            <color rgb="FF000000"/>
            <rFont val="Tahoma"/>
            <family val="2"/>
          </rPr>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r>
      </text>
    </comment>
    <comment ref="A53" authorId="0" shapeId="0" xr:uid="{998C2259-9BC0-4B77-A1B4-BE87CAB8A59E}">
      <text>
        <r>
          <rPr>
            <sz val="9"/>
            <color rgb="FF000000"/>
            <rFont val="Tahoma"/>
            <family val="2"/>
          </rPr>
          <t xml:space="preserve">
</t>
        </r>
        <r>
          <rPr>
            <sz val="9"/>
            <color rgb="FF000000"/>
            <rFont val="Tahoma"/>
            <family val="2"/>
          </rPr>
          <t>Son los gastos asociados a la adquisición de servicios educativos, servicios de salud, servicios culturales y deportivos, servicios de tratamiento (agua y alcantarillado) y recolección de desechos, servicios proporcionados por asociaciones, entre otros.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3" authorId="0" shapeId="0" xr:uid="{7C6F96B0-CA1F-4E24-B759-5E911A4B3FE9}">
      <text>
        <r>
          <rPr>
            <sz val="9"/>
            <color rgb="FF000000"/>
            <rFont val="Tahoma"/>
            <family val="2"/>
          </rPr>
          <t>Comprende los recursos destinados a la contratación de servicios asociados directamente con el proceso de producción y comercialización de bienes y servicios que provee el establecimiento público.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Yuli Dassier Reyes Angulo</author>
  </authors>
  <commentList>
    <comment ref="A5" authorId="0" shapeId="0" xr:uid="{B6FEA8C5-BCAA-4A6D-A8B0-CF1971E71B92}">
      <text>
        <r>
          <rPr>
            <sz val="9"/>
            <color rgb="FF000000"/>
            <rFont val="Tahoma"/>
            <family val="2"/>
          </rPr>
          <t xml:space="preserve">Son los pagos por concepto de viáticos que reciben los funcionarios y trabajadores oficiales en comisión, para alojamiento y manutención cuando: a) deban desempeñar sus funciones en un lugar diferente a su sede habitual de trabajo, ya sea dentro o fuera del país, o b) deba atender
</t>
        </r>
        <r>
          <rPr>
            <sz val="9"/>
            <color rgb="FF000000"/>
            <rFont val="Tahoma"/>
            <family val="2"/>
          </rPr>
          <t xml:space="preserve">transitoriamente actividades oficiales distintas a las inherentes al empleo del que es titular.
</t>
        </r>
        <r>
          <rPr>
            <sz val="9"/>
            <color rgb="FF000000"/>
            <rFont val="Tahoma"/>
            <family val="2"/>
          </rPr>
          <t xml:space="preserve">Solo se registran en esta cuenta los viáticos de los funcionarios en comisión
</t>
        </r>
        <r>
          <rPr>
            <sz val="9"/>
            <color rgb="FF000000"/>
            <rFont val="Tahoma"/>
            <family val="2"/>
          </rPr>
          <t>que sean por un término</t>
        </r>
        <r>
          <rPr>
            <b/>
            <sz val="9"/>
            <color rgb="FF000000"/>
            <rFont val="Tahoma"/>
            <family val="2"/>
          </rPr>
          <t xml:space="preserve"> inferior a 180 días</t>
        </r>
        <r>
          <rPr>
            <sz val="9"/>
            <color rgb="FF000000"/>
            <rFont val="Tahoma"/>
            <family val="2"/>
          </rPr>
          <t>.</t>
        </r>
      </text>
    </comment>
    <comment ref="A32" authorId="0" shapeId="0" xr:uid="{05AFEA55-16DA-4614-9DCE-B3A1907ECFCE}">
      <text>
        <r>
          <rPr>
            <sz val="9"/>
            <color rgb="FF000000"/>
            <rFont val="Tahoma"/>
            <family val="2"/>
          </rPr>
          <t xml:space="preserve">
</t>
        </r>
        <r>
          <rPr>
            <sz val="9"/>
            <color rgb="FF000000"/>
            <rFont val="Tahoma"/>
            <family val="2"/>
          </rPr>
          <t xml:space="preserve">Son los pagos por concepto de viáticos que reciben los funcionarios y trabajadores oficiales en comisión, para alojamiento y manutención cuando: a) deban desempeñar sus funciones en un lugar diferente a su sede habitual de trabajo, ya sea dentro o fuera del país, o b) deba atender transitoriamente actividades oficiales distintas a las inherentes al empleo del que es titular.
</t>
        </r>
        <r>
          <rPr>
            <sz val="9"/>
            <color rgb="FF000000"/>
            <rFont val="Tahoma"/>
            <family val="2"/>
          </rPr>
          <t xml:space="preserve">Solo se registran en esta cuenta los viáticos de los funcionarios en comisión
</t>
        </r>
        <r>
          <rPr>
            <sz val="9"/>
            <color rgb="FF000000"/>
            <rFont val="Tahoma"/>
            <family val="2"/>
          </rPr>
          <t xml:space="preserve">que sean por un </t>
        </r>
        <r>
          <rPr>
            <b/>
            <sz val="9"/>
            <color rgb="FF000000"/>
            <rFont val="Tahoma"/>
            <family val="2"/>
          </rPr>
          <t xml:space="preserve">término superior a 180 días, porque </t>
        </r>
        <r>
          <rPr>
            <sz val="9"/>
            <color rgb="FF000000"/>
            <rFont val="Tahoma"/>
            <family val="2"/>
          </rPr>
          <t>constituyen factor salarial para la liquidación de cesantías y pensiones.</t>
        </r>
      </text>
    </comment>
    <comment ref="A38" authorId="0" shapeId="0" xr:uid="{F8DF3DF5-10E1-4463-92A7-09C3F53BDFA1}">
      <text>
        <r>
          <rPr>
            <sz val="9"/>
            <color rgb="FF000000"/>
            <rFont val="Tahoma"/>
            <family val="2"/>
          </rPr>
          <t xml:space="preserve">
</t>
        </r>
        <r>
          <rPr>
            <sz val="9"/>
            <color rgb="FF000000"/>
            <rFont val="Tahoma"/>
            <family val="2"/>
          </rPr>
          <t xml:space="preserve">Es el reconocimiento que se le hace a los contratistas por concepto de gastos de viaje, estos se clasifican de acuerdo al
</t>
        </r>
        <r>
          <rPr>
            <sz val="9"/>
            <color rgb="FF000000"/>
            <rFont val="Tahoma"/>
            <family val="2"/>
          </rPr>
          <t>objeto reconocido (hospedaje, transporte, alimentación, etc.)</t>
        </r>
      </text>
    </comment>
    <comment ref="A61" authorId="0" shapeId="0" xr:uid="{AF1F867C-6DD0-4D73-B256-E32407EF6F17}">
      <text>
        <r>
          <rPr>
            <sz val="9"/>
            <color indexed="81"/>
            <rFont val="Tahoma"/>
            <family val="2"/>
          </rPr>
          <t xml:space="preserve">
Son los gastos asociados con la adquisición de tiquetes aéreos por parte de la entidad para los funcionarios públicos.</t>
        </r>
      </text>
    </comment>
    <comment ref="A66" authorId="0" shapeId="0" xr:uid="{7A88DEBE-FE39-4E43-9B1B-87EC21FEFB21}">
      <text>
        <r>
          <rPr>
            <sz val="9"/>
            <color indexed="81"/>
            <rFont val="Tahoma"/>
            <family val="2"/>
          </rPr>
          <t xml:space="preserve">
Son los gastos asociados con la adquisición de tiquetes aéreos por parte de la entidad para los contratistas y/o colaboradores.</t>
        </r>
      </text>
    </comment>
  </commentList>
</comments>
</file>

<file path=xl/sharedStrings.xml><?xml version="1.0" encoding="utf-8"?>
<sst xmlns="http://schemas.openxmlformats.org/spreadsheetml/2006/main" count="1290" uniqueCount="470">
  <si>
    <t xml:space="preserve">NECESIDADES PRESUPUESTALES </t>
  </si>
  <si>
    <t>DIRECCIONAMIENTO Y PLANEACIÓN ESTRATÉGICA</t>
  </si>
  <si>
    <t>UNIDAD NACIONAL DE PROTECCIÓN</t>
  </si>
  <si>
    <t xml:space="preserve">FECHA </t>
  </si>
  <si>
    <t>DEPENDENCIA QUE REPORTA LAS NECESIDADES</t>
  </si>
  <si>
    <t>NOMBRES DE LA PERSONAS QUE DILIGENCIAN EL FORMATO</t>
  </si>
  <si>
    <t xml:space="preserve">PRESUPUESTO VIGENCIA FISCAL </t>
  </si>
  <si>
    <t>IPC</t>
  </si>
  <si>
    <t>RUBROS</t>
  </si>
  <si>
    <t>NECESIDAD REAL INGRESOS NACION</t>
  </si>
  <si>
    <t>NECESIDAD REAL INGRESOS PROPIOS</t>
  </si>
  <si>
    <t>TOTAL NECESIDAD REAL</t>
  </si>
  <si>
    <t>GASTOS DE PERSONAL</t>
  </si>
  <si>
    <t>SALARIO</t>
  </si>
  <si>
    <t>FACTORES SALARIALES COMUNES</t>
  </si>
  <si>
    <t>SUELDO BÁSICO</t>
  </si>
  <si>
    <t>GASTOS DE REPRESENTACIÓN</t>
  </si>
  <si>
    <t>PRIMA TÉCNICA SALARIAL</t>
  </si>
  <si>
    <t>SUBSIDIO DE ALIMENTACIÓN</t>
  </si>
  <si>
    <t>AUXILIO DE TRANSPORTE</t>
  </si>
  <si>
    <t>PRIMA DE SERVICIO</t>
  </si>
  <si>
    <t>BONIFICACIÓN POR SERVICIOS PRESTADOS</t>
  </si>
  <si>
    <t>HORAS EXTRAS, DOMINICALES, FESTIVOS Y RECARGOS</t>
  </si>
  <si>
    <t>PRIMA DE NAVIDAD</t>
  </si>
  <si>
    <t>PRIMA DE VACACIONES</t>
  </si>
  <si>
    <t>VIÁTICOS DE LOS FUNCIONARIOS EN COMISIÓN  &gt; 180 DIAS</t>
  </si>
  <si>
    <t>FACTORES SALARIALES ESPECIALES</t>
  </si>
  <si>
    <t>BONIFICACIÓN POR COMPENSACIÓN</t>
  </si>
  <si>
    <t>CONTRIBUCIONES INHERENTES A LA NÓMINA</t>
  </si>
  <si>
    <t>PENSIONES</t>
  </si>
  <si>
    <t>SALUD</t>
  </si>
  <si>
    <t xml:space="preserve">APORTES DE CESANTÍAS </t>
  </si>
  <si>
    <t>CAJAS DE COMPENSACIÓN FAMILIAR</t>
  </si>
  <si>
    <t>APORTES GENERALES AL SISTEMA DE RIESGOS LABORALES</t>
  </si>
  <si>
    <t>APORTES AL ICBF</t>
  </si>
  <si>
    <t>APORTES AL SENA</t>
  </si>
  <si>
    <t>REMUNERACIONES NO CONSTITUTIVAS DE FACTOR SALARIAL</t>
  </si>
  <si>
    <t>PRESTACIONES SOCIALES SEGÚN DEFINICIÓN LEGAL</t>
  </si>
  <si>
    <t xml:space="preserve"> - Indemnizacion de vacaciones</t>
  </si>
  <si>
    <t xml:space="preserve"> - Sueldos de vacaciones</t>
  </si>
  <si>
    <t xml:space="preserve"> - Bonificacion especial de recreacion</t>
  </si>
  <si>
    <t>PRIMA TECNICA NO SALARIAL</t>
  </si>
  <si>
    <t>BONIFICACIÓN ESPECIAL POR SERVICIO DE SEGURIDAD A EXPRESIDENTES</t>
  </si>
  <si>
    <t>BONIFICACIÓN ESPECIAL POR SERVICIO DE COMISIÓN EN PRESIDENCIA</t>
  </si>
  <si>
    <t>PRIMA DE RIESGO</t>
  </si>
  <si>
    <t>PRIMA DE CLIMA O PRIMA DE CALOR</t>
  </si>
  <si>
    <t>PRIMA DE INSTALACIÓN</t>
  </si>
  <si>
    <t>PRIMA DE COORDINACIÓN</t>
  </si>
  <si>
    <t>COMPENSACIÓN POR MUERTE</t>
  </si>
  <si>
    <t>PRIMA DE ORDEN PÚBLICO</t>
  </si>
  <si>
    <t>BONIFICACIÓN DE DIRECCIÓN</t>
  </si>
  <si>
    <t>ADQUISICIÓN DE BIENES Y SERVICIOS</t>
  </si>
  <si>
    <t>ADQUISICIÓN DE ACTIVOS NO FINANCIEROS</t>
  </si>
  <si>
    <t>ACTIVOS FIJOS</t>
  </si>
  <si>
    <t>EDIFICIOS Y ESTRUCTURAS</t>
  </si>
  <si>
    <t>SISTEMAS DE ARMAMENTO</t>
  </si>
  <si>
    <t>ACTIVO FIJO NO CLASIFICADO COMO MAQUINARIA Y EQUIPO</t>
  </si>
  <si>
    <t>MAQUINARIA Y EQUIPO</t>
  </si>
  <si>
    <t>OTROS ACTIVOS FIJOS</t>
  </si>
  <si>
    <t>ACTIVOS NO PRODUCIDOS</t>
  </si>
  <si>
    <t>TIERRAS Y TERRENOS</t>
  </si>
  <si>
    <t>RECURSOS BIOLÓGICOS NO CULTIVADOS</t>
  </si>
  <si>
    <t>ADQUISICIONES DIFERENTES DE ACTIVOS</t>
  </si>
  <si>
    <t>MATERIALES Y SUMINISTROS</t>
  </si>
  <si>
    <t>AGRICULTURA, SILVICULTURA Y PRODUCTOS DE LA PESCA</t>
  </si>
  <si>
    <t xml:space="preserve"> MINERALES, ELECTRICIDAD, GAS Y AGUA</t>
  </si>
  <si>
    <t>PRODUCTOS ALIMENTICIOS, BEBIDA Y TABACO; TEXTILES, PRENDAS DE VESTIR Y PRODUCTOS DEL CUERPO</t>
  </si>
  <si>
    <t>OTROS BIENES TRANSPORTABLES(EXCEPTO PRODUCTOS METALICOS, MAQUINARIA Y EQUIPO)</t>
  </si>
  <si>
    <t>PRODUCTOS METÁLICOS Y PAQUETES DE SOFTWARE</t>
  </si>
  <si>
    <t>ELEMENTOS MILITARES DE UN SOLO USO</t>
  </si>
  <si>
    <t>ADQUISICIÓN DE SERVICIOS</t>
  </si>
  <si>
    <t>SERVICIOS DE LA CONSTRUCCIÓN</t>
  </si>
  <si>
    <t>SERVICIOS DE ALOJAMIENTO; SERVICIOS DE SUMINISTRO DE COMIDAS Y BEBIDAS; SERVICIOS DE TRANSPORTE; Y SERVICIOS DE DISTRIBUCIÓN DE ELECTRICIDAD, GAS Y AGUA</t>
  </si>
  <si>
    <t>SERVICIOS FINANCIEROS Y SERVICIOS CONEXOS, SERVICIOS INMOBILIARIOS Y SERVICIOS DE LEASING (VEHICULOS DE PROTECCIÓN)</t>
  </si>
  <si>
    <t>SERVICIOS PRESTADOS A LAS EMPRESAS Y SERVICIOS DE PRODUCCIÓN (HOMBRES DE PROTECCIÓN)</t>
  </si>
  <si>
    <t>SERVICIOS PARA LA COMUNIDAD, SOCIALES Y PERSONALES</t>
  </si>
  <si>
    <t>VIATICOS FUNCIONARIOS EN COMISIÓN &lt;180 DIAS</t>
  </si>
  <si>
    <t>TRANSFERENCIAS CORRIENTES</t>
  </si>
  <si>
    <t>INCAPACIDADES Y LICENCIAS DE MATERNIDAD (PRESTACIONES SOCIALES RELACIONADAS CON EL EMPLEO)</t>
  </si>
  <si>
    <t>MEDIDAS DE PROTECCIÓN UNP- BLINDAJE ARQUITECTÓNICO – ENFOQUE DIFERENCIAL</t>
  </si>
  <si>
    <t>SENTENCIAS Y CONCILIACIONES</t>
  </si>
  <si>
    <t>MEDIDAS DE PROTECCIÓN UNP- APOYO DE TRANSPORTE, TRASTEO Y DE REUBICACIÓN TEMPORAL</t>
  </si>
  <si>
    <t>GASTOS DE COMERCIALIZACION Y PRODUCCION</t>
  </si>
  <si>
    <t>SERVICIOS FINANCIEROS Y SERVICIOS CONEXOS, SERVICIOS INMOBILIARIOS Y SERVICIOS DE LEASING</t>
  </si>
  <si>
    <t>SERVICIOS DE ARRENDAMIENTO O ALQUILER SIN OPERARIO (VEHÍCULOS)</t>
  </si>
  <si>
    <t xml:space="preserve">SERVICIOS PRESTADOS A LAS EMPRESAS Y SERVICIOS DE PRODUCCIÓN </t>
  </si>
  <si>
    <t>GASTOS POR TRIBUTOS, MULTAS, SANCIONES E INTERESES DE MORA</t>
  </si>
  <si>
    <t>IMPUESTOS</t>
  </si>
  <si>
    <t>TASAS Y DERECHOS ADMINISTRATIVOS</t>
  </si>
  <si>
    <t>CONTRIBUCIONES ( INCLUYE CUOTA DE AUDITAJE)</t>
  </si>
  <si>
    <t>MULTAS, SANCIONES E INTERESES DE MORA</t>
  </si>
  <si>
    <t>SERVICIO A LA DEUDA PÚBLICA</t>
  </si>
  <si>
    <t>SERVICIO DE LA DEUDA PÚBLICA INTERNA</t>
  </si>
  <si>
    <t>COMISIONES Y OTROS GASTOS</t>
  </si>
  <si>
    <t>FONDO DE CONTINGENCIAS</t>
  </si>
  <si>
    <t>APORTES AL FONDO DE CONTINGENCIAS</t>
  </si>
  <si>
    <t>GASTOS DE FUNCIONAMIENTO (GASTOS DE PERSONAL+ADQUISICION DE BYS+TRANSFERENCIAS CORRIENTES+GASTOS DE COMERCIALIZACION+GASTOS POR TRIBUTOS, MULTAS, SANCIONES E INTERES DE MORA)</t>
  </si>
  <si>
    <t>GASTOS DE INVERSIÓN</t>
  </si>
  <si>
    <t>TOTAL</t>
  </si>
  <si>
    <t xml:space="preserve">Archívese en </t>
  </si>
  <si>
    <t>DEP-FT-08/V3</t>
  </si>
  <si>
    <t>Oficialización: 10/03/2022</t>
  </si>
  <si>
    <t>Página 1 de 2</t>
  </si>
  <si>
    <t>CONTROL DE CAMBIOS</t>
  </si>
  <si>
    <t>VERSIÓN INICIAL</t>
  </si>
  <si>
    <t xml:space="preserve">DESCRIPCIÓN DE LA CREACIÓN O CAMBIO DEL DOCUMENTO </t>
  </si>
  <si>
    <t xml:space="preserve">VERSIÓN FINAL </t>
  </si>
  <si>
    <t>02</t>
  </si>
  <si>
    <t>Se modifica: Nombre del documento, tipo de letra, definiciones, diseño y estructura del documento, adicional se actualizan los rubros presupuestales vigentes en la entidad.</t>
  </si>
  <si>
    <t>03</t>
  </si>
  <si>
    <t>DIRECCIÓN GENERAL</t>
  </si>
  <si>
    <t>OFICINA ASESORA JURIDICA</t>
  </si>
  <si>
    <t>OFICINA ASESORA DE PLANEACIÓN E INFORMACIÓN</t>
  </si>
  <si>
    <t>SECRETARIA GENERAL</t>
  </si>
  <si>
    <t>SUBDIRECCIÓN DE TALENTO HUMANO</t>
  </si>
  <si>
    <t>SUBDIRECCIÓN DE EVALUACIÓN DEL RIESGO</t>
  </si>
  <si>
    <t>SUBDIRECCIÓN DE PROTECCIÓN</t>
  </si>
  <si>
    <t xml:space="preserve">SUBDIRECCIÓN ESPECIALIZADA DE SEGURIDAD Y PROTECCIÓN </t>
  </si>
  <si>
    <t>CONTROL INTERNO Y AUDITORIA</t>
  </si>
  <si>
    <t>RESUMEN GASTOS DE PERSONAL PROYECTADO</t>
  </si>
  <si>
    <t>CONCEPTO</t>
  </si>
  <si>
    <t>VALOR</t>
  </si>
  <si>
    <t>01-01-01. SALARIO</t>
  </si>
  <si>
    <t>01-01-01-001. FACTORES SALARIALES COMUNES</t>
  </si>
  <si>
    <t>01-01-01-002. FACTORES SALARIALES ESPECIALES</t>
  </si>
  <si>
    <t>01-01-02. CONTRIBUCIONES INHERENTES A LA NÓMINA</t>
  </si>
  <si>
    <t>01-01-03. REMUNERACIONES NO CONSTITUTIVAS DE FACTOR SALARIAL</t>
  </si>
  <si>
    <t xml:space="preserve"> - indemnizacion de vacaciones</t>
  </si>
  <si>
    <t xml:space="preserve"> - sueldos de vacaciones</t>
  </si>
  <si>
    <t xml:space="preserve"> - bonificacion especial de recreacion</t>
  </si>
  <si>
    <t>BONIFICACIÓN ESPECIAL POR SERVICIOS DE SEGURIDAD A EXPRESIDENTES</t>
  </si>
  <si>
    <t>BONIFICACIÓN ESPECIAL POR SERVICIOS DE COMISIÓN EN PRESIDENCIA</t>
  </si>
  <si>
    <t>PRIMA DE ORDEN PUBLICO</t>
  </si>
  <si>
    <t>TOTAL GASTOS DE PERSONAL</t>
  </si>
  <si>
    <t>03-04-02-012. INCAPACIDADES Y LICENCIAS DE MATERNIDAD Y PATERNIDAD</t>
  </si>
  <si>
    <t>DEP-FT-08/V3          Oficialización: 10/03/2022</t>
  </si>
  <si>
    <t>Página 1 de 1</t>
  </si>
  <si>
    <t xml:space="preserve">CONTRATOS DE PRESTACIÓN DE SERVICIOS </t>
  </si>
  <si>
    <t>DESCRIPCIÓN</t>
  </si>
  <si>
    <t>CANTIDAD</t>
  </si>
  <si>
    <t>VALOR MENSUAL</t>
  </si>
  <si>
    <t>NÚMERO DE MESES A CONTRATAR</t>
  </si>
  <si>
    <t>VALOR TOTAL</t>
  </si>
  <si>
    <t>VALOR ANUAL PROYECTADO</t>
  </si>
  <si>
    <t>02-02-02-08-01. SERVICIOS DE INVESTIGACIÓN Y DESARROLLO</t>
  </si>
  <si>
    <t xml:space="preserve">Subtotal </t>
  </si>
  <si>
    <t>02-02-02-08-02. SERVICIOS JURÍDICOS Y CONTABLES</t>
  </si>
  <si>
    <t>02-02-02-08-03. OTROS SERVICIOS PROFESIONALES, CIENTÍFICOS Y TÉCNICOS</t>
  </si>
  <si>
    <t>TOTAL CONTRATOS DE PRESTACIÓN DE SERVICIOS</t>
  </si>
  <si>
    <t>DEP-FT-8/V3</t>
  </si>
  <si>
    <t>Página : 1 de 1</t>
  </si>
  <si>
    <t>02-01-01. ACTIVOS FIJOS</t>
  </si>
  <si>
    <t xml:space="preserve">NOMBRE </t>
  </si>
  <si>
    <t>CANTIDAD (unidades)</t>
  </si>
  <si>
    <t>VALOR UNITARIO con IVA (pesos)</t>
  </si>
  <si>
    <t xml:space="preserve">VALOR MENSUAL </t>
  </si>
  <si>
    <t>GASTO PROYECTADO PERIODO (t+1)</t>
  </si>
  <si>
    <t xml:space="preserve">JUSTIFICACIÓN DE LA NECESIDAD </t>
  </si>
  <si>
    <t>02-01-01-01. EDIFICIOS Y ESTRUCTURAS</t>
  </si>
  <si>
    <t>02-01-01-02. SISTEMAS DE ARMAMENTO</t>
  </si>
  <si>
    <t>02-01-01-03. ACTIVO FIJO NO CLASIFICADO COMO MAQUINARIA Y EQUIPO</t>
  </si>
  <si>
    <t>02-01-01-04. MAQUINARIA Y EQUIPO</t>
  </si>
  <si>
    <t>Subtotal</t>
  </si>
  <si>
    <t>02-01-01-06. OTROS ACTIVOS FIJOS</t>
  </si>
  <si>
    <t>TOTAL ACTIVOS FIJOS</t>
  </si>
  <si>
    <t>Oficialización 10/03/2022</t>
  </si>
  <si>
    <t>Página :1 de 1</t>
  </si>
  <si>
    <t>02-01-03. ACTIVOS NO PRODUCIDOS</t>
  </si>
  <si>
    <t>NOMBRE</t>
  </si>
  <si>
    <t>02-01-03-01. TIERRAS Y TERRENOS</t>
  </si>
  <si>
    <t>02-01-03-02. RECURSOS BIOLÓGICOS NO CULTIVADOS</t>
  </si>
  <si>
    <t>TOTAL ACTIVOS NO PRODUCIDOS</t>
  </si>
  <si>
    <t>Página :5 de 15</t>
  </si>
  <si>
    <t>02-02-01. MATERIALES Y SUMINISTROS</t>
  </si>
  <si>
    <t>02-02-01-00. AGRICULTURA, SILVICULTURA Y PRODUCTOS DE LA PESCA</t>
  </si>
  <si>
    <t>02-02-01-01. MINERALES, ELECTRICIDAD, GAS Y AGUA</t>
  </si>
  <si>
    <t>02-02-01-02. PRODUCTOS ALIMENTICIOS, BEBIDA Y TABACO; TEXTILES, PRENDAS DE VESTIR Y PRODUCTOS DEL CUERPO</t>
  </si>
  <si>
    <t>02-02-01-03. OTROS BIENES TRANSPORTABLES(EXCEPTO PRODUCTOS METÁLICOS, MAQUINARIA Y EQUIPO)</t>
  </si>
  <si>
    <t>02-02-01-04. PAQUETES METÁLICOS Y PAQUETES DE SOFTWARE</t>
  </si>
  <si>
    <t>02-02-01-010. ELEMENTOS MILITARES DE UN SOLO USO</t>
  </si>
  <si>
    <t>TOTAL MATERIALES Y SUMINISTROS</t>
  </si>
  <si>
    <t>Página 1de 1</t>
  </si>
  <si>
    <t>02-02-02. ADQUISICIÓN DE SERVICIOS</t>
  </si>
  <si>
    <t>02-02-02-05. SERVICIOS DE LA CONSTRUCCIÓN</t>
  </si>
  <si>
    <t>02-02-02-06. SERVICIOS DE ALOJAMIENTO; SERVICIOS DE SUMINISTROS DE COMIDA Y BEBIDAS; SERVICIOS DE TRANSPORTE Y SERVICIOS DE ELECTRICIDAD GAS Y ENERGÍA</t>
  </si>
  <si>
    <t xml:space="preserve">02-02-02-07. SERVICIOS FINANCIEROS Y SERVICIOS CONEXOS, SERVICIOS INMOBILIARIOS, Y SERVICIOS DE LEASING </t>
  </si>
  <si>
    <t>02-02-02-08. SERVICIOS PRESTADOS A LAS EMPRESAS Y SERVICIOS DE PRODUCCIÓN</t>
  </si>
  <si>
    <t>02-02-02-09. SERVICIOS PARA LA COMUNIDAD, SOCIALES Y PERSONALES</t>
  </si>
  <si>
    <t>TOTAL ADQUISICIÓN DE SERVICIOS</t>
  </si>
  <si>
    <t>02-02-02-07. VEHÍCULOS</t>
  </si>
  <si>
    <t>02-02-02-08. HOMBRES DE PROTECCIÓN</t>
  </si>
  <si>
    <t>TOTAL VEHÍCULOS Y HOMBRES DE PROTECCIÓN</t>
  </si>
  <si>
    <t>Página :1de 1</t>
  </si>
  <si>
    <t>VIÁTICOS, GASTOS DE VIAJE Y TIQUETES</t>
  </si>
  <si>
    <t>CANTIDAD (No de personas)</t>
  </si>
  <si>
    <t>DIAS PROMEDIO/PERSONA</t>
  </si>
  <si>
    <t>VALOR PROMEDIO DIARIO</t>
  </si>
  <si>
    <t xml:space="preserve">GASTO ANUAL PROYECTADO </t>
  </si>
  <si>
    <t>VIÁTICOS FUNCIONARIOS &lt; A 180 DIAS</t>
  </si>
  <si>
    <t>VIÁTICOS FUNCIONARIOS &gt; A 180 DIAS</t>
  </si>
  <si>
    <t>GASTOS DE VIAJE CONTRATISTAS (Desagregar por alojamiento y transporte)</t>
  </si>
  <si>
    <t>Subtotal Viáticos y Gastos de viaje</t>
  </si>
  <si>
    <t>TIQUETES FUNCIONARIOS</t>
  </si>
  <si>
    <t>TIQUETES CONTRATISTAS</t>
  </si>
  <si>
    <t>Subtotal Tiquetes</t>
  </si>
  <si>
    <t>TOTAL VIÁTICOS, GASTOS DE VIAJE Y TIQUETES</t>
  </si>
  <si>
    <t xml:space="preserve"> </t>
  </si>
  <si>
    <t>SERVICIOS PÚBLICOS</t>
  </si>
  <si>
    <t>SERVICIO</t>
  </si>
  <si>
    <t xml:space="preserve">Vr. Enero </t>
  </si>
  <si>
    <t xml:space="preserve">Vr. Febrero  </t>
  </si>
  <si>
    <t>Vr. Marzo</t>
  </si>
  <si>
    <t xml:space="preserve">Vr. Abril </t>
  </si>
  <si>
    <t>Vr. Mayo</t>
  </si>
  <si>
    <t xml:space="preserve">Vr. Junio </t>
  </si>
  <si>
    <t xml:space="preserve">Vr. Julio </t>
  </si>
  <si>
    <t>Vr. Agosto</t>
  </si>
  <si>
    <t>Vr. Septiembre</t>
  </si>
  <si>
    <t xml:space="preserve">Vr. Octubre </t>
  </si>
  <si>
    <t>Vr. Noviembre</t>
  </si>
  <si>
    <t xml:space="preserve">Vr. Diciembre </t>
  </si>
  <si>
    <t xml:space="preserve">VALOR ANUAL </t>
  </si>
  <si>
    <t>Acueducto Alcantarillado y Aseo</t>
  </si>
  <si>
    <t>Energía</t>
  </si>
  <si>
    <t xml:space="preserve">Gas Natural </t>
  </si>
  <si>
    <t>Telefonía Móvil celular</t>
  </si>
  <si>
    <t>Telefono,Fax, y Otros</t>
  </si>
  <si>
    <t>Internet</t>
  </si>
  <si>
    <t>Energia</t>
  </si>
  <si>
    <t>Telefonia Movil celular</t>
  </si>
  <si>
    <t>GASTO PROYECTADO EN SERVICIOS PUBLICOS</t>
  </si>
  <si>
    <t>TOTAL SERVICIOS PÚBLICOS</t>
  </si>
  <si>
    <t xml:space="preserve">GASTO PROYECTADO </t>
  </si>
  <si>
    <t>Página :1 de 2</t>
  </si>
  <si>
    <t>APOYOS DE PROTECCIÓN Y MEDIDAS CON ENFOQUE DIFERENCIAL</t>
  </si>
  <si>
    <t>APOYOS DE TRANSPORTE</t>
  </si>
  <si>
    <t>APOYO DE REUBICACIÓN</t>
  </si>
  <si>
    <t>APOYOS DE TRASTEO</t>
  </si>
  <si>
    <t>MEDIDAS ENFOQUE DIFERENCIAL</t>
  </si>
  <si>
    <t>TOTAL APOYOS DE PROTECCIÓN Y ENFOQUE DIFERENCIAL</t>
  </si>
  <si>
    <t>03-10. SENTENCIAS Y CONCILIACIONES</t>
  </si>
  <si>
    <t>03-10-01. FALLOS NACIONALES</t>
  </si>
  <si>
    <t>VALOR UNITARIO (pesos)</t>
  </si>
  <si>
    <t>03-10-01-01. SENTENCIAS</t>
  </si>
  <si>
    <t>03-10-01-02. CONCILIACIONES</t>
  </si>
  <si>
    <t>03-10-01-03. LAUDOS ARBITRALES</t>
  </si>
  <si>
    <t>03-10-02. FALLOS INTERNACIONALES</t>
  </si>
  <si>
    <t>03-10-02-01. FALLOS JUDICIALES, DECISIONES CUASI JUDICIALES Y SOLUCIONES AMISTOSAS SISTEMA INTERAMERICANO DE DERECHOS HUMANOS</t>
  </si>
  <si>
    <t>TOTAL SENTENCIAS Y CONCILIACIONES</t>
  </si>
  <si>
    <r>
      <t xml:space="preserve">05-01. GASTOS DE COMERCIALIZACIÓN Y PRODUCCIÓN </t>
    </r>
    <r>
      <rPr>
        <b/>
        <sz val="10"/>
        <color theme="0"/>
        <rFont val="Arial  "/>
      </rPr>
      <t>(RECURSOS PROPIOS)</t>
    </r>
  </si>
  <si>
    <t>05-01-02. ADQUISICIÓN DE SERVICIOS</t>
  </si>
  <si>
    <t>05-01-02-07. VEHÍCULOS</t>
  </si>
  <si>
    <t>05-01-02-08. HOMBRES DE PROTECCIÓN</t>
  </si>
  <si>
    <t>TOTAL GASTOS DE COMERCIALIZACIÓN Y PRODUCCIÓN (RECURSOS PROPIOS)</t>
  </si>
  <si>
    <t>08. IMPUESTOS, MULTAS, SANCIONES E INTERESES DE MORA</t>
  </si>
  <si>
    <t xml:space="preserve">JUSTIFICACION DE LA NECESIDAD </t>
  </si>
  <si>
    <t>08-01. IMPUESTOS</t>
  </si>
  <si>
    <t xml:space="preserve">08-03. TASAS Y DERECHOS ADMINISTRATIVOS </t>
  </si>
  <si>
    <t>08-04. CONTRIBUCIONES (Incluye cuota de auditaje)</t>
  </si>
  <si>
    <t>08-05. MULTAS, SANCIONES E INTRESES DE MORA</t>
  </si>
  <si>
    <t>TOTAL IMPUESTOS, MULTAS, SANCIONES E INTERESES DE MORA</t>
  </si>
  <si>
    <t>B-10. SERVICIO DE LA DEUDA PÚBLICA INTERNA</t>
  </si>
  <si>
    <t>10-01 SERVICIO DE LA DEUDA PÚBLICA INTERNA</t>
  </si>
  <si>
    <t>10-04 FONDO DE CONTINGENCIAS</t>
  </si>
  <si>
    <t>TOTAL SERVICIO DE LA DEUDA PÚBLICA INTERNA (RECURSOS NACIÓN)</t>
  </si>
  <si>
    <t>,</t>
  </si>
  <si>
    <t>NOMBRE DEL PROYECTO</t>
  </si>
  <si>
    <t xml:space="preserve">DESCRIPCIÓN DEL PROYECTO </t>
  </si>
  <si>
    <t xml:space="preserve">IPC </t>
  </si>
  <si>
    <t xml:space="preserve">TOTAL </t>
  </si>
  <si>
    <t>Página :1de1</t>
  </si>
  <si>
    <t>INSTRUCTIVO PARA EL DILIGENCIAMIENTO DEL FORMATO DE NECESIDADES PRESUPUESTALES</t>
  </si>
  <si>
    <t>CASILLA</t>
  </si>
  <si>
    <t xml:space="preserve">Nota: Diligenciar casillas con números entero, NO número decimales.
No casillas en Blanco, donde no se tenga información, diligenciar con 0 (cero).
</t>
  </si>
  <si>
    <t>FECHA</t>
  </si>
  <si>
    <t xml:space="preserve">Escriba en el orden DD/MM/AA la fecha del diligenciamiento del formato </t>
  </si>
  <si>
    <t>Oficinas Y/o Subdirecciones que diligencian el formato para solicitar una necesidad presupuestal.</t>
  </si>
  <si>
    <t xml:space="preserve">NOMBRES DE LAS PERSONAS QUE DILIGENCIAN EL FORMATO </t>
  </si>
  <si>
    <t xml:space="preserve">Nombre(s) del o los funcionario(s) y/o contratista(s) que realizan el diligenciamiento del formato 
</t>
  </si>
  <si>
    <t>Será diligenciada por la Oficina Asesora de Planeación de acuerdo a los supuestos macroeconómicos del Ministerio de Hacienda y Crédito Público.</t>
  </si>
  <si>
    <t xml:space="preserve">RUBROS </t>
  </si>
  <si>
    <t>Representa cada uno de los ítems o conceptos en que se divide el presupuesto de la Entidad, caracterizado por corresponder a un concepto específico de ingresos o gastos</t>
  </si>
  <si>
    <t>NECESIDAD REAL INGRESOS NACIÓN</t>
  </si>
  <si>
    <t>Constituyen la sumatoria de todos los impuestos tributarios y no tributarios (ingresos corrientes) establecidos en el marco fiscal y tributario del país, así como los recursos de capital que ingresan al Presupuesto General de la Nación (PGN).</t>
  </si>
  <si>
    <t xml:space="preserve">NECESIDAD REAL INGRESOS PROPIOS </t>
  </si>
  <si>
    <t>Son aquellos recursos financieros, materiales, bienes muebles e inmuebles que perciban la Universidad por cualquier título, y que no provengan de las aportaciones que otorguen como subsidio los Gobiernos Estatal y Federal, incluyendo los intereses que generen dichos recursos propios</t>
  </si>
  <si>
    <t>Total Necesidades  Real</t>
  </si>
  <si>
    <t>Sumatoria de la necesidad real ingresos nación y necesidad real ingresos propios.</t>
  </si>
  <si>
    <t xml:space="preserve">Tope Ingresos Nación </t>
  </si>
  <si>
    <t>Limites presupuestales establecidos por la Dirección Nacional de Presupuesto Público.</t>
  </si>
  <si>
    <t>GASTOS DE FUNCIONAMIENTO (GASTOS DE PERSONAL ADQUISICIÓN DE BYS+TRANSFERENCIAS CORRIENTES GASTOS DE COMERCIALIZACION+GASTOS POR TRIBUTOS, MULTAS, SANCIONES E INTERÉS DE MORA)</t>
  </si>
  <si>
    <t xml:space="preserve">Esta casilla se encuentra formulada y resulta de sumar los rubros presupuestales que están a nivel de cuenta de acuerdo con el catalogo de clasificación presupuestal establecido por el Ministerio de Hacienda y Crédito Público.
</t>
  </si>
  <si>
    <t xml:space="preserve">SERVICIO A LA DEUDA PÚBLICA </t>
  </si>
  <si>
    <t>Esta casilla se encuentra formulada y resulta de la sumatoria de servicio a la deuda interna y fondo de contingencias.</t>
  </si>
  <si>
    <t xml:space="preserve">Esta casilla se encuentra formulada y resulta de sumar los rubros presupuestales de: gastos de personal, adquisición de bienes y servicios, transferencias corrientes, gastos de comercialización, impuestos, servicio a la deuda y proyectos de inversión.
</t>
  </si>
  <si>
    <t xml:space="preserve">En este ítem escriba si la necesidad es un bien, servicio u obra. Identifique las características según sea el caso. 
</t>
  </si>
  <si>
    <t>CANTIDAD (Unidades)</t>
  </si>
  <si>
    <t>Identifique la cantidad mensual del bien, obra o servicio requerido.</t>
  </si>
  <si>
    <t>VALOR UNITARIO</t>
  </si>
  <si>
    <t>Diligencie el valor unitario con iva del bien, obra o servicio solicitado</t>
  </si>
  <si>
    <t>Esta casilla se encuentra formulada y resulta de multiplicar la cantidad y el valor unitario.</t>
  </si>
  <si>
    <t>Para el caso de bienes obras y/o servicios o gastos que se requieran en mas de una ocasión, se debe especificar el número de meses a contratar o veces a pagar.
Para el caso de bienes obras y/o se servicios gastos que se vayan a adquirir en una compra o en un solo pago en el año se debe digitar el número uno (1).</t>
  </si>
  <si>
    <t>La casilla se encuentra formulada y resulta multiplicar el valor mensual por el número de meses a contratar o el valor total mas el IPC proyectado.</t>
  </si>
  <si>
    <t xml:space="preserve">Se debe explicar las razones por las cuales se requiere el bien obra o servicio, detallando lo siguiente:
Sustente la cantidad solicitada.
Sustente el tiempo requerido.
</t>
  </si>
  <si>
    <t>05-01-02-08.OTROS SERVICIOS PROFESIONALES</t>
  </si>
  <si>
    <t>SERVICIOS DE SOPORTE (HOMBRES DE PROTECCIÓN) Y OTROS SERVICIOS PROFESIONALES</t>
  </si>
  <si>
    <t>Dirección General</t>
  </si>
  <si>
    <t>Subdirección de Evaluación del Riesgo</t>
  </si>
  <si>
    <t>Subdirección Especializada de Seguridad y Protección</t>
  </si>
  <si>
    <t>Subdirección de Protección</t>
  </si>
  <si>
    <t>Subdirección de Talento Humano</t>
  </si>
  <si>
    <t>Secretaría General</t>
  </si>
  <si>
    <t>Oficina Jurídica</t>
  </si>
  <si>
    <t>Oficina de Control Interno</t>
  </si>
  <si>
    <t xml:space="preserve">Oficina Asesora de Planeación y Control </t>
  </si>
  <si>
    <t>Aunar esfuerzos para consolidar alianzas estratégicas que permitan generar sinergias en pro de fortalecer las capacidades operativas, tecnológicas y administrativas entre la Policía Nacional y la Unidad Nacional de Protección.
Formulación del diagnóstico focalizado de Riesgo con la población objeto con proyección de escenarios, Planes de prevención y contingencia con la asistencia técnica.</t>
  </si>
  <si>
    <t>Se contemplan $1.164.663.271,2 en las necesidades consolidadas por parte de la Sub.de Protección
$ 257.765.575 Telefonía Movil
$ 906.897.696 Botones de Apoyo</t>
  </si>
  <si>
    <t>Se contempla en el rubro de Sub. Protección $1.720.100.000 Corresponde a 1000 chalecos</t>
  </si>
  <si>
    <t>Combustible (Tarjetas). 250 por mes</t>
  </si>
  <si>
    <t>Se contempla en la Subdirección de Protección
$ 1.483.042.410 que corresponden a $787.124.970 Servicio de Telefonía móvil para beneficiarios de la Subdirección Especializada y $ 695.917.440 Servicio de Botones de Apoyo para beneficiarios de la Subdirección Especializada</t>
  </si>
  <si>
    <t>Se contempla en la Sub. De Protección $90.005.520.000 correspondiente a la proyección anual de gastos de vehiculos para esquemas de protección (promedio mensual 1210 esquemas)</t>
  </si>
  <si>
    <t xml:space="preserve">En promedio mensualmente son  3211 hombres de protección  </t>
  </si>
  <si>
    <t>Contempla $45.023.830.668,8 según proyección de la SESP</t>
  </si>
  <si>
    <t>Apoyos en Transportes</t>
  </si>
  <si>
    <t>Apoyos en reubicación</t>
  </si>
  <si>
    <t>Apoyos en Trasteos</t>
  </si>
  <si>
    <t>Elementos ergonómicos	200
Sillas ergonómicas	300</t>
  </si>
  <si>
    <t>Carné (cintas)	$24.588.000
Carné (porta carné)	$10.928.000
Consumibles para los carnés (Tarjeta PVC de impresión)	$5.464.000</t>
  </si>
  <si>
    <t>De acuerdo al acueredo sindical del año 2017, la entidad debe garantizar el servicio de rutas de transporte desde y hacia diferentes puntos de la ciudad con el fin de mejorar la calidad del desplazamiento del personal a sus casas. Se tienen establecidas 11 rutas en dos recorridos diarios.</t>
  </si>
  <si>
    <t>Ruta de los funcionarios</t>
  </si>
  <si>
    <t xml:space="preserve">
ARL PRACTICANTES
Servicios de capacitación
Proceso de Entrenamiento y Reentrenamiento
Proceso de conducción protectiva 
Mantenimiento Plataforma de Aprendizaje de Capacitación
Plataforma Moddle para la construcción de temáticas 
Mantenimiento de impresora de Carnets Institucionales
Publicación de edictos
Auxilios Educativos
Auxilios Educativos
Poliza exequial
Sevicios para Estimulos
Servicios de Bienestar Social 
Centro de Cuidado Infantil No convencional
Seguridad y Salud en el Trabajo</t>
  </si>
  <si>
    <t xml:space="preserve">MUNICION CALIBRE 9 MILIMETROS
MUNICION CALIBRE .40S&amp;W
PERMISOS DE PORTE PERMISO PARA PORTES DE ARMAS DE FUEGO </t>
  </si>
  <si>
    <t>LEY 14 DEL 6 DE JULIO DE 1983 CAP II ART 32A 40
DECRETO LEY 1333 DE 1986 ART 195
CONSEJO DE ESTADO SECCIÓN CUARTA DE 9 JUNIO DE 1995</t>
  </si>
  <si>
    <t>IMPUESTO DE INDUSTRIA Y COMERCIO
PAGO POR FACTURACION SERVICIO DE HOMBRES DE PROTECCIÓN Y SERVICIO DE SEGURIDAD CON VEHICLOS AUTMOTORES</t>
  </si>
  <si>
    <t xml:space="preserve">Secretaría General </t>
  </si>
  <si>
    <t>CONTRALORIA GENERAL DE LA REPUBLICA Cuota de auditaje</t>
  </si>
  <si>
    <t xml:space="preserve">se requiere el pago de la arl contratistas riesgo v ya que es deber de la entidad realizar el pago correspondiente </t>
  </si>
  <si>
    <t>Convenios</t>
  </si>
  <si>
    <t xml:space="preserve">Vehículo Blindado	Servicio 132.637.632.000 
Vehículo Convencional	Servicio  10.743.930.000 </t>
  </si>
  <si>
    <t>Servicio para esquemas de protecciòn mediante convenio</t>
  </si>
  <si>
    <t>Caja menor productos alimenticios</t>
  </si>
  <si>
    <t>Según rotación del gasto - (Incremento por mayor solicitudes de insumos consumibles para reuniones de trabajo -  Direccion General)</t>
  </si>
  <si>
    <t>Caja Menor Servicios Construcción
Contrato Adecuación, mantenimiento y reparaciones civiles, electricas y de sistemas de inmuebles</t>
  </si>
  <si>
    <t>Polizas y arrendamientos</t>
  </si>
  <si>
    <t>Aseo y mantenimiento. Proyección Administrativa</t>
  </si>
  <si>
    <t>se realiza el pago de la arl contratistas riesgo v por obligatoriedad de la entidad por ser esta misma de seguridad y por el riesgo de los contratistas al ejecutar su contrato de prestacion de servicios 
Manejo de residuos peligrosos</t>
  </si>
  <si>
    <t>Suministro de Tiquetes Aéreos</t>
  </si>
  <si>
    <t xml:space="preserve">Se coloca un valor promedio en tiquetes, debido que varia de acuerdo a destinos,  temporada y tiempo de solicitud de los mismos. </t>
  </si>
  <si>
    <t>Sede: Central</t>
  </si>
  <si>
    <t>02-02-02-009-004</t>
  </si>
  <si>
    <t>Pago de servicios públicos para cede central. Se contempla aumento de valor por incremento en número de metros cuadrados y numero de puestos de trabajo. La sede central tiene un área de aproximadamente 13.000 m2 utilles</t>
  </si>
  <si>
    <t>02-02-02-006-009</t>
  </si>
  <si>
    <t>02-02-02-008-004</t>
  </si>
  <si>
    <t>Pago de servicio de telefonía - Conmutador linea General de la Entidad, Linea Vida.</t>
  </si>
  <si>
    <t>Sede: Americas</t>
  </si>
  <si>
    <t>Pago de servicios públicos en cumplimiento de obligaciones del contrato de arrendamiento.</t>
  </si>
  <si>
    <t>Pago de servicio de telefonía - Conmutador linea General de la Entidad.</t>
  </si>
  <si>
    <t>Sede: Apartadó</t>
  </si>
  <si>
    <t>Sede: Arauca</t>
  </si>
  <si>
    <t>Pago de servicios públicos en cumplimiento de obligaciones del Convenio Interadministrativo 0029 - 2021, por el cual la Alcaldía entrego a la UNP bien inmueble en calidad de prestamo.</t>
  </si>
  <si>
    <t>Sede: Armenia</t>
  </si>
  <si>
    <t>Pago de servicios públicos de Inmueble Propio de la Entidad.</t>
  </si>
  <si>
    <t>Sede: Barrancabermeja</t>
  </si>
  <si>
    <t>Sede: Barranquilla</t>
  </si>
  <si>
    <t>Pago de servicios públicos en cumplimiento de obligaciones del contrato de comodato No. 002 de 2015, por el cual Migración Colombia entrego a la UNP bien inmueble.</t>
  </si>
  <si>
    <t>Sede: Boyacá</t>
  </si>
  <si>
    <t>Pago de servicios públicos en cumplimiento de obligaciones del contrato de comodato No. 1926 de 2021, por el cual la Gobernación de Cundinamarca entrego a la UNP bien inmueble.</t>
  </si>
  <si>
    <t>Sede: Bucaramanga</t>
  </si>
  <si>
    <t>Pago de servicios públicos sede propia</t>
  </si>
  <si>
    <t>Sede: Buenaventura</t>
  </si>
  <si>
    <t>Pago de servicios públicos en cumplimiento de obligaciones del contrato de comodato No. 995 de 2019, por el cual el Departamento del Valle del Cauca entrego a la UNP bien inmueble.</t>
  </si>
  <si>
    <t>Sede: Cali</t>
  </si>
  <si>
    <t>Pago de servicios públicos en cumplimiento de obligaciones con la SAE, la cual entrego a la UNP bien inmueble en calidad de destinación provisional.</t>
  </si>
  <si>
    <t>Sede: Cartagena</t>
  </si>
  <si>
    <t>Pago de servicios públicos en cumplimiento de obligaciones del contrato de comodato.</t>
  </si>
  <si>
    <t>Sede: Cúcuta</t>
  </si>
  <si>
    <t>Sede: Florencia</t>
  </si>
  <si>
    <t>Sede: Ibagué</t>
  </si>
  <si>
    <t>Sede: Medellín</t>
  </si>
  <si>
    <t>Pago de servicios públicos en cumplimiento de obligaciones del contrato de comodato No. 002 de 2012, por el cual Migración Colombia entrego a la UNP bien inmueble.</t>
  </si>
  <si>
    <t>Sede: Montería</t>
  </si>
  <si>
    <t>Sede: Neiva</t>
  </si>
  <si>
    <t>Sede: Pasto</t>
  </si>
  <si>
    <t>Sede: Pereira</t>
  </si>
  <si>
    <t>Sede: Popayán</t>
  </si>
  <si>
    <t>Sede: Riohacha</t>
  </si>
  <si>
    <t>Pago de servicios públicos en aras de la apertura de la nueva sede</t>
  </si>
  <si>
    <t>Sede: Santa Marta</t>
  </si>
  <si>
    <t>Sede: Valledupar</t>
  </si>
  <si>
    <t>Sede: Villavcencio</t>
  </si>
  <si>
    <t>Sede: Yopal</t>
  </si>
  <si>
    <t>Pago de servicios públicos en cumplimiento de obligaciones del Convenio Interadministrativo 1244 - 2021, por el cual la Alcaldía entrego a la UNP bien inmueble en calidad de prestamo.</t>
  </si>
  <si>
    <t xml:space="preserve">CONSEJO REGIONAL INDIGENA DEL CAUCA - CRIC
CONSEJO REGIONAL INDIGENA DEL CAUCA - CRIC
ASOCIACION DE CABILDOS INDIGENAS DEL NORTE DEL CAUCA - ACIN
CORPORACION PARA LA DEFENSA Y PROMOCION DE LOS DERECHOS HUMANOS - REINICIAR 
PROVISION OTROS CONVENIOS
Blindaje Arquitectonico CERREM - Medidas de protección por enfoque diferencial.
</t>
  </si>
  <si>
    <t>Impuesto Predial</t>
  </si>
  <si>
    <t xml:space="preserve">Pago impuesto predial a prorrata de las sedes propias y en comodato con la Unidad Administrativa Especial Migración Colombia y Gobernaciones </t>
  </si>
  <si>
    <t>Impuesto semaforización</t>
  </si>
  <si>
    <t>Pago de Impuestos generados por la circulación de Vehículos</t>
  </si>
  <si>
    <t>Caja Menor tasas y derechos administrativos</t>
  </si>
  <si>
    <t>Según rotación del gasto - Pago de servicios notariales o de registro</t>
  </si>
  <si>
    <t>Tasas y Derecho Administrativos</t>
  </si>
  <si>
    <t>Infracciones</t>
  </si>
  <si>
    <t xml:space="preserve">Armamento: 
50 subametralladoras $1.000.000.000
</t>
  </si>
  <si>
    <t>DIRECCION GENERAL</t>
  </si>
  <si>
    <t>VIATICOS</t>
  </si>
  <si>
    <t>Para la vigencia 2025 la entidad contará con más 1.170 cargos nuevos, de los cuales 1.000 serán oficiales de protección y los restantes cargos administrativos. Se prevee que, de acuerdo con las dinámicas normales de los desplazamientos de los funcionarios de la entidad, el gasto en comisiones de servicio y gastos de viaje se incrementarán en un 45% aproximadamente, por la formalización laborar a implementar. Así mismo, y por la misionalidad de la Entidad, éstos rubros evidencian que el comportamiento de una anualidad a otra el gasto se incrementa.</t>
  </si>
  <si>
    <t>OFICINA ASESORA DE PLANEACION E INFORMAC</t>
  </si>
  <si>
    <t>OFICINA DE CONTROL INTERNO</t>
  </si>
  <si>
    <t>SUBDIRECCION DE EVALUACION DEL RIESGO</t>
  </si>
  <si>
    <t>SUBDIRECCION DE PROTECCION</t>
  </si>
  <si>
    <t>SUBDIRECCION DE TALENTO HUMANO</t>
  </si>
  <si>
    <t>SUBDIRECCION ESPECIALIZADA</t>
  </si>
  <si>
    <t>GASTOS DE VIAJE</t>
  </si>
  <si>
    <t>ALOJAMIENTO</t>
  </si>
  <si>
    <t xml:space="preserve">La Secretaría General en cabeza del Grupo de Almacén General suministra a las 29 sedes regionales y  dependencias de la sede principal que conforman la UNP, 
e Incluye Caja menor otros bienes transportables $1333232000
Suministro de combustible a los vehículos del parque automotor de la UNP (propios y alquilados) / Se relaciona el número total de galones proyectados para la vigencia $76.312.729.209
</t>
  </si>
  <si>
    <t>Gastos de Reubicación  (Menaje)</t>
  </si>
  <si>
    <t>Este gasto corresponde a los gastos de Reubicacion  y Transporte de Menaje Domestico del funcionario y/o familia</t>
  </si>
  <si>
    <t>Gastos de Viaje Reubicacion y  (transporte)</t>
  </si>
  <si>
    <t>Este gasto corresponde a los gastos de Reubicacion del funxionario  y Gastos de viaje de Parientes familia</t>
  </si>
  <si>
    <t>SERVICIO INTEGRAL DE ESCOLTA PARA LA PROVISION E IMPLMENTACION</t>
  </si>
  <si>
    <t>La UNP debe contratar la prestación de servicios para la provisión e implementación de escoltas que requiera la Unidad, en desarrollo del Programa de Protección de los derechos a la vida, la libertad, la integridad y la seguridad de las personas, grupos, comunidades y convenios a cargo de la entidad, debido a que la planta de personal asignada no es suficiente. La proyección de la necesidad de los servicios (cantidad de personas) corresponden a proyecciones relacionadas en el MEM24-00010951 del 01/03/2024 basadas en las variables que afectan el crecimiento del programa.   De acuerdo con la proyección financiera el valor total para el año 2025 corresponde a $1,400,649,100,312.  Es importante indicar que para la citada vigencia los contratos cuentan con recursos de vigencias futuras por valor de $818,940,005,731,  según la necesidad se proyecta que alcanzaria hasta el mes de julio de 2025. Por lo anterior, se requieren $583,603,791,797  para poder culminar el año, siendo esto para los 5 meses restantes.</t>
  </si>
  <si>
    <t xml:space="preserve">Firma Externa Espicializada en Cobro Coactivo 
Firma Externa Espicializada en Contratación 
Firma Externa Espicializada en Penal </t>
  </si>
  <si>
    <t>Nulidades Restablecimiento del Derecho y Reparaciones directas</t>
  </si>
  <si>
    <t xml:space="preserve">Oficina Jurídica </t>
  </si>
  <si>
    <t>Fondo de Contingencia de la Entidades Estatales - FCEE</t>
  </si>
  <si>
    <t>En consolidado del GGT de la OAPI se incorpora adicionalmente necesidades por $55.900.000 asociada adquisición de equipos de cómputo</t>
  </si>
  <si>
    <t>Programa de actualización jurisprudencial
40 millones anuales</t>
  </si>
  <si>
    <t>Equipos antiexplosivos
Adquisiciòn de los siguientes equipos especializados antiexplosivos</t>
  </si>
  <si>
    <t>Es necesario renovar gradualmente los equipos antiexplosivos, los cuales fueron entregados a la UNP del extinto DAS cumpliendo su vida util,(entre 15 y 20 de uso),estos  elementos son necesarios para la funciòn de los tecnicos antieexplosivos para el cumplimiento de las actividades de apoyo a la seguridad presidencial y demas esquemas a cargo de la UNP</t>
  </si>
  <si>
    <t>Para realizar veinte (20) Charlas de Sensibilización de las Acciones Preventivas, con un cubrimiento a nivel nacional la cual implica un total aprox. de 1000 beneficiarios y beneficiarias, de conformidad con lo dispuesto en el  numeral 7 del artículo 17 del Decreto 4065 de 2011 y numeral 26 del artículo 2.4.1.2.3, parágrafo 3 del artículo 2.4.1.2.11, numerales 13 y 18 del artículo 2.4.1.2.28 y numeral 9 del artículo 2.4.1.2.40 del Decreto 1066 de 2015, modificado y adicionado por el Decreto 1139 de 2011. Las demás normas que modifique adicionen, sustituya o reglamente la materia. Se requiere para suplir posibles cortes de enegia electrica o en su defecto suplir al necesidad en zonas donde no se cuenta con servicio de energia electrica.</t>
  </si>
  <si>
    <t>Diario oficial
$5.245.440 valor anual</t>
  </si>
  <si>
    <t>Proyección consumo de combustible - Tarjetas recargables (Galones)</t>
  </si>
  <si>
    <t xml:space="preserve">Suministro de tarjetas de combustible, para los vehiculos propios y rentados, que cumplen labores misionales y son  asignados como medida de proteccion en el prograna de prevesion y proteccion que lidera la Unidad Nacional de Proteccion UNP, los cuales no son cubiertos por los chip de combustible del acuerdo marco por su zona de ubicaciòn   </t>
  </si>
  <si>
    <t xml:space="preserve">Transporte fluvial Poblacional
Transporte fluvial o terrestre UP PCC
Esquema ligero 
Reembolso de peajes </t>
  </si>
  <si>
    <t>Reubicación Poblacional
Reubicación UP PCC</t>
  </si>
  <si>
    <t xml:space="preserve">incluye Cubrimiento Peajes beneficiarios	 $250.290.000 </t>
  </si>
  <si>
    <t>Vigilancia $1.080.000.000 
Ferreteria $1.000.000 
Más
1199 millones correspondientes a mulas y lanchas se consolidan</t>
  </si>
  <si>
    <t>Camisillas de Protección Balística 11.139.632.130  
Dotación 618.000.000</t>
  </si>
  <si>
    <t xml:space="preserve">Servicio de Comunicacion plan solo voz beneficiarios 2.744.105.400 
Servicio de comunicación administrativo y misional 307.967.940 
Botones de apoyo 1.148.263.776 
Servicio de soporte 6.166.388.674 
Mantenimiento equipos antiexplosivos 154.500.000 
Actualizaciòn Inhibidores de frecuencia marca GLADIATHOR 782.800.000 </t>
  </si>
  <si>
    <t>ARRENDAMIENTO DE VEHÍCULOS CONVENCIONALES $384.453.708.542
ARRENDAMIENTO DE VEHÍCULOS BLINDADOS $576.879.090.905</t>
  </si>
  <si>
    <t>Dotación $1.138 millones
Elementos de Protecciòn personal y Bioseguridad $267 millones</t>
  </si>
  <si>
    <t>7.000 Pruebas de Selección para la vinculación de servidores públicos a la Entidad. por valor de $180 millones
3000 cargos en Rediseño Institucional - Convocatoria de Selección 	$4.326 millones</t>
  </si>
  <si>
    <t>art. 15 de la Ley 1369 de 2009 /Obliga a todas las entidades integrantes de la Rama Ejecutiva, Legislativa y Judicial a contratar los servicios de correo con el Operador Postal Oficial, condición que actualmente ostenta SERVICIOS POSTALES NACIONALES S.A 618 millones
Incluye gastos de gestión administrativa
Caja menor de carga.1133</t>
  </si>
  <si>
    <t>Acuerdo Marco Reintegro de las sumas reconocidas y pagadas</t>
  </si>
  <si>
    <t>Software para contratos y viaticos</t>
  </si>
  <si>
    <t>Consolidado de necesidades para licenciamientos y otros</t>
  </si>
  <si>
    <r>
      <t xml:space="preserve">
Celulares $691.320.000
Botones de apoyo $1.565.564.000
</t>
    </r>
    <r>
      <rPr>
        <b/>
        <i/>
        <sz val="10"/>
        <color theme="4"/>
        <rFont val="Arial   "/>
      </rPr>
      <t xml:space="preserve">
</t>
    </r>
    <r>
      <rPr>
        <i/>
        <sz val="10"/>
        <color theme="4"/>
        <rFont val="Arial   "/>
      </rPr>
      <t>Adquisición de 107 vehiculos $29.715.000.000 (se contemplarán en inversión)</t>
    </r>
  </si>
  <si>
    <r>
      <t xml:space="preserve">
En consolidado del GGT de la OAPI se incorpora adicionalmente necesidades por $1.760.706.989,504 asociada adquisición de equipos de cómputo impresoras y otros
</t>
    </r>
    <r>
      <rPr>
        <i/>
        <sz val="10"/>
        <color theme="4"/>
        <rFont val="Arial   "/>
      </rPr>
      <t>Adquisición vehiculos tipo camionetas 4X4 convencional
$3.378.400.000 para renovaciòn de parque automotor (se contemplarán en inversiòn)</t>
    </r>
  </si>
  <si>
    <r>
      <t xml:space="preserve">Administrativa:
Adquisición de Báscula de pesaje no automático para residuos peligrosos	 1.500.000 
Adquisición Destructora de papel grande	 4.250.000 
</t>
    </r>
    <r>
      <rPr>
        <i/>
        <sz val="10"/>
        <color theme="4"/>
        <rFont val="Arial   "/>
      </rPr>
      <t>Armamento
KIT DE HERRAMIENTAS
1 VEHICULO 
334544000 (se contemplará en inversión)</t>
    </r>
  </si>
  <si>
    <t>TOPE PRESUPUESTAL
INGRESOS NACIÓN</t>
  </si>
  <si>
    <t>DEFICIT DE NECESIDADES</t>
  </si>
  <si>
    <t>Funcionamiento</t>
  </si>
  <si>
    <t>Inversión</t>
  </si>
  <si>
    <t>Servicio de la Deuda</t>
  </si>
  <si>
    <t>Tope</t>
  </si>
  <si>
    <t>TOPE</t>
  </si>
  <si>
    <t xml:space="preserve"> TOPES PRESUPUESTALES</t>
  </si>
  <si>
    <t>NECESIDAD INGRESOS PROPIOS</t>
  </si>
  <si>
    <r>
      <t xml:space="preserve">Incluye Necesidad de Computadores de la OCI y de la SER. Relacionadas con equipos de cómputo y otros. 
</t>
    </r>
    <r>
      <rPr>
        <i/>
        <sz val="10"/>
        <color rgb="FF0070C0"/>
        <rFont val="Arial   "/>
      </rPr>
      <t>No contempla necesidades de la SER  asociada a celulares, considerando ) el decreto de austeridad del gasto "Abstenerse renovar o adquirir teléfonos celulares y de móvil, Internety datos para servidores públicos cualquier nivel, debiendo desmontar gradualmente planes o servicios tengan contratados. Se exceptúan aquellos se la prestación del atención al ciudadano, la transmisión de datos condiciones hidrometeorológicas, y requeridos como parte la dotación personal que la seguridad de beneficiarios de acuerdo con lo establecido en el Decreto 1 de 2015 o el que sus veces"</t>
    </r>
  </si>
  <si>
    <t>ASIGNACIÓN TOPE</t>
  </si>
  <si>
    <t>DEFICIT</t>
  </si>
  <si>
    <t>GGIM Auditoria de seguimiento 9001-14001-45001 $36.050.000
GGIM Auditoria de seguimiento 27001 $15.450.000
ENCUESTA DE MEDICIÓN  $37.080.000
Suministro e implmentación del Centro de Comando, Control, Cómputo, Comunicaciones y Contacto Ciudadano - C5- $30.745.712.095
Contrar la prestación de Servicio de Análisis de Vulnerabilidad a los Sistemas de Información de la UNP $60.000.000
Contrar la prestación de Servicio de pruebas de Continuidad de Negocios a los Sistemas de Información de la UNP $60.000.000
Contratar la Gestión Integral de los Servicios Tecnológicos. Incluye: Licenciamiento de Soporte, Mantenimiento preventivo y correctivo, Soporte L1, L2 y L3 para la Infraestructura TI de la Entidad. $45.920.000.000
Proyecto Fabrica de Software UNP  $4.500.000.000
Prestación del servicio comunicaciones móviles y servicio de conectividad MPLS e internet (SDWAN) a través de canales de comunicaciones para la Unidad Nacional de Protección - UNP. $600.000.000
Renovacion de soporte, mantenimiento y actualizaciones del sistema de informacion para Capacitaciones	$135.000.000
Sostenimiento línea vida 103 (telefonía, conectividad y carbyne)  $7.000.000.000
Diseño, Implementación  para puesta en funcionamiento de Interoperabilidad y servicios, tramites y OPAS en la UNP	$500.000.000
Contratar la renovacion de soporte, mantenimiento, actualizaciones y  soporte del software ERP Novasoft $600.000.000
Controladora WIFl $800.000.000
Contratar la  Renovacion de licenciamiento, soporte de los equipos de seguridad perimetral Firewall, switches de borde de las sedes de la UNP. $700.000.000
Red Nacional de Radio Comunicación Digital Troncalizada de Misión Crítica de la UNP $75.000.000.000
Implementar Intune $200.000.000
Ingreso a las instalaciones con huella digital 	$950.000.000
Puesta en funcionamiento Arquitectura Empresarial	$1.500.000.000</t>
  </si>
  <si>
    <t>Este recurso se requiere para Implementar medidas de protección en el Territorio Nacional a las poblaciones que se encuentran en el marco del Decreto 4912 de 2011, Decreto 1066 del 2015, Decreto 1139 de 2021 y Decreto 1064 del 2022, con el recurso requerido se pretende adelantar la implementación de Medidas de protección colectivas a los grupos y comunidades (étnicas – asociaciones – consejos comunitarios etc.) de acuerdo con el grado de riesgo, amenaza y vulnerabilidad, derivadas de las actividades del colectivo, según lo establecido en el Decreto 2078 de 2017”.
Por lo anterior, las medidas recomendadas buscan un impacto integral del colectivo respondiendo a una visión de protección articulada por las diferentes entidades del estado de acuerdo a su competencia y enfocada a derechos en consideración a los principios de subsidiariedad y complementariedad entre las distintas instituciones de acuerdo al decreto 1066 de 2015.
Atendiendo los actos administrativos allegados al Grupo de Implementación de Medidas de Protección adscrita a la Subdirección de Protección, los cuales ordenan implementar medidas con enfoque diferencial donde se debe tener en cuenta las especificaciones y vulnerabilidades por edad, etnia, genero, discapacidad, orientación sexual y procedencia urbana o rural de las personas objeto de protección. Se espera un crecimiento en el proceso de medidas de protección con enfoque diferencial de acuerdo a los compromisos que realiza la Dirección General de la UNP con grupos  colectivos.</t>
  </si>
  <si>
    <t xml:space="preserve">Verificación </t>
  </si>
  <si>
    <t>Diferencia</t>
  </si>
  <si>
    <t>Fortalecimiento de la gestión de  talento humano y optimización  de los  sistemas de  información de la  UNP a nive nacional</t>
  </si>
  <si>
    <t>Fortalecimiento de la capacidad institucional para la implementación de los programas de prevención y protección en el marco de la ruta colectiva de la Unidad Nacional de Protección a nivel nacional</t>
  </si>
  <si>
    <t>Fortalecimiento del Proceso de gestión documental de la unidad nacional de protección a nivel nacional</t>
  </si>
  <si>
    <t>TOPE MHCP</t>
  </si>
  <si>
    <t>NECESIDAD REAL</t>
  </si>
  <si>
    <t>DÉFICIT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</si>
</sst>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0;\-&quot;$&quot;#,##0"/>
    <numFmt numFmtId="165" formatCode="#,##0\ &quot;€&quot;;\-#,##0\ &quot;€&quot;"/>
    <numFmt numFmtId="166" formatCode="#,##0\ &quot;€&quot;;[Red]\-#,##0\ &quot;€&quot;"/>
    <numFmt numFmtId="167" formatCode="_-* #,##0.00\ _€_-;\-* #,##0.00\ _€_-;_-* &quot;-&quot;??\ _€_-;_-@_-"/>
    <numFmt numFmtId="168" formatCode="_(&quot;$&quot;\ * #,##0.00_);_(&quot;$&quot;\ * \(#,##0.00\);_(&quot;$&quot;\ * &quot;-&quot;??_);_(@_)"/>
    <numFmt numFmtId="169" formatCode="_(* #,##0.00_);_(* \(#,##0.00\);_(* &quot;-&quot;??_);_(@_)"/>
    <numFmt numFmtId="170" formatCode="_(* #,##0_);_(* \(#,##0\);_(* &quot;-&quot;??_);_(@_)"/>
    <numFmt numFmtId="171" formatCode="_(&quot;$&quot;* #,##0.00_);_(&quot;$&quot;* \(#,##0.00\);_(&quot;$&quot;* &quot;-&quot;??_);_(@_)"/>
    <numFmt numFmtId="172" formatCode="_(&quot;$&quot;\ * #,##0_);_(&quot;$&quot;\ * \(#,##0\);_(&quot;$&quot;\ * &quot;-&quot;??_);_(@_)"/>
    <numFmt numFmtId="173" formatCode="_ [$€-2]\ * #,##0.00_ ;_ [$€-2]\ * \-#,##0.00_ ;_ [$€-2]\ * &quot;-&quot;??_ "/>
    <numFmt numFmtId="174" formatCode="_ * #,##0.00_ ;_ * \-#,##0.00_ ;_ * &quot;-&quot;??_ ;_ @_ "/>
    <numFmt numFmtId="175" formatCode="_([$€]* #,##0.00_);_([$€]* \(#,##0.00\);_([$€]* &quot;-&quot;??_);_(@_)"/>
    <numFmt numFmtId="176" formatCode="0;[Red]0"/>
    <numFmt numFmtId="177" formatCode="_-* #,##0.00\ _p_t_a_-;\-* #,##0.00\ _p_t_a_-;_-* &quot;-&quot;??\ _p_t_a_-;_-@_-"/>
    <numFmt numFmtId="178" formatCode="_ &quot;$&quot;\ * #,##0.00_ ;_ &quot;$&quot;\ * \-#,##0.00_ ;_ &quot;$&quot;\ * &quot;-&quot;??_ ;_ @_ "/>
    <numFmt numFmtId="179" formatCode="&quot;€&quot;#,##0_);\(&quot;€&quot;#,##0\)"/>
    <numFmt numFmtId="180" formatCode="00"/>
    <numFmt numFmtId="181" formatCode="_-* #,##0_-;\-* #,##0_-;_-* &quot;-&quot;??_-;_-@_-"/>
    <numFmt numFmtId="182" formatCode="&quot;$&quot;#,##0"/>
    <numFmt numFmtId="183" formatCode="&quot;$&quot;#,##0;[Red]&quot;$&quot;#,##0"/>
    <numFmt numFmtId="184" formatCode="0.000%"/>
    <numFmt numFmtId="185" formatCode="_-[$$-2C0A]\ * #,##0_-;\-[$$-2C0A]\ * #,##0_-;_-[$$-2C0A]\ * &quot;-&quot;??_-;_-@_-"/>
    <numFmt numFmtId="186" formatCode="_-[$$-2C0A]\ * #,##0.00_-;\-[$$-2C0A]\ * #,##0.00_-;_-[$$-2C0A]\ * &quot;-&quot;??_-;_-@_-"/>
    <numFmt numFmtId="187" formatCode="_(* #,##0.0_);_(* \(#,##0.0\);_(* &quot;-&quot;??_);_(@_)"/>
    <numFmt numFmtId="188" formatCode="&quot;$&quot;\ #,##0"/>
    <numFmt numFmtId="189" formatCode="&quot;$&quot;\ #,##0.00"/>
  </numFmts>
  <fonts count="93">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sz val="12"/>
      <name val="Arial Narrow"/>
      <family val="2"/>
    </font>
    <font>
      <b/>
      <sz val="9"/>
      <color indexed="81"/>
      <name val="Tahoma"/>
      <family val="2"/>
    </font>
    <font>
      <sz val="9"/>
      <color indexed="81"/>
      <name val="Tahoma"/>
      <family val="2"/>
    </font>
    <font>
      <b/>
      <sz val="11"/>
      <color theme="0"/>
      <name val="Calibri"/>
      <family val="2"/>
      <scheme val="minor"/>
    </font>
    <font>
      <sz val="10"/>
      <name val="Arial"/>
      <family val="2"/>
    </font>
    <font>
      <sz val="10"/>
      <name val="Courier"/>
      <family val="3"/>
    </font>
    <font>
      <b/>
      <sz val="11"/>
      <color theme="1"/>
      <name val="Arial Narrow"/>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11"/>
      <color indexed="8"/>
      <name val="Calibri"/>
      <family val="2"/>
    </font>
    <font>
      <sz val="11"/>
      <color rgb="FF000000"/>
      <name val="Calibri"/>
      <family val="2"/>
      <scheme val="minor"/>
    </font>
    <font>
      <sz val="10"/>
      <name val="Arial"/>
      <family val="2"/>
    </font>
    <font>
      <sz val="10"/>
      <color indexed="8"/>
      <name val="Arial"/>
      <family val="2"/>
    </font>
    <font>
      <sz val="11"/>
      <color indexed="9"/>
      <name val="Calibri"/>
      <family val="2"/>
    </font>
    <font>
      <sz val="11"/>
      <color indexed="17"/>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u/>
      <sz val="10"/>
      <color indexed="12"/>
      <name val="Arial"/>
      <family val="2"/>
    </font>
    <font>
      <sz val="11"/>
      <color indexed="20"/>
      <name val="Calibri"/>
      <family val="2"/>
    </font>
    <font>
      <sz val="11"/>
      <color indexed="19"/>
      <name val="Calibri"/>
      <family val="2"/>
    </font>
    <font>
      <sz val="9"/>
      <color theme="1"/>
      <name val="Arial"/>
      <family val="2"/>
    </font>
    <font>
      <sz val="10"/>
      <color indexed="64"/>
      <name val="Arial"/>
      <family val="2"/>
    </font>
    <font>
      <b/>
      <sz val="11"/>
      <color indexed="63"/>
      <name val="Calibri"/>
      <family val="2"/>
    </font>
    <font>
      <i/>
      <sz val="11"/>
      <color indexed="23"/>
      <name val="Calibri"/>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11"/>
      <color theme="1"/>
      <name val="Arial"/>
      <family val="2"/>
    </font>
    <font>
      <sz val="10"/>
      <color theme="1"/>
      <name val="Arial"/>
      <family val="2"/>
    </font>
    <font>
      <b/>
      <sz val="10"/>
      <color theme="1"/>
      <name val="Arial"/>
      <family val="2"/>
    </font>
    <font>
      <sz val="11"/>
      <name val="Arial Narrow"/>
      <family val="2"/>
    </font>
    <font>
      <b/>
      <sz val="14"/>
      <name val="Arial Narrow"/>
      <family val="2"/>
    </font>
    <font>
      <sz val="11"/>
      <color theme="1"/>
      <name val="Arial Narrow"/>
      <family val="2"/>
    </font>
    <font>
      <b/>
      <sz val="11"/>
      <name val="Arial Narrow"/>
      <family val="2"/>
    </font>
    <font>
      <sz val="10"/>
      <name val="Arial Narrow"/>
      <family val="2"/>
    </font>
    <font>
      <b/>
      <sz val="12"/>
      <name val="Arial"/>
      <family val="2"/>
    </font>
    <font>
      <sz val="12"/>
      <name val="Arial"/>
      <family val="2"/>
    </font>
    <font>
      <sz val="8"/>
      <color theme="1"/>
      <name val="Arial"/>
      <family val="2"/>
    </font>
    <font>
      <sz val="10"/>
      <color theme="1"/>
      <name val="Arial  "/>
    </font>
    <font>
      <b/>
      <sz val="10"/>
      <color theme="1"/>
      <name val="Arial  "/>
    </font>
    <font>
      <b/>
      <sz val="10"/>
      <name val="Arial  "/>
    </font>
    <font>
      <b/>
      <sz val="10"/>
      <color theme="0"/>
      <name val="Arial  "/>
    </font>
    <font>
      <sz val="10"/>
      <name val="Arial  "/>
    </font>
    <font>
      <sz val="10"/>
      <color rgb="FFFF0000"/>
      <name val="Arial  "/>
    </font>
    <font>
      <b/>
      <sz val="10"/>
      <name val="Arial   "/>
    </font>
    <font>
      <sz val="10"/>
      <color theme="1"/>
      <name val="Arial   "/>
    </font>
    <font>
      <b/>
      <sz val="10"/>
      <color theme="1"/>
      <name val="Arial   "/>
    </font>
    <font>
      <sz val="10"/>
      <name val="Arial   "/>
    </font>
    <font>
      <b/>
      <sz val="10"/>
      <name val="Arial "/>
    </font>
    <font>
      <sz val="10"/>
      <color theme="1"/>
      <name val="Arial "/>
    </font>
    <font>
      <b/>
      <sz val="10"/>
      <color theme="1"/>
      <name val="Arial "/>
    </font>
    <font>
      <sz val="10"/>
      <name val="Arial "/>
    </font>
    <font>
      <b/>
      <sz val="10"/>
      <name val="Arial"/>
      <family val="2"/>
    </font>
    <font>
      <b/>
      <sz val="10"/>
      <color rgb="FFFFFFFF"/>
      <name val="Arial  "/>
    </font>
    <font>
      <sz val="10"/>
      <color indexed="8"/>
      <name val="Arial  "/>
    </font>
    <font>
      <b/>
      <u/>
      <sz val="10"/>
      <color theme="1"/>
      <name val="Arial  "/>
    </font>
    <font>
      <sz val="10"/>
      <color rgb="FF000000"/>
      <name val="Arial"/>
      <family val="2"/>
    </font>
    <font>
      <b/>
      <sz val="12"/>
      <color theme="1"/>
      <name val="Arial"/>
      <family val="2"/>
    </font>
    <font>
      <sz val="12"/>
      <color rgb="FF202124"/>
      <name val="Arial"/>
      <family val="2"/>
    </font>
    <font>
      <sz val="9"/>
      <color rgb="FF000000"/>
      <name val="Tahoma"/>
      <family val="2"/>
    </font>
    <font>
      <b/>
      <sz val="9"/>
      <color rgb="FF000000"/>
      <name val="Tahoma"/>
      <family val="2"/>
    </font>
    <font>
      <sz val="14"/>
      <name val="Arial"/>
      <family val="2"/>
    </font>
    <font>
      <sz val="10"/>
      <color rgb="FF000000"/>
      <name val="Arial"/>
      <family val="2"/>
    </font>
    <font>
      <sz val="10"/>
      <color rgb="FF00B050"/>
      <name val="Arial   "/>
    </font>
    <font>
      <sz val="8"/>
      <color theme="1"/>
      <name val="Arial  "/>
    </font>
    <font>
      <sz val="10"/>
      <color theme="1"/>
      <name val="Arial Narrow"/>
      <family val="2"/>
    </font>
    <font>
      <sz val="10"/>
      <color rgb="FFFF0000"/>
      <name val="Arial"/>
      <family val="2"/>
    </font>
    <font>
      <b/>
      <sz val="10"/>
      <color rgb="FFFF0000"/>
      <name val="Arial  "/>
    </font>
    <font>
      <i/>
      <sz val="10"/>
      <color theme="4"/>
      <name val="Arial   "/>
    </font>
    <font>
      <b/>
      <i/>
      <sz val="10"/>
      <color theme="4"/>
      <name val="Arial   "/>
    </font>
    <font>
      <i/>
      <sz val="10"/>
      <color rgb="FF0070C0"/>
      <name val="Arial   "/>
    </font>
    <font>
      <sz val="10"/>
      <color rgb="FFFF0000"/>
      <name val="Arial   "/>
    </font>
    <font>
      <sz val="10"/>
      <color rgb="FF0070C0"/>
      <name val="Arial  "/>
    </font>
    <font>
      <sz val="11"/>
      <color rgb="FF000000"/>
      <name val="Calibri"/>
      <family val="2"/>
    </font>
  </fonts>
  <fills count="63">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65"/>
        <bgColor theme="0"/>
      </patternFill>
    </fill>
    <fill>
      <patternFill patternType="solid">
        <fgColor indexed="46"/>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rgb="FF002060"/>
        <bgColor indexed="64"/>
      </patternFill>
    </fill>
    <fill>
      <patternFill patternType="solid">
        <fgColor theme="4" tint="0.59999389629810485"/>
        <bgColor indexed="64"/>
      </patternFill>
    </fill>
    <fill>
      <patternFill patternType="solid">
        <fgColor theme="3"/>
        <bgColor indexed="64"/>
      </patternFill>
    </fill>
    <fill>
      <patternFill patternType="solid">
        <fgColor theme="1" tint="0.499984740745262"/>
        <bgColor indexed="64"/>
      </patternFill>
    </fill>
    <fill>
      <patternFill patternType="solid">
        <fgColor rgb="FFFFFF00"/>
        <bgColor indexed="64"/>
      </patternFill>
    </fill>
    <fill>
      <patternFill patternType="solid">
        <fgColor theme="3" tint="0.79998168889431442"/>
        <bgColor indexed="64"/>
      </patternFill>
    </fill>
  </fills>
  <borders count="78">
    <border>
      <left/>
      <right/>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thin">
        <color theme="3" tint="-0.249977111117893"/>
      </top>
      <bottom style="double">
        <color theme="3" tint="-0.249977111117893"/>
      </bottom>
      <diagonal/>
    </border>
    <border>
      <left/>
      <right/>
      <top style="thin">
        <color theme="1"/>
      </top>
      <bottom style="double">
        <color theme="1"/>
      </bottom>
      <diagonal/>
    </border>
    <border>
      <left style="thin">
        <color indexed="64"/>
      </left>
      <right/>
      <top/>
      <bottom/>
      <diagonal/>
    </border>
    <border>
      <left style="medium">
        <color theme="1"/>
      </left>
      <right style="thin">
        <color theme="0"/>
      </right>
      <top style="medium">
        <color theme="1"/>
      </top>
      <bottom style="thin">
        <color theme="0"/>
      </bottom>
      <diagonal/>
    </border>
    <border>
      <left style="thin">
        <color theme="0"/>
      </left>
      <right style="medium">
        <color theme="1"/>
      </right>
      <top style="medium">
        <color theme="1"/>
      </top>
      <bottom style="thin">
        <color theme="0"/>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auto="1"/>
      </top>
      <bottom/>
      <diagonal/>
    </border>
    <border>
      <left/>
      <right/>
      <top style="thin">
        <color indexed="64"/>
      </top>
      <bottom style="double">
        <color indexed="64"/>
      </bottom>
      <diagonal/>
    </border>
    <border>
      <left style="thin">
        <color auto="1"/>
      </left>
      <right style="medium">
        <color indexed="64"/>
      </right>
      <top/>
      <bottom style="thin">
        <color auto="1"/>
      </bottom>
      <diagonal/>
    </border>
    <border>
      <left/>
      <right/>
      <top/>
      <bottom style="double">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style="double">
        <color indexed="64"/>
      </top>
      <bottom style="double">
        <color indexed="64"/>
      </bottom>
      <diagonal/>
    </border>
    <border>
      <left/>
      <right style="thin">
        <color indexed="64"/>
      </right>
      <top/>
      <bottom/>
      <diagonal/>
    </border>
    <border>
      <left style="thin">
        <color indexed="64"/>
      </left>
      <right/>
      <top style="double">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045">
    <xf numFmtId="0" fontId="0" fillId="0" borderId="0"/>
    <xf numFmtId="169" fontId="1" fillId="0" borderId="0" applyFont="0" applyFill="0" applyBorder="0" applyAlignment="0" applyProtection="0"/>
    <xf numFmtId="0" fontId="2" fillId="0" borderId="0"/>
    <xf numFmtId="37" fontId="8" fillId="0" borderId="0"/>
    <xf numFmtId="169"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37" fontId="2" fillId="0" borderId="0"/>
    <xf numFmtId="168" fontId="1" fillId="0" borderId="0" applyFont="0" applyFill="0" applyBorder="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21" applyNumberFormat="0" applyAlignment="0" applyProtection="0"/>
    <xf numFmtId="0" fontId="17" fillId="10" borderId="22" applyNumberFormat="0" applyAlignment="0" applyProtection="0"/>
    <xf numFmtId="0" fontId="18" fillId="10" borderId="21" applyNumberFormat="0" applyAlignment="0" applyProtection="0"/>
    <xf numFmtId="0" fontId="19" fillId="0" borderId="23" applyNumberFormat="0" applyFill="0" applyAlignment="0" applyProtection="0"/>
    <xf numFmtId="0" fontId="7" fillId="11" borderId="24" applyNumberFormat="0" applyAlignment="0" applyProtection="0"/>
    <xf numFmtId="0" fontId="20" fillId="0" borderId="0" applyNumberFormat="0" applyFill="0" applyBorder="0" applyAlignment="0" applyProtection="0"/>
    <xf numFmtId="0" fontId="1" fillId="12" borderId="25" applyNumberFormat="0" applyFont="0" applyAlignment="0" applyProtection="0"/>
    <xf numFmtId="0" fontId="21" fillId="0" borderId="0" applyNumberFormat="0" applyFill="0" applyBorder="0" applyAlignment="0" applyProtection="0"/>
    <xf numFmtId="0" fontId="3" fillId="0" borderId="26" applyNumberFormat="0" applyFill="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2" fillId="36" borderId="0" applyNumberFormat="0" applyBorder="0" applyAlignment="0" applyProtection="0"/>
    <xf numFmtId="37" fontId="2" fillId="0" borderId="0"/>
    <xf numFmtId="0" fontId="2" fillId="0" borderId="0"/>
    <xf numFmtId="0" fontId="2" fillId="0" borderId="0"/>
    <xf numFmtId="0" fontId="1" fillId="0" borderId="0"/>
    <xf numFmtId="0" fontId="23" fillId="0" borderId="0" applyNumberFormat="0" applyFill="0" applyBorder="0" applyAlignment="0" applyProtection="0"/>
    <xf numFmtId="173" fontId="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167" fontId="24" fillId="0" borderId="0" applyFont="0" applyFill="0" applyBorder="0" applyAlignment="0" applyProtection="0"/>
    <xf numFmtId="167" fontId="2"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0" fontId="1" fillId="0" borderId="0"/>
    <xf numFmtId="9" fontId="2"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9" fillId="0" borderId="0"/>
    <xf numFmtId="43" fontId="1" fillId="0" borderId="0" applyFont="0" applyFill="0" applyBorder="0" applyAlignment="0" applyProtection="0"/>
    <xf numFmtId="37" fontId="26" fillId="0" borderId="0"/>
    <xf numFmtId="169" fontId="25" fillId="0" borderId="0" applyFont="0" applyFill="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8" fillId="41"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3" borderId="0" applyNumberFormat="0" applyBorder="0" applyAlignment="0" applyProtection="0"/>
    <xf numFmtId="0" fontId="28" fillId="41" borderId="0" applyNumberFormat="0" applyBorder="0" applyAlignment="0" applyProtection="0"/>
    <xf numFmtId="0" fontId="28" fillId="38" borderId="0" applyNumberFormat="0" applyBorder="0" applyAlignment="0" applyProtection="0"/>
    <xf numFmtId="0" fontId="29" fillId="41" borderId="0" applyNumberFormat="0" applyBorder="0" applyAlignment="0" applyProtection="0"/>
    <xf numFmtId="0" fontId="30" fillId="46" borderId="28" applyNumberFormat="0" applyAlignment="0" applyProtection="0"/>
    <xf numFmtId="0" fontId="30" fillId="46" borderId="28" applyNumberFormat="0" applyAlignment="0" applyProtection="0"/>
    <xf numFmtId="0" fontId="31" fillId="47" borderId="29" applyNumberFormat="0" applyAlignment="0" applyProtection="0"/>
    <xf numFmtId="0" fontId="32" fillId="0" borderId="30" applyNumberFormat="0" applyFill="0" applyAlignment="0" applyProtection="0"/>
    <xf numFmtId="0" fontId="33" fillId="0" borderId="0" applyNumberFormat="0" applyFill="0" applyBorder="0" applyAlignment="0" applyProtection="0"/>
    <xf numFmtId="0" fontId="28" fillId="48"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28"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34" fillId="42" borderId="28" applyNumberFormat="0" applyAlignment="0" applyProtection="0"/>
    <xf numFmtId="0" fontId="34" fillId="42" borderId="28" applyNumberFormat="0" applyAlignment="0" applyProtection="0"/>
    <xf numFmtId="0" fontId="16" fillId="52" borderId="21" applyFill="0"/>
    <xf numFmtId="0" fontId="2" fillId="0" borderId="0" applyNumberFormat="0" applyFill="0" applyBorder="0" applyAlignment="0" applyProtection="0"/>
    <xf numFmtId="0" fontId="2" fillId="0" borderId="0" applyNumberFormat="0" applyFill="0" applyBorder="0" applyAlignment="0" applyProtection="0"/>
    <xf numFmtId="175" fontId="9" fillId="0" borderId="0" applyFont="0" applyFill="0" applyBorder="0" applyAlignment="0" applyProtection="0"/>
    <xf numFmtId="0" fontId="2" fillId="0" borderId="0"/>
    <xf numFmtId="0" fontId="35" fillId="0" borderId="0" applyNumberFormat="0" applyFill="0" applyBorder="0" applyAlignment="0" applyProtection="0">
      <alignment vertical="top"/>
      <protection locked="0"/>
    </xf>
    <xf numFmtId="0" fontId="36" fillId="53" borderId="0" applyNumberFormat="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1"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7" fillId="0" borderId="0">
      <alignment vertical="top"/>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9"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5"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7" fontId="24" fillId="0" borderId="0" applyFont="0" applyFill="0" applyBorder="0" applyAlignment="0" applyProtection="0"/>
    <xf numFmtId="0" fontId="24" fillId="0" borderId="0" applyFont="0" applyFill="0" applyBorder="0" applyAlignment="0" applyProtection="0"/>
    <xf numFmtId="176" fontId="24" fillId="0" borderId="0" applyFont="0" applyFill="0" applyBorder="0" applyAlignment="0" applyProtection="0"/>
    <xf numFmtId="169" fontId="1"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76" fontId="24" fillId="0" borderId="0" applyFont="0" applyFill="0" applyBorder="0" applyAlignment="0" applyProtection="0"/>
    <xf numFmtId="169" fontId="24" fillId="0" borderId="0" applyFont="0" applyFill="0" applyBorder="0" applyAlignment="0" applyProtection="0"/>
    <xf numFmtId="167" fontId="1" fillId="0" borderId="0" applyFont="0" applyFill="0" applyBorder="0" applyAlignment="0" applyProtection="0"/>
    <xf numFmtId="174" fontId="2"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7" fontId="1" fillId="0" borderId="0" applyFont="0" applyFill="0" applyBorder="0" applyAlignment="0" applyProtection="0"/>
    <xf numFmtId="0" fontId="24" fillId="0" borderId="0" applyFont="0" applyFill="0" applyBorder="0" applyAlignment="0" applyProtection="0"/>
    <xf numFmtId="176"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9"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7" fontId="24" fillId="0" borderId="0" applyFont="0" applyFill="0" applyBorder="0" applyAlignment="0" applyProtection="0"/>
    <xf numFmtId="174" fontId="2" fillId="0" borderId="0" applyFont="0" applyFill="0" applyBorder="0" applyAlignment="0" applyProtection="0"/>
    <xf numFmtId="43" fontId="24" fillId="0" borderId="0" applyFont="0" applyFill="0" applyBorder="0" applyAlignment="0" applyProtection="0"/>
    <xf numFmtId="167" fontId="1" fillId="0" borderId="0" applyFont="0" applyFill="0" applyBorder="0" applyAlignment="0" applyProtection="0"/>
    <xf numFmtId="174" fontId="2"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7" fontId="24" fillId="0" borderId="0" applyFont="0" applyFill="0" applyBorder="0" applyAlignment="0" applyProtection="0"/>
    <xf numFmtId="43" fontId="24" fillId="0" borderId="0" applyFont="0" applyFill="0" applyBorder="0" applyAlignment="0" applyProtection="0"/>
    <xf numFmtId="174" fontId="2" fillId="0" borderId="0" applyFont="0" applyFill="0" applyBorder="0" applyAlignment="0" applyProtection="0"/>
    <xf numFmtId="167" fontId="24" fillId="0" borderId="0" applyFont="0" applyFill="0" applyBorder="0" applyAlignment="0" applyProtection="0"/>
    <xf numFmtId="177"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7" fontId="1" fillId="0" borderId="0" applyFont="0" applyFill="0" applyBorder="0" applyAlignment="0" applyProtection="0"/>
    <xf numFmtId="0" fontId="27" fillId="0" borderId="0">
      <alignment vertical="top"/>
    </xf>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7"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74" fontId="2" fillId="0" borderId="0" applyFont="0" applyFill="0" applyBorder="0" applyAlignment="0" applyProtection="0"/>
    <xf numFmtId="168" fontId="1"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66" fontId="2" fillId="0" borderId="0" applyFont="0" applyFill="0" applyBorder="0" applyAlignment="0" applyProtection="0"/>
    <xf numFmtId="168" fontId="2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4" fillId="0" borderId="0" applyFont="0" applyFill="0" applyBorder="0" applyAlignment="0" applyProtection="0"/>
    <xf numFmtId="0" fontId="37" fillId="42" borderId="0" applyNumberFormat="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9"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7"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39" borderId="31" applyNumberFormat="0" applyFont="0" applyAlignment="0" applyProtection="0"/>
    <xf numFmtId="0" fontId="24" fillId="12" borderId="25" applyNumberFormat="0" applyFont="0" applyAlignment="0" applyProtection="0"/>
    <xf numFmtId="0" fontId="2" fillId="39" borderId="31"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24" fillId="12" borderId="25" applyNumberFormat="0" applyFont="0" applyAlignment="0" applyProtection="0"/>
    <xf numFmtId="0" fontId="1" fillId="12" borderId="25" applyNumberFormat="0" applyFont="0" applyAlignment="0" applyProtection="0"/>
    <xf numFmtId="0" fontId="24" fillId="12" borderId="25" applyNumberFormat="0" applyFont="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0" fontId="40" fillId="46" borderId="32" applyNumberFormat="0" applyAlignment="0" applyProtection="0"/>
    <xf numFmtId="0" fontId="40" fillId="46" borderId="32" applyNumberFormat="0" applyAlignment="0" applyProtection="0"/>
    <xf numFmtId="0" fontId="32" fillId="0" borderId="0" applyNumberFormat="0" applyFill="0" applyBorder="0" applyAlignment="0" applyProtection="0"/>
    <xf numFmtId="0" fontId="41" fillId="0" borderId="0" applyNumberFormat="0" applyFill="0" applyBorder="0" applyAlignment="0" applyProtection="0"/>
    <xf numFmtId="0" fontId="42" fillId="0" borderId="33" applyNumberFormat="0" applyFill="0" applyAlignment="0" applyProtection="0"/>
    <xf numFmtId="0" fontId="43" fillId="0" borderId="34" applyNumberFormat="0" applyFill="0" applyAlignment="0" applyProtection="0"/>
    <xf numFmtId="0" fontId="33" fillId="0" borderId="35" applyNumberFormat="0" applyFill="0" applyAlignment="0" applyProtection="0"/>
    <xf numFmtId="0" fontId="44" fillId="0" borderId="0" applyNumberFormat="0" applyFill="0" applyBorder="0" applyAlignment="0" applyProtection="0"/>
    <xf numFmtId="0" fontId="45" fillId="0" borderId="36" applyNumberFormat="0" applyFill="0" applyAlignment="0" applyProtection="0"/>
    <xf numFmtId="0" fontId="45" fillId="0" borderId="36" applyNumberFormat="0" applyFill="0" applyAlignment="0" applyProtection="0"/>
    <xf numFmtId="168" fontId="25" fillId="0" borderId="0" applyFont="0" applyFill="0" applyBorder="0" applyAlignment="0" applyProtection="0"/>
    <xf numFmtId="0" fontId="25" fillId="0" borderId="0"/>
    <xf numFmtId="37" fontId="2" fillId="0" borderId="0"/>
    <xf numFmtId="0" fontId="30" fillId="46" borderId="39" applyNumberFormat="0" applyAlignment="0" applyProtection="0"/>
    <xf numFmtId="0" fontId="30" fillId="46" borderId="39" applyNumberFormat="0" applyAlignment="0" applyProtection="0"/>
    <xf numFmtId="0" fontId="34" fillId="42" borderId="39" applyNumberFormat="0" applyAlignment="0" applyProtection="0"/>
    <xf numFmtId="0" fontId="34" fillId="42" borderId="39" applyNumberFormat="0" applyAlignment="0" applyProtection="0"/>
    <xf numFmtId="0" fontId="2" fillId="39" borderId="40" applyNumberFormat="0" applyFont="0" applyAlignment="0" applyProtection="0"/>
    <xf numFmtId="0" fontId="2" fillId="39" borderId="40" applyNumberFormat="0" applyFont="0" applyAlignment="0" applyProtection="0"/>
    <xf numFmtId="0" fontId="40" fillId="46" borderId="41" applyNumberFormat="0" applyAlignment="0" applyProtection="0"/>
    <xf numFmtId="0" fontId="40" fillId="46" borderId="41" applyNumberFormat="0" applyAlignment="0" applyProtection="0"/>
    <xf numFmtId="0" fontId="45" fillId="0" borderId="42" applyNumberFormat="0" applyFill="0" applyAlignment="0" applyProtection="0"/>
    <xf numFmtId="0" fontId="45" fillId="0" borderId="42" applyNumberFormat="0" applyFill="0" applyAlignment="0" applyProtection="0"/>
    <xf numFmtId="0" fontId="35" fillId="0" borderId="0" applyNumberFormat="0" applyFill="0" applyBorder="0" applyAlignment="0" applyProtection="0">
      <alignment vertical="top"/>
      <protection locked="0"/>
    </xf>
    <xf numFmtId="180" fontId="53" fillId="0" borderId="0" applyFill="0">
      <alignment horizontal="center" vertical="center" wrapText="1"/>
    </xf>
    <xf numFmtId="1" fontId="53" fillId="4" borderId="0" applyFill="0">
      <alignment horizontal="center" vertical="center"/>
    </xf>
    <xf numFmtId="167" fontId="1" fillId="0" borderId="0" applyFont="0" applyFill="0" applyBorder="0" applyAlignment="0" applyProtection="0"/>
    <xf numFmtId="17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0" fontId="30" fillId="46" borderId="61" applyNumberFormat="0" applyAlignment="0" applyProtection="0"/>
    <xf numFmtId="0" fontId="30" fillId="46" borderId="61" applyNumberFormat="0" applyAlignment="0" applyProtection="0"/>
    <xf numFmtId="0" fontId="34" fillId="42" borderId="61" applyNumberFormat="0" applyAlignment="0" applyProtection="0"/>
    <xf numFmtId="0" fontId="34" fillId="42" borderId="61" applyNumberFormat="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 fillId="39" borderId="62" applyNumberFormat="0" applyFont="0" applyAlignment="0" applyProtection="0"/>
    <xf numFmtId="0" fontId="2" fillId="39" borderId="62" applyNumberFormat="0" applyFont="0" applyAlignment="0" applyProtection="0"/>
    <xf numFmtId="0" fontId="40" fillId="46" borderId="63" applyNumberFormat="0" applyAlignment="0" applyProtection="0"/>
    <xf numFmtId="0" fontId="40" fillId="46" borderId="63" applyNumberFormat="0" applyAlignment="0" applyProtection="0"/>
    <xf numFmtId="0" fontId="45" fillId="0" borderId="64" applyNumberFormat="0" applyFill="0" applyAlignment="0" applyProtection="0"/>
    <xf numFmtId="0" fontId="45" fillId="0" borderId="64" applyNumberFormat="0" applyFill="0" applyAlignment="0" applyProtection="0"/>
    <xf numFmtId="0" fontId="30" fillId="46" borderId="61" applyNumberFormat="0" applyAlignment="0" applyProtection="0"/>
    <xf numFmtId="0" fontId="30" fillId="46" borderId="61" applyNumberFormat="0" applyAlignment="0" applyProtection="0"/>
    <xf numFmtId="0" fontId="34" fillId="42" borderId="61" applyNumberFormat="0" applyAlignment="0" applyProtection="0"/>
    <xf numFmtId="0" fontId="34" fillId="42" borderId="61" applyNumberFormat="0" applyAlignment="0" applyProtection="0"/>
    <xf numFmtId="0" fontId="2" fillId="39" borderId="62" applyNumberFormat="0" applyFont="0" applyAlignment="0" applyProtection="0"/>
    <xf numFmtId="0" fontId="2" fillId="39" borderId="62" applyNumberFormat="0" applyFont="0" applyAlignment="0" applyProtection="0"/>
    <xf numFmtId="0" fontId="40" fillId="46" borderId="63" applyNumberFormat="0" applyAlignment="0" applyProtection="0"/>
    <xf numFmtId="0" fontId="40" fillId="46" borderId="63" applyNumberFormat="0" applyAlignment="0" applyProtection="0"/>
    <xf numFmtId="0" fontId="45" fillId="0" borderId="64" applyNumberFormat="0" applyFill="0" applyAlignment="0" applyProtection="0"/>
    <xf numFmtId="0" fontId="45" fillId="0" borderId="64" applyNumberFormat="0" applyFill="0" applyAlignment="0" applyProtection="0"/>
    <xf numFmtId="44" fontId="1" fillId="0" borderId="0" applyFont="0" applyFill="0" applyBorder="0" applyAlignment="0" applyProtection="0"/>
    <xf numFmtId="42"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0" fontId="30" fillId="46" borderId="65" applyNumberFormat="0" applyAlignment="0" applyProtection="0"/>
    <xf numFmtId="0" fontId="30" fillId="46" borderId="65" applyNumberFormat="0" applyAlignment="0" applyProtection="0"/>
    <xf numFmtId="0" fontId="34" fillId="42" borderId="65" applyNumberFormat="0" applyAlignment="0" applyProtection="0"/>
    <xf numFmtId="0" fontId="34" fillId="42" borderId="65" applyNumberFormat="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 fillId="39" borderId="66" applyNumberFormat="0" applyFont="0" applyAlignment="0" applyProtection="0"/>
    <xf numFmtId="0" fontId="2" fillId="39" borderId="66" applyNumberFormat="0" applyFont="0" applyAlignment="0" applyProtection="0"/>
    <xf numFmtId="0" fontId="40" fillId="46" borderId="67" applyNumberFormat="0" applyAlignment="0" applyProtection="0"/>
    <xf numFmtId="0" fontId="40" fillId="46" borderId="67" applyNumberFormat="0" applyAlignment="0" applyProtection="0"/>
    <xf numFmtId="0" fontId="45" fillId="0" borderId="68" applyNumberFormat="0" applyFill="0" applyAlignment="0" applyProtection="0"/>
    <xf numFmtId="0" fontId="45" fillId="0" borderId="68" applyNumberFormat="0" applyFill="0" applyAlignment="0" applyProtection="0"/>
    <xf numFmtId="0" fontId="30" fillId="46" borderId="65" applyNumberFormat="0" applyAlignment="0" applyProtection="0"/>
    <xf numFmtId="0" fontId="30" fillId="46" borderId="65" applyNumberFormat="0" applyAlignment="0" applyProtection="0"/>
    <xf numFmtId="0" fontId="34" fillId="42" borderId="65" applyNumberFormat="0" applyAlignment="0" applyProtection="0"/>
    <xf numFmtId="0" fontId="34" fillId="42" borderId="65" applyNumberFormat="0" applyAlignment="0" applyProtection="0"/>
    <xf numFmtId="0" fontId="2" fillId="39" borderId="66" applyNumberFormat="0" applyFont="0" applyAlignment="0" applyProtection="0"/>
    <xf numFmtId="0" fontId="2" fillId="39" borderId="66" applyNumberFormat="0" applyFont="0" applyAlignment="0" applyProtection="0"/>
    <xf numFmtId="0" fontId="40" fillId="46" borderId="67" applyNumberFormat="0" applyAlignment="0" applyProtection="0"/>
    <xf numFmtId="0" fontId="40" fillId="46" borderId="67" applyNumberFormat="0" applyAlignment="0" applyProtection="0"/>
    <xf numFmtId="0" fontId="45" fillId="0" borderId="68" applyNumberFormat="0" applyFill="0" applyAlignment="0" applyProtection="0"/>
    <xf numFmtId="0" fontId="45" fillId="0" borderId="68" applyNumberFormat="0" applyFill="0" applyAlignment="0" applyProtection="0"/>
    <xf numFmtId="44" fontId="1" fillId="0" borderId="0" applyFont="0" applyFill="0" applyBorder="0" applyAlignment="0" applyProtection="0"/>
    <xf numFmtId="42" fontId="1" fillId="0" borderId="0" applyFont="0" applyFill="0" applyBorder="0" applyAlignment="0" applyProtection="0"/>
    <xf numFmtId="0" fontId="30" fillId="46" borderId="69" applyNumberFormat="0" applyAlignment="0" applyProtection="0"/>
    <xf numFmtId="0" fontId="30" fillId="46" borderId="69" applyNumberFormat="0" applyAlignment="0" applyProtection="0"/>
    <xf numFmtId="0" fontId="34" fillId="42" borderId="69" applyNumberFormat="0" applyAlignment="0" applyProtection="0"/>
    <xf numFmtId="0" fontId="34" fillId="42" borderId="69" applyNumberFormat="0" applyAlignment="0" applyProtection="0"/>
    <xf numFmtId="0" fontId="2" fillId="39" borderId="70" applyNumberFormat="0" applyFont="0" applyAlignment="0" applyProtection="0"/>
    <xf numFmtId="0" fontId="2" fillId="39" borderId="70" applyNumberFormat="0" applyFont="0" applyAlignment="0" applyProtection="0"/>
    <xf numFmtId="0" fontId="40" fillId="46" borderId="71" applyNumberFormat="0" applyAlignment="0" applyProtection="0"/>
    <xf numFmtId="0" fontId="40" fillId="46" borderId="71" applyNumberFormat="0" applyAlignment="0" applyProtection="0"/>
    <xf numFmtId="0" fontId="45" fillId="0" borderId="72" applyNumberFormat="0" applyFill="0" applyAlignment="0" applyProtection="0"/>
    <xf numFmtId="0" fontId="45" fillId="0" borderId="72" applyNumberFormat="0" applyFill="0" applyAlignment="0" applyProtection="0"/>
    <xf numFmtId="0" fontId="30" fillId="46" borderId="69" applyNumberFormat="0" applyAlignment="0" applyProtection="0"/>
    <xf numFmtId="0" fontId="30" fillId="46" borderId="69" applyNumberFormat="0" applyAlignment="0" applyProtection="0"/>
    <xf numFmtId="0" fontId="34" fillId="42" borderId="69" applyNumberFormat="0" applyAlignment="0" applyProtection="0"/>
    <xf numFmtId="0" fontId="34" fillId="42" borderId="69" applyNumberFormat="0" applyAlignment="0" applyProtection="0"/>
    <xf numFmtId="0" fontId="2" fillId="39" borderId="70" applyNumberFormat="0" applyFont="0" applyAlignment="0" applyProtection="0"/>
    <xf numFmtId="0" fontId="2" fillId="39" borderId="70" applyNumberFormat="0" applyFont="0" applyAlignment="0" applyProtection="0"/>
    <xf numFmtId="0" fontId="40" fillId="46" borderId="71" applyNumberFormat="0" applyAlignment="0" applyProtection="0"/>
    <xf numFmtId="0" fontId="40" fillId="46" borderId="71" applyNumberFormat="0" applyAlignment="0" applyProtection="0"/>
    <xf numFmtId="0" fontId="45" fillId="0" borderId="72" applyNumberFormat="0" applyFill="0" applyAlignment="0" applyProtection="0"/>
    <xf numFmtId="0" fontId="45" fillId="0" borderId="72" applyNumberFormat="0" applyFill="0" applyAlignment="0" applyProtection="0"/>
  </cellStyleXfs>
  <cellXfs count="806">
    <xf numFmtId="0" fontId="0" fillId="0" borderId="0" xfId="0"/>
    <xf numFmtId="0" fontId="0" fillId="0" borderId="0" xfId="0" applyProtection="1">
      <protection locked="0"/>
    </xf>
    <xf numFmtId="0" fontId="2" fillId="0" borderId="0" xfId="0" applyFont="1"/>
    <xf numFmtId="0" fontId="46" fillId="0" borderId="0" xfId="0" applyFont="1" applyProtection="1">
      <protection locked="0"/>
    </xf>
    <xf numFmtId="0" fontId="47" fillId="0" borderId="0" xfId="0" applyFont="1"/>
    <xf numFmtId="0" fontId="51" fillId="0" borderId="0" xfId="0" applyFont="1" applyProtection="1">
      <protection locked="0"/>
    </xf>
    <xf numFmtId="169" fontId="51" fillId="0" borderId="0" xfId="0" applyNumberFormat="1" applyFont="1" applyProtection="1">
      <protection locked="0"/>
    </xf>
    <xf numFmtId="0" fontId="54" fillId="0" borderId="43" xfId="998" applyFont="1" applyBorder="1" applyAlignment="1">
      <alignment horizontal="center" vertical="center"/>
    </xf>
    <xf numFmtId="0" fontId="57" fillId="0" borderId="0" xfId="0" applyFont="1"/>
    <xf numFmtId="0" fontId="59" fillId="58" borderId="43" xfId="0" applyFont="1" applyFill="1" applyBorder="1" applyAlignment="1">
      <alignment wrapText="1"/>
    </xf>
    <xf numFmtId="0" fontId="61" fillId="4" borderId="43" xfId="0" applyFont="1" applyFill="1" applyBorder="1" applyAlignment="1">
      <alignment vertical="center" wrapText="1"/>
    </xf>
    <xf numFmtId="0" fontId="61" fillId="0" borderId="0" xfId="0" applyFont="1"/>
    <xf numFmtId="42" fontId="60" fillId="0" borderId="0" xfId="1803" applyFont="1" applyFill="1" applyBorder="1" applyAlignment="1" applyProtection="1">
      <alignment horizontal="right" vertical="center" wrapText="1"/>
    </xf>
    <xf numFmtId="3" fontId="60" fillId="0" borderId="0" xfId="0" applyNumberFormat="1" applyFont="1" applyAlignment="1" applyProtection="1">
      <alignment horizontal="right" vertical="center" wrapText="1"/>
      <protection locked="0"/>
    </xf>
    <xf numFmtId="0" fontId="59" fillId="4" borderId="43" xfId="0" applyFont="1" applyFill="1" applyBorder="1" applyAlignment="1">
      <alignment horizontal="left" wrapText="1"/>
    </xf>
    <xf numFmtId="0" fontId="61" fillId="4" borderId="43" xfId="0" applyFont="1" applyFill="1" applyBorder="1" applyAlignment="1">
      <alignment horizontal="left" wrapText="1"/>
    </xf>
    <xf numFmtId="0" fontId="64" fillId="0" borderId="0" xfId="0" applyFont="1" applyProtection="1">
      <protection locked="0"/>
    </xf>
    <xf numFmtId="0" fontId="63" fillId="54" borderId="43" xfId="0" applyFont="1" applyFill="1" applyBorder="1" applyAlignment="1" applyProtection="1">
      <alignment horizontal="center" vertical="center" wrapText="1"/>
      <protection locked="0"/>
    </xf>
    <xf numFmtId="0" fontId="65" fillId="0" borderId="10" xfId="0" applyFont="1" applyBorder="1"/>
    <xf numFmtId="9" fontId="65" fillId="0" borderId="10" xfId="0" applyNumberFormat="1" applyFont="1" applyBorder="1"/>
    <xf numFmtId="169" fontId="64" fillId="0" borderId="0" xfId="0" applyNumberFormat="1" applyFont="1" applyProtection="1">
      <protection locked="0"/>
    </xf>
    <xf numFmtId="0" fontId="65" fillId="0" borderId="0" xfId="0" applyFont="1"/>
    <xf numFmtId="9" fontId="65" fillId="0" borderId="0" xfId="0" applyNumberFormat="1" applyFont="1"/>
    <xf numFmtId="0" fontId="59" fillId="58" borderId="43" xfId="0" applyFont="1" applyFill="1" applyBorder="1"/>
    <xf numFmtId="169" fontId="60" fillId="59" borderId="49" xfId="0" applyNumberFormat="1" applyFont="1" applyFill="1" applyBorder="1" applyAlignment="1">
      <alignment horizontal="center" vertical="center" wrapText="1"/>
    </xf>
    <xf numFmtId="0" fontId="68" fillId="0" borderId="0" xfId="0" applyFont="1" applyProtection="1">
      <protection locked="0"/>
    </xf>
    <xf numFmtId="0" fontId="67" fillId="54" borderId="43" xfId="0" applyFont="1" applyFill="1" applyBorder="1" applyAlignment="1" applyProtection="1">
      <alignment horizontal="center" vertical="center" wrapText="1"/>
      <protection locked="0"/>
    </xf>
    <xf numFmtId="0" fontId="69" fillId="0" borderId="10" xfId="0" applyFont="1" applyBorder="1"/>
    <xf numFmtId="9" fontId="69" fillId="0" borderId="10" xfId="0" applyNumberFormat="1" applyFont="1" applyBorder="1"/>
    <xf numFmtId="169" fontId="68" fillId="0" borderId="0" xfId="0" applyNumberFormat="1" applyFont="1" applyProtection="1">
      <protection locked="0"/>
    </xf>
    <xf numFmtId="0" fontId="57" fillId="0" borderId="0" xfId="0" applyFont="1" applyProtection="1">
      <protection locked="0"/>
    </xf>
    <xf numFmtId="0" fontId="59" fillId="54" borderId="43" xfId="0" applyFont="1" applyFill="1" applyBorder="1" applyAlignment="1" applyProtection="1">
      <alignment horizontal="center" vertical="center" wrapText="1"/>
      <protection locked="0"/>
    </xf>
    <xf numFmtId="0" fontId="58" fillId="0" borderId="10" xfId="0" applyFont="1" applyBorder="1"/>
    <xf numFmtId="9" fontId="58" fillId="0" borderId="10" xfId="0" applyNumberFormat="1" applyFont="1" applyBorder="1"/>
    <xf numFmtId="169" fontId="57" fillId="0" borderId="0" xfId="0" applyNumberFormat="1" applyFont="1" applyProtection="1">
      <protection locked="0"/>
    </xf>
    <xf numFmtId="0" fontId="58" fillId="0" borderId="0" xfId="0" applyFont="1"/>
    <xf numFmtId="9" fontId="58" fillId="0" borderId="0" xfId="0" applyNumberFormat="1" applyFont="1"/>
    <xf numFmtId="0" fontId="57" fillId="0" borderId="43" xfId="0" applyFont="1" applyBorder="1" applyAlignment="1">
      <alignment horizontal="right"/>
    </xf>
    <xf numFmtId="0" fontId="71" fillId="2" borderId="43" xfId="0" applyFont="1" applyFill="1" applyBorder="1" applyAlignment="1">
      <alignment horizontal="center" vertical="center" wrapText="1"/>
    </xf>
    <xf numFmtId="0" fontId="72" fillId="0" borderId="0" xfId="0" applyFont="1" applyAlignment="1">
      <alignment horizontal="center" vertical="center"/>
    </xf>
    <xf numFmtId="169" fontId="59" fillId="0" borderId="0" xfId="1" applyFont="1" applyFill="1" applyBorder="1" applyAlignment="1">
      <alignment horizontal="center" vertical="center"/>
    </xf>
    <xf numFmtId="169" fontId="72" fillId="0" borderId="0" xfId="1" applyFont="1" applyFill="1" applyBorder="1" applyAlignment="1">
      <alignment horizontal="center" vertical="center"/>
    </xf>
    <xf numFmtId="0" fontId="59" fillId="2" borderId="1" xfId="0" applyFont="1" applyFill="1" applyBorder="1" applyAlignment="1">
      <alignment horizontal="center" vertical="center" wrapText="1"/>
    </xf>
    <xf numFmtId="0" fontId="59" fillId="2" borderId="43" xfId="0" applyFont="1" applyFill="1" applyBorder="1" applyAlignment="1">
      <alignment horizontal="center" vertical="center" wrapText="1"/>
    </xf>
    <xf numFmtId="0" fontId="59" fillId="2" borderId="37" xfId="0" applyFont="1" applyFill="1" applyBorder="1" applyAlignment="1">
      <alignment horizontal="center" vertical="center" wrapText="1"/>
    </xf>
    <xf numFmtId="172" fontId="57" fillId="0" borderId="0" xfId="0" applyNumberFormat="1" applyFont="1"/>
    <xf numFmtId="169" fontId="57" fillId="0" borderId="0" xfId="1" applyFont="1" applyFill="1" applyBorder="1" applyAlignment="1">
      <alignment horizontal="right"/>
    </xf>
    <xf numFmtId="169" fontId="57" fillId="0" borderId="0" xfId="0" applyNumberFormat="1" applyFont="1"/>
    <xf numFmtId="0" fontId="47" fillId="0" borderId="43" xfId="0" applyFont="1" applyBorder="1" applyProtection="1">
      <protection locked="0"/>
    </xf>
    <xf numFmtId="0" fontId="54" fillId="0" borderId="43" xfId="0" applyFont="1" applyBorder="1" applyAlignment="1" applyProtection="1">
      <alignment horizontal="left" vertical="center" wrapText="1"/>
      <protection locked="0"/>
    </xf>
    <xf numFmtId="9" fontId="58" fillId="0" borderId="10" xfId="0" applyNumberFormat="1" applyFont="1" applyBorder="1" applyAlignment="1">
      <alignment horizontal="center" vertical="center"/>
    </xf>
    <xf numFmtId="0" fontId="57" fillId="0" borderId="0" xfId="0" applyFont="1" applyAlignment="1">
      <alignment vertical="center"/>
    </xf>
    <xf numFmtId="0" fontId="57" fillId="4" borderId="0" xfId="0" applyFont="1" applyFill="1" applyAlignment="1">
      <alignment vertical="center"/>
    </xf>
    <xf numFmtId="0" fontId="61" fillId="0" borderId="0" xfId="0" applyFont="1" applyAlignment="1">
      <alignment vertical="center"/>
    </xf>
    <xf numFmtId="0" fontId="62" fillId="0" borderId="0" xfId="0" applyFont="1" applyAlignment="1">
      <alignment vertical="center"/>
    </xf>
    <xf numFmtId="0" fontId="60" fillId="0" borderId="0" xfId="0" applyFont="1" applyAlignment="1">
      <alignment vertical="center" wrapText="1" readingOrder="1"/>
    </xf>
    <xf numFmtId="0" fontId="57" fillId="0" borderId="38" xfId="0" applyFont="1" applyBorder="1" applyAlignment="1">
      <alignment horizontal="right" vertical="center"/>
    </xf>
    <xf numFmtId="0" fontId="57" fillId="4" borderId="0" xfId="0" applyFont="1" applyFill="1" applyAlignment="1">
      <alignment vertical="center" wrapText="1"/>
    </xf>
    <xf numFmtId="0" fontId="58" fillId="0" borderId="0" xfId="0" applyFont="1" applyAlignment="1">
      <alignment vertical="center" wrapText="1"/>
    </xf>
    <xf numFmtId="0" fontId="58" fillId="0" borderId="0" xfId="0" applyFont="1" applyAlignment="1">
      <alignment horizontal="center" vertical="center" wrapText="1"/>
    </xf>
    <xf numFmtId="0" fontId="59" fillId="4" borderId="58" xfId="0" applyFont="1" applyFill="1" applyBorder="1" applyAlignment="1">
      <alignment horizontal="center" vertical="center" wrapText="1"/>
    </xf>
    <xf numFmtId="0" fontId="57" fillId="0" borderId="55" xfId="0" applyFont="1" applyBorder="1" applyAlignment="1">
      <alignment horizontal="center" vertical="center"/>
    </xf>
    <xf numFmtId="0" fontId="57" fillId="0" borderId="48" xfId="0" applyFont="1" applyBorder="1" applyAlignment="1">
      <alignment vertical="center"/>
    </xf>
    <xf numFmtId="0" fontId="57" fillId="0" borderId="55" xfId="0" applyFont="1" applyBorder="1" applyAlignment="1">
      <alignment vertical="center"/>
    </xf>
    <xf numFmtId="0" fontId="57" fillId="0" borderId="12" xfId="0" applyFont="1" applyBorder="1" applyAlignment="1">
      <alignment vertical="center"/>
    </xf>
    <xf numFmtId="0" fontId="57" fillId="0" borderId="48" xfId="0" applyFont="1" applyBorder="1" applyAlignment="1">
      <alignment horizontal="left" vertical="center"/>
    </xf>
    <xf numFmtId="0" fontId="57" fillId="0" borderId="55" xfId="0" applyFont="1" applyBorder="1" applyAlignment="1">
      <alignment horizontal="left" vertical="center"/>
    </xf>
    <xf numFmtId="0" fontId="57" fillId="0" borderId="55" xfId="0" applyFont="1" applyBorder="1" applyAlignment="1">
      <alignment horizontal="right" vertical="center"/>
    </xf>
    <xf numFmtId="0" fontId="58" fillId="0" borderId="58" xfId="0" applyFont="1" applyBorder="1" applyAlignment="1">
      <alignment vertical="center" wrapText="1"/>
    </xf>
    <xf numFmtId="14" fontId="57" fillId="0" borderId="43" xfId="0" applyNumberFormat="1" applyFont="1" applyBorder="1" applyAlignment="1">
      <alignment horizontal="center" vertical="center"/>
    </xf>
    <xf numFmtId="0" fontId="58" fillId="0" borderId="43" xfId="0" applyFont="1" applyBorder="1" applyAlignment="1">
      <alignment horizontal="center" vertical="center"/>
    </xf>
    <xf numFmtId="49" fontId="57" fillId="0" borderId="43" xfId="0" applyNumberFormat="1" applyFont="1" applyBorder="1" applyAlignment="1">
      <alignment horizontal="center" vertical="center"/>
    </xf>
    <xf numFmtId="0" fontId="54" fillId="0" borderId="43" xfId="0" applyFont="1" applyBorder="1" applyAlignment="1" applyProtection="1">
      <alignment horizontal="center" vertical="center" wrapText="1"/>
      <protection locked="0"/>
    </xf>
    <xf numFmtId="0" fontId="55" fillId="0" borderId="46" xfId="0" applyFont="1" applyBorder="1" applyAlignment="1" applyProtection="1">
      <alignment horizontal="left" vertical="center" wrapText="1"/>
      <protection locked="0"/>
    </xf>
    <xf numFmtId="0" fontId="55" fillId="0" borderId="46" xfId="0" applyFont="1" applyBorder="1" applyAlignment="1" applyProtection="1">
      <alignment vertical="center" wrapText="1"/>
      <protection locked="0"/>
    </xf>
    <xf numFmtId="0" fontId="55" fillId="0" borderId="43" xfId="998" applyFont="1" applyBorder="1" applyAlignment="1">
      <alignment horizontal="left" vertical="center" wrapText="1"/>
    </xf>
    <xf numFmtId="0" fontId="54" fillId="0" borderId="43" xfId="998" applyFont="1" applyBorder="1" applyAlignment="1">
      <alignment horizontal="left" vertical="center" wrapText="1"/>
    </xf>
    <xf numFmtId="0" fontId="55" fillId="0" borderId="43" xfId="0" applyFont="1" applyBorder="1" applyAlignment="1">
      <alignment horizontal="left" vertical="center" wrapText="1"/>
    </xf>
    <xf numFmtId="0" fontId="55" fillId="0" borderId="43" xfId="0" applyFont="1" applyBorder="1" applyAlignment="1">
      <alignment vertical="center" wrapText="1"/>
    </xf>
    <xf numFmtId="0" fontId="77" fillId="0" borderId="0" xfId="0" applyFont="1" applyAlignment="1">
      <alignment wrapText="1"/>
    </xf>
    <xf numFmtId="0" fontId="55" fillId="0" borderId="43" xfId="0" applyFont="1" applyBorder="1" applyAlignment="1">
      <alignment vertical="center"/>
    </xf>
    <xf numFmtId="0" fontId="76" fillId="0" borderId="43" xfId="0" applyFont="1" applyBorder="1" applyAlignment="1">
      <alignment horizontal="left" vertical="center"/>
    </xf>
    <xf numFmtId="0" fontId="57" fillId="0" borderId="43" xfId="0" applyFont="1" applyBorder="1" applyAlignment="1">
      <alignment horizontal="left"/>
    </xf>
    <xf numFmtId="0" fontId="58" fillId="2" borderId="43" xfId="0" applyFont="1" applyFill="1" applyBorder="1" applyAlignment="1">
      <alignment vertical="center" wrapText="1"/>
    </xf>
    <xf numFmtId="0" fontId="71" fillId="54" borderId="43" xfId="0" applyFont="1" applyFill="1" applyBorder="1" applyAlignment="1">
      <alignment horizontal="center" vertical="center" wrapText="1"/>
    </xf>
    <xf numFmtId="0" fontId="59" fillId="54" borderId="43" xfId="0" applyFont="1" applyFill="1" applyBorder="1" applyAlignment="1">
      <alignment horizontal="center" vertical="center" wrapText="1"/>
    </xf>
    <xf numFmtId="0" fontId="63" fillId="54" borderId="43" xfId="0" applyFont="1" applyFill="1" applyBorder="1" applyAlignment="1">
      <alignment horizontal="center" vertical="center" wrapText="1"/>
    </xf>
    <xf numFmtId="0" fontId="4" fillId="54" borderId="43" xfId="0" applyFont="1" applyFill="1" applyBorder="1" applyAlignment="1">
      <alignment horizontal="center" vertical="center" wrapText="1"/>
    </xf>
    <xf numFmtId="0" fontId="48" fillId="0" borderId="10" xfId="0" applyFont="1" applyBorder="1"/>
    <xf numFmtId="9" fontId="48" fillId="0" borderId="10" xfId="0" applyNumberFormat="1" applyFont="1" applyBorder="1"/>
    <xf numFmtId="0" fontId="47" fillId="0" borderId="0" xfId="0" applyFont="1" applyAlignment="1">
      <alignment vertical="center" wrapText="1"/>
    </xf>
    <xf numFmtId="0" fontId="72" fillId="57" borderId="13" xfId="0" applyFont="1" applyFill="1" applyBorder="1" applyAlignment="1">
      <alignment horizontal="center" vertical="center"/>
    </xf>
    <xf numFmtId="0" fontId="72" fillId="57" borderId="14" xfId="0" applyFont="1" applyFill="1" applyBorder="1" applyAlignment="1">
      <alignment horizontal="center" vertical="center"/>
    </xf>
    <xf numFmtId="0" fontId="58" fillId="0" borderId="11" xfId="0" applyFont="1" applyBorder="1"/>
    <xf numFmtId="9" fontId="58" fillId="0" borderId="11" xfId="0" applyNumberFormat="1" applyFont="1" applyBorder="1"/>
    <xf numFmtId="0" fontId="59" fillId="55" borderId="43" xfId="0" applyFont="1" applyFill="1" applyBorder="1" applyAlignment="1">
      <alignment horizontal="center" vertical="center" wrapText="1"/>
    </xf>
    <xf numFmtId="0" fontId="59" fillId="54" borderId="37" xfId="0" applyFont="1" applyFill="1" applyBorder="1" applyAlignment="1" applyProtection="1">
      <alignment horizontal="center" vertical="center" wrapText="1"/>
      <protection locked="0"/>
    </xf>
    <xf numFmtId="0" fontId="59" fillId="54" borderId="37" xfId="0" applyFont="1" applyFill="1" applyBorder="1" applyAlignment="1">
      <alignment horizontal="center" vertical="center" wrapText="1"/>
    </xf>
    <xf numFmtId="164" fontId="60" fillId="57" borderId="7" xfId="1803" applyNumberFormat="1" applyFont="1" applyFill="1" applyBorder="1" applyAlignment="1" applyProtection="1">
      <alignment horizontal="right" vertical="center" wrapText="1"/>
    </xf>
    <xf numFmtId="164" fontId="59" fillId="58" borderId="43" xfId="1803" applyNumberFormat="1" applyFont="1" applyFill="1" applyBorder="1" applyAlignment="1" applyProtection="1">
      <alignment horizontal="right" vertical="center" wrapText="1"/>
    </xf>
    <xf numFmtId="164" fontId="59" fillId="4" borderId="43" xfId="1803" applyNumberFormat="1" applyFont="1" applyFill="1" applyBorder="1" applyAlignment="1" applyProtection="1">
      <alignment horizontal="right" vertical="center"/>
    </xf>
    <xf numFmtId="164" fontId="61" fillId="4" borderId="43" xfId="1803" applyNumberFormat="1" applyFont="1" applyFill="1" applyBorder="1" applyAlignment="1" applyProtection="1">
      <alignment horizontal="right" vertical="center"/>
    </xf>
    <xf numFmtId="164" fontId="57" fillId="0" borderId="43" xfId="1803" applyNumberFormat="1" applyFont="1" applyFill="1" applyBorder="1" applyAlignment="1" applyProtection="1">
      <alignment horizontal="right" vertical="center"/>
    </xf>
    <xf numFmtId="164" fontId="61" fillId="0" borderId="43" xfId="1803" applyNumberFormat="1" applyFont="1" applyFill="1" applyBorder="1" applyAlignment="1" applyProtection="1">
      <alignment horizontal="right" vertical="center"/>
    </xf>
    <xf numFmtId="164" fontId="60" fillId="57" borderId="43" xfId="1803" applyNumberFormat="1" applyFont="1" applyFill="1" applyBorder="1" applyAlignment="1" applyProtection="1">
      <alignment horizontal="right" vertical="center" wrapText="1"/>
    </xf>
    <xf numFmtId="164" fontId="60" fillId="55" borderId="43" xfId="1803" applyNumberFormat="1" applyFont="1" applyFill="1" applyBorder="1" applyAlignment="1" applyProtection="1">
      <alignment horizontal="right" vertical="center" wrapText="1"/>
    </xf>
    <xf numFmtId="164" fontId="61" fillId="4" borderId="43" xfId="1803" applyNumberFormat="1" applyFont="1" applyFill="1" applyBorder="1" applyAlignment="1" applyProtection="1">
      <alignment horizontal="right" vertical="center" wrapText="1"/>
    </xf>
    <xf numFmtId="164" fontId="59" fillId="58" borderId="43" xfId="1803" applyNumberFormat="1" applyFont="1" applyFill="1" applyBorder="1" applyAlignment="1" applyProtection="1">
      <alignment horizontal="right" vertical="center" wrapText="1" readingOrder="1"/>
    </xf>
    <xf numFmtId="164" fontId="58" fillId="58" borderId="43" xfId="1803" applyNumberFormat="1" applyFont="1" applyFill="1" applyBorder="1" applyAlignment="1" applyProtection="1">
      <alignment horizontal="right" vertical="center" wrapText="1"/>
    </xf>
    <xf numFmtId="164" fontId="57" fillId="0" borderId="43" xfId="1803" applyNumberFormat="1" applyFont="1" applyFill="1" applyBorder="1" applyAlignment="1" applyProtection="1">
      <alignment horizontal="right" vertical="center" wrapText="1"/>
    </xf>
    <xf numFmtId="164" fontId="59" fillId="58" borderId="43" xfId="1803" applyNumberFormat="1" applyFont="1" applyFill="1" applyBorder="1" applyAlignment="1" applyProtection="1">
      <alignment horizontal="right" vertical="center"/>
    </xf>
    <xf numFmtId="164" fontId="59" fillId="4" borderId="43" xfId="1803" applyNumberFormat="1" applyFont="1" applyFill="1" applyBorder="1" applyAlignment="1" applyProtection="1">
      <alignment horizontal="right" vertical="center" wrapText="1"/>
    </xf>
    <xf numFmtId="182" fontId="59" fillId="58" borderId="43" xfId="1" applyNumberFormat="1" applyFont="1" applyFill="1" applyBorder="1"/>
    <xf numFmtId="182" fontId="58" fillId="0" borderId="43" xfId="1" applyNumberFormat="1" applyFont="1" applyBorder="1"/>
    <xf numFmtId="182" fontId="57" fillId="0" borderId="43" xfId="1" applyNumberFormat="1" applyFont="1" applyBorder="1" applyProtection="1">
      <protection locked="0"/>
    </xf>
    <xf numFmtId="182" fontId="61" fillId="0" borderId="43" xfId="1" quotePrefix="1" applyNumberFormat="1" applyFont="1" applyBorder="1" applyProtection="1">
      <protection locked="0"/>
    </xf>
    <xf numFmtId="182" fontId="58" fillId="58" borderId="43" xfId="1" applyNumberFormat="1" applyFont="1" applyFill="1" applyBorder="1"/>
    <xf numFmtId="182" fontId="61" fillId="0" borderId="43" xfId="1" applyNumberFormat="1" applyFont="1" applyBorder="1" applyProtection="1">
      <protection locked="0"/>
    </xf>
    <xf numFmtId="182" fontId="57" fillId="0" borderId="43" xfId="1" applyNumberFormat="1" applyFont="1" applyBorder="1"/>
    <xf numFmtId="182" fontId="60" fillId="59" borderId="49" xfId="0" applyNumberFormat="1" applyFont="1" applyFill="1" applyBorder="1" applyAlignment="1">
      <alignment horizontal="center" vertical="center" wrapText="1"/>
    </xf>
    <xf numFmtId="182" fontId="57" fillId="0" borderId="0" xfId="0" applyNumberFormat="1" applyFont="1" applyProtection="1">
      <protection locked="0"/>
    </xf>
    <xf numFmtId="182" fontId="57" fillId="0" borderId="43" xfId="0" applyNumberFormat="1" applyFont="1" applyBorder="1" applyProtection="1">
      <protection locked="0"/>
    </xf>
    <xf numFmtId="182" fontId="58" fillId="2" borderId="43" xfId="0" applyNumberFormat="1" applyFont="1" applyFill="1" applyBorder="1" applyAlignment="1">
      <alignment vertical="center" wrapText="1"/>
    </xf>
    <xf numFmtId="182" fontId="58" fillId="54" borderId="43" xfId="0" applyNumberFormat="1" applyFont="1" applyFill="1" applyBorder="1"/>
    <xf numFmtId="182" fontId="66" fillId="0" borderId="43" xfId="0" applyNumberFormat="1" applyFont="1" applyBorder="1" applyAlignment="1" applyProtection="1">
      <alignment horizontal="center" vertical="center" wrapText="1"/>
      <protection locked="0"/>
    </xf>
    <xf numFmtId="182" fontId="66" fillId="0" borderId="43" xfId="1801" applyNumberFormat="1" applyFont="1" applyFill="1" applyBorder="1" applyAlignment="1" applyProtection="1">
      <alignment horizontal="right" vertical="center" wrapText="1"/>
      <protection locked="0"/>
    </xf>
    <xf numFmtId="182" fontId="66" fillId="0" borderId="43" xfId="1" applyNumberFormat="1" applyFont="1" applyFill="1" applyBorder="1" applyAlignment="1" applyProtection="1">
      <alignment horizontal="right" vertical="center" wrapText="1"/>
      <protection locked="0"/>
    </xf>
    <xf numFmtId="182" fontId="63" fillId="54" borderId="43" xfId="1" applyNumberFormat="1" applyFont="1" applyFill="1" applyBorder="1" applyAlignment="1" applyProtection="1">
      <alignment horizontal="right" vertical="center" wrapText="1"/>
    </xf>
    <xf numFmtId="182" fontId="66" fillId="0" borderId="43" xfId="0" applyNumberFormat="1" applyFont="1" applyBorder="1" applyAlignment="1" applyProtection="1">
      <alignment vertical="center" wrapText="1"/>
      <protection locked="0"/>
    </xf>
    <xf numFmtId="182" fontId="64" fillId="0" borderId="43" xfId="0" applyNumberFormat="1" applyFont="1" applyBorder="1" applyAlignment="1" applyProtection="1">
      <alignment horizontal="center" vertical="center" wrapText="1"/>
      <protection locked="0"/>
    </xf>
    <xf numFmtId="182" fontId="64" fillId="0" borderId="43" xfId="0" applyNumberFormat="1" applyFont="1" applyBorder="1" applyAlignment="1" applyProtection="1">
      <alignment vertical="center" wrapText="1"/>
      <protection locked="0"/>
    </xf>
    <xf numFmtId="182" fontId="66" fillId="0" borderId="43" xfId="69" applyNumberFormat="1" applyFont="1" applyFill="1" applyBorder="1" applyAlignment="1" applyProtection="1">
      <alignment horizontal="center" vertical="center" wrapText="1"/>
      <protection locked="0"/>
    </xf>
    <xf numFmtId="182" fontId="70" fillId="0" borderId="43" xfId="0" applyNumberFormat="1" applyFont="1" applyBorder="1" applyAlignment="1" applyProtection="1">
      <alignment horizontal="center" vertical="center" wrapText="1"/>
      <protection locked="0"/>
    </xf>
    <xf numFmtId="182" fontId="68" fillId="0" borderId="43" xfId="0" applyNumberFormat="1" applyFont="1" applyBorder="1" applyProtection="1">
      <protection locked="0"/>
    </xf>
    <xf numFmtId="182" fontId="69" fillId="54" borderId="43" xfId="0" applyNumberFormat="1" applyFont="1" applyFill="1" applyBorder="1" applyAlignment="1" applyProtection="1">
      <alignment horizontal="center"/>
      <protection locked="0"/>
    </xf>
    <xf numFmtId="182" fontId="67" fillId="54" borderId="43" xfId="1" applyNumberFormat="1" applyFont="1" applyFill="1" applyBorder="1" applyAlignment="1" applyProtection="1">
      <alignment horizontal="right" vertical="center" wrapText="1"/>
      <protection locked="0"/>
    </xf>
    <xf numFmtId="182" fontId="69" fillId="54" borderId="43" xfId="0" applyNumberFormat="1" applyFont="1" applyFill="1" applyBorder="1"/>
    <xf numFmtId="182" fontId="69" fillId="54" borderId="43" xfId="0" applyNumberFormat="1" applyFont="1" applyFill="1" applyBorder="1" applyProtection="1">
      <protection locked="0"/>
    </xf>
    <xf numFmtId="182" fontId="69" fillId="54" borderId="43" xfId="0" applyNumberFormat="1" applyFont="1" applyFill="1" applyBorder="1" applyAlignment="1" applyProtection="1">
      <alignment horizontal="right"/>
      <protection locked="0"/>
    </xf>
    <xf numFmtId="182" fontId="69" fillId="2" borderId="43" xfId="0" applyNumberFormat="1" applyFont="1" applyFill="1" applyBorder="1" applyProtection="1">
      <protection locked="0"/>
    </xf>
    <xf numFmtId="182" fontId="69" fillId="2" borderId="43" xfId="0" applyNumberFormat="1" applyFont="1" applyFill="1" applyBorder="1"/>
    <xf numFmtId="182" fontId="63" fillId="54" borderId="43" xfId="1" applyNumberFormat="1" applyFont="1" applyFill="1" applyBorder="1" applyAlignment="1" applyProtection="1">
      <alignment horizontal="right" vertical="center" wrapText="1"/>
      <protection locked="0"/>
    </xf>
    <xf numFmtId="183" fontId="61" fillId="0" borderId="43" xfId="0" applyNumberFormat="1" applyFont="1" applyBorder="1" applyAlignment="1" applyProtection="1">
      <alignment horizontal="center" vertical="center" wrapText="1"/>
      <protection locked="0"/>
    </xf>
    <xf numFmtId="183" fontId="61" fillId="0" borderId="43" xfId="1801" applyNumberFormat="1" applyFont="1" applyFill="1" applyBorder="1" applyAlignment="1" applyProtection="1">
      <alignment horizontal="right" vertical="center" wrapText="1"/>
      <protection locked="0"/>
    </xf>
    <xf numFmtId="183" fontId="61" fillId="0" borderId="43" xfId="1" applyNumberFormat="1" applyFont="1" applyFill="1" applyBorder="1" applyAlignment="1" applyProtection="1">
      <alignment horizontal="right" vertical="center" wrapText="1"/>
      <protection locked="0"/>
    </xf>
    <xf numFmtId="183" fontId="59" fillId="54" borderId="43" xfId="1" applyNumberFormat="1" applyFont="1" applyFill="1" applyBorder="1" applyAlignment="1" applyProtection="1">
      <alignment horizontal="right" vertical="center" wrapText="1"/>
      <protection locked="0"/>
    </xf>
    <xf numFmtId="183" fontId="61" fillId="0" borderId="43" xfId="0" applyNumberFormat="1" applyFont="1" applyBorder="1" applyAlignment="1" applyProtection="1">
      <alignment vertical="center" wrapText="1"/>
      <protection locked="0"/>
    </xf>
    <xf numFmtId="183" fontId="57" fillId="0" borderId="43" xfId="0" applyNumberFormat="1" applyFont="1" applyBorder="1" applyAlignment="1" applyProtection="1">
      <alignment horizontal="center" vertical="center" wrapText="1"/>
      <protection locked="0"/>
    </xf>
    <xf numFmtId="183" fontId="57" fillId="0" borderId="43" xfId="0" applyNumberFormat="1" applyFont="1" applyBorder="1" applyAlignment="1" applyProtection="1">
      <alignment vertical="center" wrapText="1"/>
      <protection locked="0"/>
    </xf>
    <xf numFmtId="183" fontId="61" fillId="0" borderId="43" xfId="69" applyNumberFormat="1" applyFont="1" applyFill="1" applyBorder="1" applyAlignment="1" applyProtection="1">
      <alignment horizontal="center" vertical="center" wrapText="1"/>
      <protection locked="0"/>
    </xf>
    <xf numFmtId="183" fontId="2" fillId="0" borderId="46" xfId="69" applyNumberFormat="1" applyFont="1" applyFill="1" applyBorder="1" applyAlignment="1" applyProtection="1">
      <alignment horizontal="right" vertical="center" wrapText="1"/>
      <protection locked="0"/>
    </xf>
    <xf numFmtId="182" fontId="61" fillId="0" borderId="43" xfId="0" applyNumberFormat="1" applyFont="1" applyBorder="1" applyAlignment="1" applyProtection="1">
      <alignment vertical="center" wrapText="1"/>
      <protection locked="0"/>
    </xf>
    <xf numFmtId="182" fontId="57" fillId="0" borderId="43" xfId="0" applyNumberFormat="1" applyFont="1" applyBorder="1" applyAlignment="1" applyProtection="1">
      <alignment horizontal="center" vertical="center" wrapText="1"/>
      <protection locked="0"/>
    </xf>
    <xf numFmtId="182" fontId="61" fillId="0" borderId="43" xfId="1" applyNumberFormat="1" applyFont="1" applyFill="1" applyBorder="1" applyAlignment="1" applyProtection="1">
      <alignment horizontal="right" vertical="center" wrapText="1"/>
      <protection locked="0"/>
    </xf>
    <xf numFmtId="182" fontId="61" fillId="0" borderId="43" xfId="1" applyNumberFormat="1" applyFont="1" applyFill="1" applyBorder="1" applyAlignment="1" applyProtection="1">
      <alignment horizontal="right" vertical="center" wrapText="1"/>
    </xf>
    <xf numFmtId="182" fontId="57" fillId="0" borderId="37" xfId="0" applyNumberFormat="1" applyFont="1" applyBorder="1" applyAlignment="1" applyProtection="1">
      <alignment vertical="center" wrapText="1"/>
      <protection locked="0"/>
    </xf>
    <xf numFmtId="182" fontId="58" fillId="54" borderId="43" xfId="0" applyNumberFormat="1" applyFont="1" applyFill="1" applyBorder="1" applyAlignment="1" applyProtection="1">
      <alignment horizontal="center"/>
      <protection locked="0"/>
    </xf>
    <xf numFmtId="182" fontId="59" fillId="54" borderId="43" xfId="1" applyNumberFormat="1" applyFont="1" applyFill="1" applyBorder="1" applyAlignment="1" applyProtection="1">
      <alignment horizontal="right" vertical="center" wrapText="1"/>
      <protection locked="0"/>
    </xf>
    <xf numFmtId="182" fontId="58" fillId="54" borderId="43" xfId="0" applyNumberFormat="1" applyFont="1" applyFill="1" applyBorder="1" applyAlignment="1">
      <alignment horizontal="right"/>
    </xf>
    <xf numFmtId="182" fontId="58" fillId="54" borderId="43" xfId="0" applyNumberFormat="1" applyFont="1" applyFill="1" applyBorder="1" applyAlignment="1" applyProtection="1">
      <alignment horizontal="right"/>
      <protection locked="0"/>
    </xf>
    <xf numFmtId="182" fontId="58" fillId="54" borderId="37" xfId="0" applyNumberFormat="1" applyFont="1" applyFill="1" applyBorder="1" applyAlignment="1" applyProtection="1">
      <alignment horizontal="right"/>
      <protection locked="0"/>
    </xf>
    <xf numFmtId="182" fontId="61" fillId="0" borderId="43" xfId="0" applyNumberFormat="1" applyFont="1" applyBorder="1" applyAlignment="1" applyProtection="1">
      <alignment horizontal="center" vertical="center" wrapText="1"/>
      <protection locked="0"/>
    </xf>
    <xf numFmtId="182" fontId="61" fillId="0" borderId="43" xfId="69" applyNumberFormat="1" applyFont="1" applyFill="1" applyBorder="1" applyAlignment="1" applyProtection="1">
      <alignment horizontal="center" vertical="center" wrapText="1"/>
      <protection locked="0"/>
    </xf>
    <xf numFmtId="182" fontId="59" fillId="54" borderId="43" xfId="0" applyNumberFormat="1" applyFont="1" applyFill="1" applyBorder="1" applyAlignment="1">
      <alignment horizontal="right"/>
    </xf>
    <xf numFmtId="182" fontId="59" fillId="54" borderId="43" xfId="0" applyNumberFormat="1" applyFont="1" applyFill="1" applyBorder="1" applyAlignment="1" applyProtection="1">
      <alignment horizontal="right"/>
      <protection locked="0"/>
    </xf>
    <xf numFmtId="182" fontId="59" fillId="54" borderId="37" xfId="0" applyNumberFormat="1" applyFont="1" applyFill="1" applyBorder="1" applyAlignment="1" applyProtection="1">
      <alignment horizontal="right"/>
      <protection locked="0"/>
    </xf>
    <xf numFmtId="182" fontId="58" fillId="2" borderId="8" xfId="0" applyNumberFormat="1" applyFont="1" applyFill="1" applyBorder="1" applyProtection="1">
      <protection locked="0"/>
    </xf>
    <xf numFmtId="182" fontId="58" fillId="2" borderId="8" xfId="0" applyNumberFormat="1" applyFont="1" applyFill="1" applyBorder="1"/>
    <xf numFmtId="183" fontId="2" fillId="0" borderId="43" xfId="0" applyNumberFormat="1" applyFont="1" applyBorder="1" applyAlignment="1" applyProtection="1">
      <alignment vertical="center" wrapText="1"/>
      <protection locked="0"/>
    </xf>
    <xf numFmtId="183" fontId="2" fillId="0" borderId="43" xfId="1" applyNumberFormat="1" applyFont="1" applyBorder="1" applyAlignment="1" applyProtection="1">
      <alignment horizontal="center" vertical="center" wrapText="1"/>
      <protection locked="0"/>
    </xf>
    <xf numFmtId="183" fontId="2" fillId="0" borderId="43" xfId="1" applyNumberFormat="1" applyFont="1" applyFill="1" applyBorder="1" applyAlignment="1" applyProtection="1">
      <alignment horizontal="right" vertical="center" wrapText="1"/>
      <protection locked="0"/>
    </xf>
    <xf numFmtId="183" fontId="71" fillId="3" borderId="43" xfId="0" applyNumberFormat="1" applyFont="1" applyFill="1" applyBorder="1" applyAlignment="1">
      <alignment vertical="center" wrapText="1"/>
    </xf>
    <xf numFmtId="183" fontId="71" fillId="3" borderId="43" xfId="1" applyNumberFormat="1" applyFont="1" applyFill="1" applyBorder="1" applyAlignment="1">
      <alignment horizontal="right" vertical="center" wrapText="1"/>
    </xf>
    <xf numFmtId="183" fontId="71" fillId="3" borderId="43" xfId="1" applyNumberFormat="1" applyFont="1" applyFill="1" applyBorder="1" applyAlignment="1" applyProtection="1">
      <alignment horizontal="right" vertical="center" wrapText="1"/>
    </xf>
    <xf numFmtId="183" fontId="71" fillId="3" borderId="43" xfId="1" applyNumberFormat="1" applyFont="1" applyFill="1" applyBorder="1" applyAlignment="1">
      <alignment horizontal="center" vertical="center" wrapText="1"/>
    </xf>
    <xf numFmtId="183" fontId="71" fillId="3" borderId="43" xfId="0" applyNumberFormat="1" applyFont="1" applyFill="1" applyBorder="1" applyAlignment="1">
      <alignment horizontal="center" vertical="center" wrapText="1"/>
    </xf>
    <xf numFmtId="183" fontId="71" fillId="54" borderId="43" xfId="0" applyNumberFormat="1" applyFont="1" applyFill="1" applyBorder="1" applyAlignment="1">
      <alignment horizontal="center" vertical="center" wrapText="1"/>
    </xf>
    <xf numFmtId="183" fontId="71" fillId="2" borderId="43" xfId="0" applyNumberFormat="1" applyFont="1" applyFill="1" applyBorder="1" applyAlignment="1">
      <alignment horizontal="center" vertical="center" wrapText="1"/>
    </xf>
    <xf numFmtId="182" fontId="57" fillId="0" borderId="43" xfId="0" applyNumberFormat="1" applyFont="1" applyBorder="1"/>
    <xf numFmtId="182" fontId="61" fillId="0" borderId="43" xfId="1801" applyNumberFormat="1" applyFont="1" applyFill="1" applyBorder="1" applyAlignment="1" applyProtection="1">
      <alignment horizontal="right" vertical="center" wrapText="1"/>
      <protection locked="0"/>
    </xf>
    <xf numFmtId="182" fontId="57" fillId="0" borderId="43" xfId="0" applyNumberFormat="1" applyFont="1" applyBorder="1" applyAlignment="1" applyProtection="1">
      <alignment horizontal="center" wrapText="1"/>
      <protection locked="0"/>
    </xf>
    <xf numFmtId="182" fontId="58" fillId="54" borderId="43" xfId="0" applyNumberFormat="1" applyFont="1" applyFill="1" applyBorder="1" applyProtection="1">
      <protection locked="0"/>
    </xf>
    <xf numFmtId="182" fontId="57" fillId="0" borderId="43" xfId="0" applyNumberFormat="1" applyFont="1" applyBorder="1" applyAlignment="1" applyProtection="1">
      <alignment vertical="center" wrapText="1"/>
      <protection locked="0"/>
    </xf>
    <xf numFmtId="182" fontId="58" fillId="2" borderId="43" xfId="0" applyNumberFormat="1" applyFont="1" applyFill="1" applyBorder="1" applyProtection="1">
      <protection locked="0"/>
    </xf>
    <xf numFmtId="182" fontId="58" fillId="2" borderId="43" xfId="0" applyNumberFormat="1" applyFont="1" applyFill="1" applyBorder="1"/>
    <xf numFmtId="183" fontId="66" fillId="0" borderId="43" xfId="0" applyNumberFormat="1" applyFont="1" applyBorder="1" applyAlignment="1" applyProtection="1">
      <alignment horizontal="center" vertical="center" wrapText="1"/>
      <protection locked="0"/>
    </xf>
    <xf numFmtId="183" fontId="66" fillId="0" borderId="43" xfId="1801" applyNumberFormat="1" applyFont="1" applyFill="1" applyBorder="1" applyAlignment="1" applyProtection="1">
      <alignment horizontal="right" vertical="center" wrapText="1"/>
      <protection locked="0"/>
    </xf>
    <xf numFmtId="183" fontId="66" fillId="0" borderId="43" xfId="1" applyNumberFormat="1" applyFont="1" applyFill="1" applyBorder="1" applyAlignment="1" applyProtection="1">
      <alignment horizontal="right" vertical="center" wrapText="1"/>
    </xf>
    <xf numFmtId="183" fontId="64" fillId="0" borderId="43" xfId="0" applyNumberFormat="1" applyFont="1" applyBorder="1" applyProtection="1">
      <protection locked="0"/>
    </xf>
    <xf numFmtId="183" fontId="64" fillId="0" borderId="43" xfId="0" applyNumberFormat="1" applyFont="1" applyBorder="1" applyAlignment="1" applyProtection="1">
      <alignment horizontal="center" wrapText="1"/>
      <protection locked="0"/>
    </xf>
    <xf numFmtId="183" fontId="65" fillId="54" borderId="43" xfId="0" applyNumberFormat="1" applyFont="1" applyFill="1" applyBorder="1" applyAlignment="1" applyProtection="1">
      <alignment horizontal="center"/>
      <protection locked="0"/>
    </xf>
    <xf numFmtId="183" fontId="63" fillId="54" borderId="43" xfId="1" applyNumberFormat="1" applyFont="1" applyFill="1" applyBorder="1" applyAlignment="1" applyProtection="1">
      <alignment horizontal="right" vertical="center" wrapText="1"/>
      <protection locked="0"/>
    </xf>
    <xf numFmtId="183" fontId="65" fillId="54" borderId="43" xfId="0" applyNumberFormat="1" applyFont="1" applyFill="1" applyBorder="1"/>
    <xf numFmtId="183" fontId="65" fillId="54" borderId="43" xfId="0" applyNumberFormat="1" applyFont="1" applyFill="1" applyBorder="1" applyAlignment="1" applyProtection="1">
      <alignment horizontal="right"/>
      <protection locked="0"/>
    </xf>
    <xf numFmtId="183" fontId="66" fillId="0" borderId="43" xfId="0" applyNumberFormat="1" applyFont="1" applyBorder="1" applyAlignment="1" applyProtection="1">
      <alignment vertical="center" wrapText="1"/>
      <protection locked="0"/>
    </xf>
    <xf numFmtId="183" fontId="64" fillId="0" borderId="43" xfId="0" applyNumberFormat="1" applyFont="1" applyBorder="1" applyAlignment="1" applyProtection="1">
      <alignment horizontal="center" vertical="center" wrapText="1"/>
      <protection locked="0"/>
    </xf>
    <xf numFmtId="183" fontId="66" fillId="0" borderId="43" xfId="1" applyNumberFormat="1" applyFont="1" applyFill="1" applyBorder="1" applyAlignment="1" applyProtection="1">
      <alignment horizontal="right" vertical="center" wrapText="1"/>
      <protection locked="0"/>
    </xf>
    <xf numFmtId="183" fontId="64" fillId="0" borderId="43" xfId="0" applyNumberFormat="1" applyFont="1" applyBorder="1" applyAlignment="1" applyProtection="1">
      <alignment vertical="center" wrapText="1"/>
      <protection locked="0"/>
    </xf>
    <xf numFmtId="183" fontId="65" fillId="54" borderId="43" xfId="0" applyNumberFormat="1" applyFont="1" applyFill="1" applyBorder="1" applyAlignment="1">
      <alignment horizontal="right"/>
    </xf>
    <xf numFmtId="183" fontId="65" fillId="2" borderId="43" xfId="0" applyNumberFormat="1" applyFont="1" applyFill="1" applyBorder="1" applyProtection="1">
      <protection locked="0"/>
    </xf>
    <xf numFmtId="183" fontId="65" fillId="2" borderId="43" xfId="0" applyNumberFormat="1" applyFont="1" applyFill="1" applyBorder="1"/>
    <xf numFmtId="182" fontId="49" fillId="0" borderId="43" xfId="0" applyNumberFormat="1" applyFont="1" applyBorder="1" applyAlignment="1" applyProtection="1">
      <alignment horizontal="center" vertical="center" wrapText="1"/>
      <protection locked="0"/>
    </xf>
    <xf numFmtId="182" fontId="51" fillId="0" borderId="43" xfId="0" applyNumberFormat="1" applyFont="1" applyBorder="1" applyAlignment="1" applyProtection="1">
      <alignment horizontal="center"/>
      <protection locked="0"/>
    </xf>
    <xf numFmtId="182" fontId="49" fillId="0" borderId="43" xfId="1801" applyNumberFormat="1" applyFont="1" applyFill="1" applyBorder="1" applyAlignment="1" applyProtection="1">
      <alignment horizontal="right" vertical="center" wrapText="1"/>
      <protection locked="0"/>
    </xf>
    <xf numFmtId="182" fontId="49" fillId="0" borderId="43" xfId="1" applyNumberFormat="1" applyFont="1" applyFill="1" applyBorder="1" applyAlignment="1" applyProtection="1">
      <alignment horizontal="right" vertical="center" wrapText="1"/>
      <protection locked="0"/>
    </xf>
    <xf numFmtId="182" fontId="10" fillId="54" borderId="43" xfId="0" applyNumberFormat="1" applyFont="1" applyFill="1" applyBorder="1" applyAlignment="1" applyProtection="1">
      <alignment horizontal="center"/>
      <protection locked="0"/>
    </xf>
    <xf numFmtId="182" fontId="52" fillId="54" borderId="43" xfId="1" applyNumberFormat="1" applyFont="1" applyFill="1" applyBorder="1" applyAlignment="1" applyProtection="1">
      <alignment horizontal="right" vertical="center" wrapText="1"/>
      <protection locked="0"/>
    </xf>
    <xf numFmtId="182" fontId="10" fillId="54" borderId="43" xfId="0" applyNumberFormat="1" applyFont="1" applyFill="1" applyBorder="1"/>
    <xf numFmtId="182" fontId="10" fillId="54" borderId="43" xfId="0" applyNumberFormat="1" applyFont="1" applyFill="1" applyBorder="1" applyProtection="1">
      <protection locked="0"/>
    </xf>
    <xf numFmtId="182" fontId="10" fillId="54" borderId="43" xfId="0" applyNumberFormat="1" applyFont="1" applyFill="1" applyBorder="1" applyAlignment="1" applyProtection="1">
      <alignment horizontal="right"/>
      <protection locked="0"/>
    </xf>
    <xf numFmtId="182" fontId="49" fillId="0" borderId="43" xfId="0" applyNumberFormat="1" applyFont="1" applyBorder="1" applyAlignment="1" applyProtection="1">
      <alignment vertical="center" wrapText="1"/>
      <protection locked="0"/>
    </xf>
    <xf numFmtId="182" fontId="51" fillId="0" borderId="43" xfId="0" applyNumberFormat="1" applyFont="1" applyBorder="1" applyAlignment="1" applyProtection="1">
      <alignment horizontal="center" vertical="center" wrapText="1"/>
      <protection locked="0"/>
    </xf>
    <xf numFmtId="182" fontId="51" fillId="0" borderId="43" xfId="0" applyNumberFormat="1" applyFont="1" applyBorder="1" applyAlignment="1" applyProtection="1">
      <alignment vertical="center" wrapText="1"/>
      <protection locked="0"/>
    </xf>
    <xf numFmtId="182" fontId="10" fillId="54" borderId="43" xfId="0" applyNumberFormat="1" applyFont="1" applyFill="1" applyBorder="1" applyAlignment="1">
      <alignment horizontal="right"/>
    </xf>
    <xf numFmtId="182" fontId="49" fillId="0" borderId="43" xfId="69" applyNumberFormat="1" applyFont="1" applyFill="1" applyBorder="1" applyAlignment="1" applyProtection="1">
      <alignment horizontal="center" vertical="center" wrapText="1"/>
      <protection locked="0"/>
    </xf>
    <xf numFmtId="182" fontId="52" fillId="54" borderId="43" xfId="0" applyNumberFormat="1" applyFont="1" applyFill="1" applyBorder="1" applyAlignment="1" applyProtection="1">
      <alignment horizontal="right"/>
      <protection locked="0"/>
    </xf>
    <xf numFmtId="182" fontId="52" fillId="54" borderId="43" xfId="0" applyNumberFormat="1" applyFont="1" applyFill="1" applyBorder="1" applyAlignment="1">
      <alignment horizontal="right"/>
    </xf>
    <xf numFmtId="182" fontId="10" fillId="2" borderId="43" xfId="0" applyNumberFormat="1" applyFont="1" applyFill="1" applyBorder="1" applyProtection="1">
      <protection locked="0"/>
    </xf>
    <xf numFmtId="182" fontId="10" fillId="2" borderId="43" xfId="0" applyNumberFormat="1" applyFont="1" applyFill="1" applyBorder="1"/>
    <xf numFmtId="182" fontId="48" fillId="54" borderId="43" xfId="0" applyNumberFormat="1" applyFont="1" applyFill="1" applyBorder="1" applyAlignment="1">
      <alignment horizontal="center"/>
    </xf>
    <xf numFmtId="182" fontId="47" fillId="54" borderId="43" xfId="0" applyNumberFormat="1" applyFont="1" applyFill="1" applyBorder="1" applyAlignment="1">
      <alignment horizontal="center"/>
    </xf>
    <xf numFmtId="182" fontId="2" fillId="54" borderId="43" xfId="1" applyNumberFormat="1" applyFont="1" applyFill="1" applyBorder="1" applyAlignment="1">
      <alignment horizontal="right" vertical="center" wrapText="1"/>
    </xf>
    <xf numFmtId="182" fontId="47" fillId="54" borderId="43" xfId="0" applyNumberFormat="1" applyFont="1" applyFill="1" applyBorder="1" applyProtection="1">
      <protection locked="0"/>
    </xf>
    <xf numFmtId="182" fontId="71" fillId="2" borderId="43" xfId="0" applyNumberFormat="1" applyFont="1" applyFill="1" applyBorder="1" applyAlignment="1">
      <alignment horizontal="center" vertical="center" wrapText="1"/>
    </xf>
    <xf numFmtId="182" fontId="71" fillId="2" borderId="43" xfId="0" applyNumberFormat="1" applyFont="1" applyFill="1" applyBorder="1" applyAlignment="1" applyProtection="1">
      <alignment horizontal="center" vertical="center" wrapText="1"/>
      <protection locked="0"/>
    </xf>
    <xf numFmtId="0" fontId="59" fillId="4" borderId="43" xfId="0" applyFont="1" applyFill="1" applyBorder="1" applyAlignment="1">
      <alignment horizontal="left" vertical="center" wrapText="1"/>
    </xf>
    <xf numFmtId="0" fontId="61" fillId="0" borderId="43" xfId="0" applyFont="1" applyBorder="1" applyAlignment="1">
      <alignment horizontal="left" vertical="center" wrapText="1"/>
    </xf>
    <xf numFmtId="0" fontId="57" fillId="0" borderId="43" xfId="0" applyFont="1" applyBorder="1" applyAlignment="1">
      <alignment horizontal="left" vertical="center" wrapText="1"/>
    </xf>
    <xf numFmtId="0" fontId="58" fillId="58" borderId="43" xfId="0" applyFont="1" applyFill="1" applyBorder="1" applyAlignment="1">
      <alignment horizontal="left" vertical="center" wrapText="1"/>
    </xf>
    <xf numFmtId="0" fontId="59" fillId="0" borderId="56" xfId="0" applyFont="1" applyBorder="1" applyAlignment="1" applyProtection="1">
      <alignment horizontal="center" vertical="center"/>
      <protection locked="0"/>
    </xf>
    <xf numFmtId="10" fontId="59" fillId="0" borderId="56" xfId="0" applyNumberFormat="1" applyFont="1" applyBorder="1" applyAlignment="1" applyProtection="1">
      <alignment horizontal="center" vertical="center"/>
      <protection locked="0"/>
    </xf>
    <xf numFmtId="1" fontId="66" fillId="0" borderId="43" xfId="1" applyNumberFormat="1" applyFont="1" applyFill="1" applyBorder="1" applyAlignment="1" applyProtection="1">
      <alignment horizontal="right" vertical="center" wrapText="1"/>
      <protection locked="0"/>
    </xf>
    <xf numFmtId="1" fontId="58" fillId="2" borderId="43" xfId="0" applyNumberFormat="1" applyFont="1" applyFill="1" applyBorder="1" applyAlignment="1">
      <alignment vertical="center" wrapText="1"/>
    </xf>
    <xf numFmtId="1" fontId="64" fillId="0" borderId="43" xfId="0" applyNumberFormat="1" applyFont="1" applyBorder="1" applyAlignment="1" applyProtection="1">
      <alignment horizontal="center"/>
      <protection locked="0"/>
    </xf>
    <xf numFmtId="1" fontId="64" fillId="0" borderId="43" xfId="1" applyNumberFormat="1" applyFont="1" applyBorder="1" applyAlignment="1" applyProtection="1">
      <alignment horizontal="center" wrapText="1"/>
      <protection locked="0"/>
    </xf>
    <xf numFmtId="1" fontId="64" fillId="0" borderId="43" xfId="0" applyNumberFormat="1" applyFont="1" applyBorder="1" applyAlignment="1" applyProtection="1">
      <alignment horizontal="center" vertical="center" wrapText="1"/>
      <protection locked="0"/>
    </xf>
    <xf numFmtId="1" fontId="66" fillId="0" borderId="43" xfId="0" applyNumberFormat="1" applyFont="1" applyBorder="1" applyAlignment="1" applyProtection="1">
      <alignment horizontal="center" vertical="center" wrapText="1"/>
      <protection locked="0"/>
    </xf>
    <xf numFmtId="1" fontId="57" fillId="0" borderId="43" xfId="0" applyNumberFormat="1" applyFont="1" applyBorder="1" applyAlignment="1" applyProtection="1">
      <alignment horizontal="center"/>
      <protection locked="0"/>
    </xf>
    <xf numFmtId="1" fontId="61" fillId="0" borderId="43" xfId="1" applyNumberFormat="1" applyFont="1" applyFill="1" applyBorder="1" applyAlignment="1" applyProtection="1">
      <alignment horizontal="right" vertical="center" wrapText="1"/>
      <protection locked="0"/>
    </xf>
    <xf numFmtId="1" fontId="57" fillId="0" borderId="43" xfId="1" applyNumberFormat="1" applyFont="1" applyBorder="1" applyAlignment="1" applyProtection="1">
      <alignment horizontal="center" wrapText="1"/>
      <protection locked="0"/>
    </xf>
    <xf numFmtId="1" fontId="57" fillId="0" borderId="43" xfId="0" applyNumberFormat="1" applyFont="1" applyBorder="1" applyAlignment="1" applyProtection="1">
      <alignment horizontal="center" vertical="center" wrapText="1"/>
      <protection locked="0"/>
    </xf>
    <xf numFmtId="1" fontId="61" fillId="0" borderId="43" xfId="0" applyNumberFormat="1" applyFont="1" applyBorder="1" applyAlignment="1" applyProtection="1">
      <alignment horizontal="center" vertical="center" wrapText="1"/>
      <protection locked="0"/>
    </xf>
    <xf numFmtId="1" fontId="2" fillId="0" borderId="43" xfId="1" applyNumberFormat="1" applyFont="1" applyBorder="1" applyAlignment="1" applyProtection="1">
      <alignment horizontal="center" vertical="center" wrapText="1"/>
      <protection locked="0"/>
    </xf>
    <xf numFmtId="1" fontId="2" fillId="0" borderId="43" xfId="1" applyNumberFormat="1" applyFont="1" applyFill="1" applyBorder="1" applyAlignment="1" applyProtection="1">
      <alignment horizontal="right" vertical="center" wrapText="1"/>
      <protection locked="0"/>
    </xf>
    <xf numFmtId="1" fontId="51" fillId="0" borderId="43" xfId="0" applyNumberFormat="1" applyFont="1" applyBorder="1" applyAlignment="1" applyProtection="1">
      <alignment horizontal="center"/>
      <protection locked="0"/>
    </xf>
    <xf numFmtId="1" fontId="49" fillId="0" borderId="43" xfId="1" applyNumberFormat="1" applyFont="1" applyFill="1" applyBorder="1" applyAlignment="1" applyProtection="1">
      <alignment horizontal="right" vertical="center" wrapText="1"/>
      <protection locked="0"/>
    </xf>
    <xf numFmtId="1" fontId="51" fillId="0" borderId="43" xfId="1" applyNumberFormat="1" applyFont="1" applyBorder="1" applyAlignment="1" applyProtection="1">
      <alignment horizontal="center" wrapText="1"/>
      <protection locked="0"/>
    </xf>
    <xf numFmtId="1" fontId="51" fillId="0" borderId="43" xfId="0" applyNumberFormat="1" applyFont="1" applyBorder="1" applyAlignment="1" applyProtection="1">
      <alignment horizontal="center" vertical="center" wrapText="1"/>
      <protection locked="0"/>
    </xf>
    <xf numFmtId="1" fontId="49" fillId="0" borderId="43" xfId="0" applyNumberFormat="1" applyFont="1" applyBorder="1" applyAlignment="1" applyProtection="1">
      <alignment horizontal="center" vertical="center" wrapText="1"/>
      <protection locked="0"/>
    </xf>
    <xf numFmtId="1" fontId="64" fillId="0" borderId="43" xfId="1" applyNumberFormat="1" applyFont="1" applyBorder="1" applyAlignment="1" applyProtection="1">
      <alignment horizontal="center" vertical="center" wrapText="1"/>
      <protection locked="0"/>
    </xf>
    <xf numFmtId="0" fontId="64" fillId="0" borderId="0" xfId="0" applyFont="1" applyAlignment="1" applyProtection="1">
      <alignment vertical="center" wrapText="1"/>
      <protection locked="0"/>
    </xf>
    <xf numFmtId="0" fontId="65" fillId="0" borderId="10" xfId="0" applyFont="1" applyBorder="1" applyAlignment="1">
      <alignment vertical="center" wrapText="1"/>
    </xf>
    <xf numFmtId="9" fontId="65" fillId="0" borderId="10" xfId="0" applyNumberFormat="1" applyFont="1" applyBorder="1" applyAlignment="1">
      <alignment vertical="center" wrapText="1"/>
    </xf>
    <xf numFmtId="182" fontId="65" fillId="54" borderId="43" xfId="0" applyNumberFormat="1" applyFont="1" applyFill="1" applyBorder="1" applyAlignment="1">
      <alignment horizontal="left" vertical="center" wrapText="1"/>
    </xf>
    <xf numFmtId="182" fontId="65" fillId="54" borderId="43" xfId="0" applyNumberFormat="1" applyFont="1" applyFill="1" applyBorder="1" applyAlignment="1">
      <alignment horizontal="center" vertical="center" wrapText="1"/>
    </xf>
    <xf numFmtId="182" fontId="65" fillId="54" borderId="43" xfId="0" applyNumberFormat="1" applyFont="1" applyFill="1" applyBorder="1" applyAlignment="1">
      <alignment vertical="center" wrapText="1"/>
    </xf>
    <xf numFmtId="182" fontId="65" fillId="54" borderId="43" xfId="0" applyNumberFormat="1" applyFont="1" applyFill="1" applyBorder="1" applyAlignment="1">
      <alignment horizontal="right" vertical="center" wrapText="1"/>
    </xf>
    <xf numFmtId="169" fontId="64" fillId="0" borderId="0" xfId="0" applyNumberFormat="1" applyFont="1" applyAlignment="1" applyProtection="1">
      <alignment vertical="center" wrapText="1"/>
      <protection locked="0"/>
    </xf>
    <xf numFmtId="0" fontId="65" fillId="0" borderId="0" xfId="0" applyFont="1" applyAlignment="1">
      <alignment vertical="center" wrapText="1"/>
    </xf>
    <xf numFmtId="9" fontId="65" fillId="0" borderId="0" xfId="0" applyNumberFormat="1" applyFont="1" applyAlignment="1">
      <alignment vertical="center" wrapText="1"/>
    </xf>
    <xf numFmtId="182" fontId="63" fillId="54" borderId="43" xfId="0" applyNumberFormat="1" applyFont="1" applyFill="1" applyBorder="1" applyAlignment="1">
      <alignment horizontal="right" vertical="center" wrapText="1"/>
    </xf>
    <xf numFmtId="182" fontId="65" fillId="2" borderId="43" xfId="0" applyNumberFormat="1" applyFont="1" applyFill="1" applyBorder="1" applyAlignment="1" applyProtection="1">
      <alignment vertical="center" wrapText="1"/>
      <protection locked="0"/>
    </xf>
    <xf numFmtId="182" fontId="65" fillId="2" borderId="43" xfId="0" applyNumberFormat="1" applyFont="1" applyFill="1" applyBorder="1" applyAlignment="1">
      <alignment vertical="center" wrapText="1"/>
    </xf>
    <xf numFmtId="0" fontId="57" fillId="0" borderId="0" xfId="0" applyFont="1" applyAlignment="1">
      <alignment horizontal="center" vertical="center"/>
    </xf>
    <xf numFmtId="0" fontId="57" fillId="0" borderId="0" xfId="0" applyFont="1" applyAlignment="1" applyProtection="1">
      <alignment vertical="center" wrapText="1"/>
      <protection locked="0"/>
    </xf>
    <xf numFmtId="0" fontId="57" fillId="0" borderId="0" xfId="0" applyFont="1" applyAlignment="1" applyProtection="1">
      <alignment vertical="center"/>
      <protection locked="0"/>
    </xf>
    <xf numFmtId="182" fontId="81" fillId="0" borderId="43" xfId="0" applyNumberFormat="1" applyFont="1" applyBorder="1" applyAlignment="1" applyProtection="1">
      <alignment vertical="center" wrapText="1"/>
      <protection locked="0"/>
    </xf>
    <xf numFmtId="182" fontId="57" fillId="0" borderId="43" xfId="0" applyNumberFormat="1" applyFont="1" applyBorder="1" applyAlignment="1" applyProtection="1">
      <alignment vertical="center"/>
      <protection locked="0"/>
    </xf>
    <xf numFmtId="1" fontId="57" fillId="0" borderId="43" xfId="69" applyNumberFormat="1" applyFont="1" applyBorder="1" applyAlignment="1" applyProtection="1">
      <alignment vertical="center"/>
      <protection locked="0"/>
    </xf>
    <xf numFmtId="182" fontId="81" fillId="0" borderId="7" xfId="0" applyNumberFormat="1" applyFont="1" applyBorder="1" applyAlignment="1" applyProtection="1">
      <alignment vertical="center" wrapText="1"/>
      <protection locked="0"/>
    </xf>
    <xf numFmtId="1" fontId="57" fillId="0" borderId="43" xfId="0" applyNumberFormat="1" applyFont="1" applyBorder="1" applyAlignment="1" applyProtection="1">
      <alignment vertical="center"/>
      <protection locked="0"/>
    </xf>
    <xf numFmtId="182" fontId="57" fillId="0" borderId="43" xfId="69" applyNumberFormat="1" applyFont="1" applyBorder="1" applyAlignment="1" applyProtection="1">
      <alignment vertical="center"/>
      <protection locked="0"/>
    </xf>
    <xf numFmtId="0" fontId="58" fillId="54" borderId="43" xfId="0" applyFont="1" applyFill="1" applyBorder="1" applyAlignment="1">
      <alignment vertical="center" wrapText="1"/>
    </xf>
    <xf numFmtId="1" fontId="58" fillId="54" borderId="43" xfId="0" applyNumberFormat="1" applyFont="1" applyFill="1" applyBorder="1" applyAlignment="1">
      <alignment vertical="center"/>
    </xf>
    <xf numFmtId="182" fontId="58" fillId="54" borderId="43" xfId="69" applyNumberFormat="1" applyFont="1" applyFill="1" applyBorder="1" applyAlignment="1" applyProtection="1">
      <alignment vertical="center"/>
    </xf>
    <xf numFmtId="183" fontId="57" fillId="0" borderId="43" xfId="69" applyNumberFormat="1" applyFont="1" applyBorder="1" applyAlignment="1" applyProtection="1">
      <alignment vertical="center"/>
      <protection locked="0"/>
    </xf>
    <xf numFmtId="183" fontId="57" fillId="0" borderId="43" xfId="0" applyNumberFormat="1" applyFont="1" applyBorder="1" applyAlignment="1" applyProtection="1">
      <alignment vertical="center"/>
      <protection locked="0"/>
    </xf>
    <xf numFmtId="164" fontId="57" fillId="0" borderId="43" xfId="0" applyNumberFormat="1" applyFont="1" applyBorder="1" applyAlignment="1" applyProtection="1">
      <alignment vertical="center"/>
      <protection locked="0"/>
    </xf>
    <xf numFmtId="183" fontId="58" fillId="54" borderId="43" xfId="69" applyNumberFormat="1" applyFont="1" applyFill="1" applyBorder="1" applyAlignment="1" applyProtection="1">
      <alignment vertical="center"/>
    </xf>
    <xf numFmtId="3" fontId="58" fillId="54" borderId="43" xfId="0" applyNumberFormat="1" applyFont="1" applyFill="1" applyBorder="1" applyAlignment="1">
      <alignment vertical="center" wrapText="1"/>
    </xf>
    <xf numFmtId="181" fontId="57" fillId="0" borderId="0" xfId="0" applyNumberFormat="1" applyFont="1" applyAlignment="1" applyProtection="1">
      <alignment vertical="center"/>
      <protection locked="0"/>
    </xf>
    <xf numFmtId="0" fontId="57" fillId="0" borderId="43" xfId="0" applyFont="1" applyBorder="1" applyAlignment="1" applyProtection="1">
      <alignment vertical="center" wrapText="1"/>
      <protection locked="0"/>
    </xf>
    <xf numFmtId="0" fontId="57" fillId="0" borderId="0" xfId="0" applyFont="1" applyAlignment="1" applyProtection="1">
      <alignment horizontal="center" vertical="center" wrapText="1"/>
      <protection locked="0"/>
    </xf>
    <xf numFmtId="9" fontId="57" fillId="0" borderId="0" xfId="1804" applyFont="1" applyAlignment="1" applyProtection="1">
      <alignment vertical="center"/>
      <protection locked="0"/>
    </xf>
    <xf numFmtId="9" fontId="58" fillId="0" borderId="10" xfId="1804" applyFont="1" applyBorder="1" applyAlignment="1" applyProtection="1">
      <alignment horizontal="center" vertical="center"/>
      <protection locked="0"/>
    </xf>
    <xf numFmtId="1" fontId="57" fillId="0" borderId="46" xfId="0" applyNumberFormat="1" applyFont="1" applyBorder="1" applyAlignment="1" applyProtection="1">
      <alignment vertical="center"/>
      <protection locked="0"/>
    </xf>
    <xf numFmtId="183" fontId="57" fillId="0" borderId="46" xfId="69" applyNumberFormat="1" applyFont="1" applyBorder="1" applyAlignment="1" applyProtection="1">
      <alignment vertical="center"/>
      <protection locked="0"/>
    </xf>
    <xf numFmtId="1" fontId="57" fillId="0" borderId="46" xfId="69" applyNumberFormat="1" applyFont="1" applyBorder="1" applyAlignment="1" applyProtection="1">
      <alignment vertical="center"/>
      <protection locked="0"/>
    </xf>
    <xf numFmtId="9" fontId="58" fillId="0" borderId="0" xfId="1804" applyFont="1" applyAlignment="1" applyProtection="1">
      <alignment horizontal="left" vertical="center"/>
      <protection locked="0"/>
    </xf>
    <xf numFmtId="0" fontId="58" fillId="0" borderId="0" xfId="0" applyFont="1" applyAlignment="1" applyProtection="1">
      <alignment vertical="center"/>
      <protection locked="0"/>
    </xf>
    <xf numFmtId="9" fontId="58" fillId="0" borderId="0" xfId="1804" applyFont="1" applyAlignment="1" applyProtection="1">
      <alignment vertical="center"/>
      <protection locked="0"/>
    </xf>
    <xf numFmtId="1" fontId="81" fillId="60" borderId="46" xfId="0" applyNumberFormat="1" applyFont="1" applyFill="1" applyBorder="1" applyAlignment="1" applyProtection="1">
      <alignment vertical="center"/>
      <protection locked="0"/>
    </xf>
    <xf numFmtId="182" fontId="81" fillId="60" borderId="46" xfId="69" applyNumberFormat="1" applyFont="1" applyFill="1" applyBorder="1" applyAlignment="1" applyProtection="1">
      <alignment vertical="center"/>
      <protection locked="0"/>
    </xf>
    <xf numFmtId="1" fontId="81" fillId="60" borderId="46" xfId="69" applyNumberFormat="1" applyFont="1" applyFill="1" applyBorder="1" applyAlignment="1" applyProtection="1">
      <alignment vertical="center"/>
      <protection locked="0"/>
    </xf>
    <xf numFmtId="182" fontId="57" fillId="60" borderId="43" xfId="0" applyNumberFormat="1" applyFont="1" applyFill="1" applyBorder="1" applyAlignment="1" applyProtection="1">
      <alignment vertical="center"/>
      <protection locked="0"/>
    </xf>
    <xf numFmtId="1" fontId="57" fillId="60" borderId="43" xfId="69" applyNumberFormat="1" applyFont="1" applyFill="1" applyBorder="1" applyAlignment="1" applyProtection="1">
      <alignment vertical="center"/>
      <protection locked="0"/>
    </xf>
    <xf numFmtId="1" fontId="57" fillId="60" borderId="43" xfId="0" applyNumberFormat="1" applyFont="1" applyFill="1" applyBorder="1" applyAlignment="1" applyProtection="1">
      <alignment vertical="center"/>
      <protection locked="0"/>
    </xf>
    <xf numFmtId="183" fontId="57" fillId="60" borderId="43" xfId="69" applyNumberFormat="1" applyFont="1" applyFill="1" applyBorder="1" applyAlignment="1" applyProtection="1">
      <alignment vertical="center"/>
      <protection locked="0"/>
    </xf>
    <xf numFmtId="183" fontId="57" fillId="60" borderId="43" xfId="0" applyNumberFormat="1" applyFont="1" applyFill="1" applyBorder="1" applyAlignment="1" applyProtection="1">
      <alignment vertical="center"/>
      <protection locked="0"/>
    </xf>
    <xf numFmtId="1" fontId="57" fillId="60" borderId="46" xfId="0" applyNumberFormat="1" applyFont="1" applyFill="1" applyBorder="1" applyAlignment="1" applyProtection="1">
      <alignment vertical="center"/>
      <protection locked="0"/>
    </xf>
    <xf numFmtId="183" fontId="57" fillId="60" borderId="46" xfId="69" applyNumberFormat="1" applyFont="1" applyFill="1" applyBorder="1" applyAlignment="1" applyProtection="1">
      <alignment vertical="center"/>
      <protection locked="0"/>
    </xf>
    <xf numFmtId="1" fontId="57" fillId="60" borderId="46" xfId="69" applyNumberFormat="1" applyFont="1" applyFill="1" applyBorder="1" applyAlignment="1" applyProtection="1">
      <alignment vertical="center"/>
      <protection locked="0"/>
    </xf>
    <xf numFmtId="182" fontId="64" fillId="60" borderId="43" xfId="0" applyNumberFormat="1" applyFont="1" applyFill="1" applyBorder="1" applyAlignment="1" applyProtection="1">
      <alignment horizontal="center" vertical="center" wrapText="1"/>
      <protection locked="0"/>
    </xf>
    <xf numFmtId="1" fontId="64" fillId="60" borderId="43" xfId="1" applyNumberFormat="1" applyFont="1" applyFill="1" applyBorder="1" applyAlignment="1" applyProtection="1">
      <alignment horizontal="center" vertical="center" wrapText="1"/>
      <protection locked="0"/>
    </xf>
    <xf numFmtId="182" fontId="66" fillId="60" borderId="43" xfId="1" applyNumberFormat="1" applyFont="1" applyFill="1" applyBorder="1" applyAlignment="1" applyProtection="1">
      <alignment horizontal="right" vertical="center" wrapText="1"/>
      <protection locked="0"/>
    </xf>
    <xf numFmtId="1" fontId="66" fillId="60" borderId="43" xfId="1" applyNumberFormat="1" applyFont="1" applyFill="1" applyBorder="1" applyAlignment="1" applyProtection="1">
      <alignment horizontal="right" vertical="center" wrapText="1"/>
      <protection locked="0"/>
    </xf>
    <xf numFmtId="1" fontId="64" fillId="60" borderId="43" xfId="0" applyNumberFormat="1" applyFont="1" applyFill="1" applyBorder="1" applyAlignment="1" applyProtection="1">
      <alignment horizontal="center" vertical="center" wrapText="1"/>
      <protection locked="0"/>
    </xf>
    <xf numFmtId="182" fontId="66" fillId="60" borderId="43" xfId="69" applyNumberFormat="1" applyFont="1" applyFill="1" applyBorder="1" applyAlignment="1" applyProtection="1">
      <alignment horizontal="center" vertical="center" wrapText="1"/>
      <protection locked="0"/>
    </xf>
    <xf numFmtId="182" fontId="66" fillId="60" borderId="43" xfId="0" applyNumberFormat="1" applyFont="1" applyFill="1" applyBorder="1" applyAlignment="1" applyProtection="1">
      <alignment horizontal="center" vertical="center" wrapText="1"/>
      <protection locked="0"/>
    </xf>
    <xf numFmtId="1" fontId="66" fillId="60" borderId="43" xfId="0" applyNumberFormat="1" applyFont="1" applyFill="1" applyBorder="1" applyAlignment="1" applyProtection="1">
      <alignment horizontal="center" vertical="center" wrapText="1"/>
      <protection locked="0"/>
    </xf>
    <xf numFmtId="182" fontId="70" fillId="60" borderId="43" xfId="0" applyNumberFormat="1" applyFont="1" applyFill="1" applyBorder="1" applyAlignment="1" applyProtection="1">
      <alignment horizontal="center" vertical="center" wrapText="1"/>
      <protection locked="0"/>
    </xf>
    <xf numFmtId="182" fontId="68" fillId="60" borderId="43" xfId="0" applyNumberFormat="1" applyFont="1" applyFill="1" applyBorder="1" applyAlignment="1" applyProtection="1">
      <alignment horizontal="center"/>
      <protection locked="0"/>
    </xf>
    <xf numFmtId="1" fontId="68" fillId="60" borderId="43" xfId="0" applyNumberFormat="1" applyFont="1" applyFill="1" applyBorder="1" applyAlignment="1" applyProtection="1">
      <alignment horizontal="center"/>
      <protection locked="0"/>
    </xf>
    <xf numFmtId="182" fontId="70" fillId="60" borderId="43" xfId="1801" applyNumberFormat="1" applyFont="1" applyFill="1" applyBorder="1" applyAlignment="1" applyProtection="1">
      <alignment horizontal="right" vertical="center" wrapText="1"/>
      <protection locked="0"/>
    </xf>
    <xf numFmtId="182" fontId="70" fillId="60" borderId="43" xfId="1" applyNumberFormat="1" applyFont="1" applyFill="1" applyBorder="1" applyAlignment="1" applyProtection="1">
      <alignment horizontal="right" vertical="center" wrapText="1"/>
      <protection locked="0"/>
    </xf>
    <xf numFmtId="1" fontId="70" fillId="60" borderId="43" xfId="1" applyNumberFormat="1" applyFont="1" applyFill="1" applyBorder="1" applyAlignment="1" applyProtection="1">
      <alignment horizontal="right" vertical="center" wrapText="1"/>
      <protection locked="0"/>
    </xf>
    <xf numFmtId="182" fontId="68" fillId="60" borderId="43" xfId="0" applyNumberFormat="1" applyFont="1" applyFill="1" applyBorder="1" applyAlignment="1" applyProtection="1">
      <alignment horizontal="center" wrapText="1"/>
      <protection locked="0"/>
    </xf>
    <xf numFmtId="182" fontId="66" fillId="60" borderId="43" xfId="1801" applyNumberFormat="1" applyFont="1" applyFill="1" applyBorder="1" applyAlignment="1" applyProtection="1">
      <alignment horizontal="right" vertical="center" wrapText="1"/>
      <protection locked="0"/>
    </xf>
    <xf numFmtId="183" fontId="61" fillId="60" borderId="43" xfId="1801" applyNumberFormat="1" applyFont="1" applyFill="1" applyBorder="1" applyAlignment="1" applyProtection="1">
      <alignment horizontal="right" vertical="center" wrapText="1"/>
      <protection locked="0"/>
    </xf>
    <xf numFmtId="183" fontId="61" fillId="60" borderId="43" xfId="1" applyNumberFormat="1" applyFont="1" applyFill="1" applyBorder="1" applyAlignment="1" applyProtection="1">
      <alignment horizontal="right" vertical="center" wrapText="1"/>
      <protection locked="0"/>
    </xf>
    <xf numFmtId="1" fontId="61" fillId="60" borderId="43" xfId="1" applyNumberFormat="1" applyFont="1" applyFill="1" applyBorder="1" applyAlignment="1" applyProtection="1">
      <alignment horizontal="right" vertical="center" wrapText="1"/>
      <protection locked="0"/>
    </xf>
    <xf numFmtId="183" fontId="2" fillId="60" borderId="46" xfId="1" applyNumberFormat="1" applyFont="1" applyFill="1" applyBorder="1" applyAlignment="1" applyProtection="1">
      <alignment horizontal="right" vertical="center" wrapText="1"/>
      <protection locked="0"/>
    </xf>
    <xf numFmtId="183" fontId="2" fillId="60" borderId="46" xfId="69" applyNumberFormat="1" applyFont="1" applyFill="1" applyBorder="1" applyAlignment="1" applyProtection="1">
      <alignment horizontal="right" vertical="center" wrapText="1"/>
      <protection locked="0"/>
    </xf>
    <xf numFmtId="183" fontId="57" fillId="60" borderId="43" xfId="0" applyNumberFormat="1" applyFont="1" applyFill="1" applyBorder="1" applyAlignment="1" applyProtection="1">
      <alignment vertical="center" wrapText="1"/>
      <protection locked="0"/>
    </xf>
    <xf numFmtId="183" fontId="61" fillId="60" borderId="43" xfId="0" applyNumberFormat="1" applyFont="1" applyFill="1" applyBorder="1" applyAlignment="1" applyProtection="1">
      <alignment horizontal="center" vertical="center" wrapText="1"/>
      <protection locked="0"/>
    </xf>
    <xf numFmtId="1" fontId="61" fillId="60" borderId="43" xfId="0" applyNumberFormat="1" applyFont="1" applyFill="1" applyBorder="1" applyAlignment="1" applyProtection="1">
      <alignment horizontal="center" vertical="center" wrapText="1"/>
      <protection locked="0"/>
    </xf>
    <xf numFmtId="183" fontId="61" fillId="60" borderId="43" xfId="69" applyNumberFormat="1" applyFont="1" applyFill="1" applyBorder="1" applyAlignment="1" applyProtection="1">
      <alignment horizontal="center" vertical="center" wrapText="1"/>
      <protection locked="0"/>
    </xf>
    <xf numFmtId="0" fontId="64" fillId="0" borderId="43" xfId="0" applyFont="1" applyBorder="1" applyAlignment="1" applyProtection="1">
      <alignment vertical="center" wrapText="1"/>
      <protection locked="0"/>
    </xf>
    <xf numFmtId="182" fontId="82" fillId="60" borderId="43" xfId="0" applyNumberFormat="1" applyFont="1" applyFill="1" applyBorder="1" applyAlignment="1" applyProtection="1">
      <alignment horizontal="center" vertical="center" wrapText="1"/>
      <protection locked="0"/>
    </xf>
    <xf numFmtId="1" fontId="82" fillId="60" borderId="43" xfId="0" applyNumberFormat="1" applyFont="1" applyFill="1" applyBorder="1" applyAlignment="1" applyProtection="1">
      <alignment horizontal="center" vertical="center" wrapText="1"/>
      <protection locked="0"/>
    </xf>
    <xf numFmtId="182" fontId="82" fillId="60" borderId="43" xfId="69" applyNumberFormat="1" applyFont="1" applyFill="1" applyBorder="1" applyAlignment="1" applyProtection="1">
      <alignment horizontal="center" vertical="center" wrapText="1"/>
      <protection locked="0"/>
    </xf>
    <xf numFmtId="182" fontId="82" fillId="60" borderId="43" xfId="1" applyNumberFormat="1" applyFont="1" applyFill="1" applyBorder="1" applyAlignment="1" applyProtection="1">
      <alignment horizontal="right" vertical="center" wrapText="1"/>
      <protection locked="0"/>
    </xf>
    <xf numFmtId="1" fontId="82" fillId="60" borderId="43" xfId="1" applyNumberFormat="1" applyFont="1" applyFill="1" applyBorder="1" applyAlignment="1" applyProtection="1">
      <alignment horizontal="right" vertical="center" wrapText="1"/>
      <protection locked="0"/>
    </xf>
    <xf numFmtId="0" fontId="64" fillId="0" borderId="0" xfId="0" applyFont="1" applyAlignment="1" applyProtection="1">
      <alignment vertical="center"/>
      <protection locked="0"/>
    </xf>
    <xf numFmtId="0" fontId="65" fillId="0" borderId="10" xfId="0" applyFont="1" applyBorder="1" applyAlignment="1">
      <alignment vertical="center"/>
    </xf>
    <xf numFmtId="9" fontId="65" fillId="0" borderId="10" xfId="0" applyNumberFormat="1" applyFont="1" applyBorder="1" applyAlignment="1">
      <alignment vertical="center"/>
    </xf>
    <xf numFmtId="182" fontId="64" fillId="60" borderId="43" xfId="0" applyNumberFormat="1" applyFont="1" applyFill="1" applyBorder="1" applyAlignment="1" applyProtection="1">
      <alignment horizontal="center" vertical="center"/>
      <protection locked="0"/>
    </xf>
    <xf numFmtId="1" fontId="64" fillId="60" borderId="43" xfId="0" applyNumberFormat="1" applyFont="1" applyFill="1" applyBorder="1" applyAlignment="1" applyProtection="1">
      <alignment horizontal="center" vertical="center"/>
      <protection locked="0"/>
    </xf>
    <xf numFmtId="182" fontId="64" fillId="0" borderId="43" xfId="0" applyNumberFormat="1" applyFont="1" applyBorder="1" applyAlignment="1" applyProtection="1">
      <alignment horizontal="center" vertical="center"/>
      <protection locked="0"/>
    </xf>
    <xf numFmtId="1" fontId="64" fillId="0" borderId="43" xfId="0" applyNumberFormat="1" applyFont="1" applyBorder="1" applyAlignment="1" applyProtection="1">
      <alignment horizontal="center" vertical="center"/>
      <protection locked="0"/>
    </xf>
    <xf numFmtId="182" fontId="65" fillId="54" borderId="43" xfId="0" applyNumberFormat="1" applyFont="1" applyFill="1" applyBorder="1" applyAlignment="1">
      <alignment horizontal="center" vertical="center"/>
    </xf>
    <xf numFmtId="182" fontId="65" fillId="54" borderId="43" xfId="0" applyNumberFormat="1" applyFont="1" applyFill="1" applyBorder="1" applyAlignment="1">
      <alignment vertical="center"/>
    </xf>
    <xf numFmtId="169" fontId="64" fillId="0" borderId="0" xfId="0" applyNumberFormat="1" applyFont="1" applyAlignment="1" applyProtection="1">
      <alignment vertical="center"/>
      <protection locked="0"/>
    </xf>
    <xf numFmtId="182" fontId="65" fillId="54" borderId="43" xfId="0" applyNumberFormat="1" applyFont="1" applyFill="1" applyBorder="1" applyAlignment="1" applyProtection="1">
      <alignment horizontal="center" vertical="center"/>
      <protection locked="0"/>
    </xf>
    <xf numFmtId="182" fontId="65" fillId="54" borderId="43" xfId="0" applyNumberFormat="1" applyFont="1" applyFill="1" applyBorder="1" applyAlignment="1" applyProtection="1">
      <alignment vertical="center"/>
      <protection locked="0"/>
    </xf>
    <xf numFmtId="182" fontId="65" fillId="54" borderId="43" xfId="0" applyNumberFormat="1" applyFont="1" applyFill="1" applyBorder="1" applyAlignment="1" applyProtection="1">
      <alignment horizontal="right" vertical="center" wrapText="1"/>
      <protection locked="0"/>
    </xf>
    <xf numFmtId="0" fontId="65" fillId="0" borderId="0" xfId="0" applyFont="1" applyAlignment="1">
      <alignment vertical="center"/>
    </xf>
    <xf numFmtId="9" fontId="65" fillId="0" borderId="0" xfId="0" applyNumberFormat="1" applyFont="1" applyAlignment="1">
      <alignment vertical="center"/>
    </xf>
    <xf numFmtId="182" fontId="65" fillId="54" borderId="43" xfId="0" applyNumberFormat="1" applyFont="1" applyFill="1" applyBorder="1" applyAlignment="1">
      <alignment horizontal="right" vertical="center"/>
    </xf>
    <xf numFmtId="182" fontId="65" fillId="54" borderId="43" xfId="0" applyNumberFormat="1" applyFont="1" applyFill="1" applyBorder="1" applyAlignment="1" applyProtection="1">
      <alignment horizontal="right" vertical="center"/>
      <protection locked="0"/>
    </xf>
    <xf numFmtId="182" fontId="63" fillId="54" borderId="43" xfId="0" applyNumberFormat="1" applyFont="1" applyFill="1" applyBorder="1" applyAlignment="1">
      <alignment horizontal="right" vertical="center"/>
    </xf>
    <xf numFmtId="182" fontId="63" fillId="54" borderId="43" xfId="0" applyNumberFormat="1" applyFont="1" applyFill="1" applyBorder="1" applyAlignment="1" applyProtection="1">
      <alignment horizontal="right" vertical="center"/>
      <protection locked="0"/>
    </xf>
    <xf numFmtId="182" fontId="63" fillId="54" borderId="43" xfId="0" applyNumberFormat="1" applyFont="1" applyFill="1" applyBorder="1" applyAlignment="1" applyProtection="1">
      <alignment horizontal="right" vertical="center" wrapText="1"/>
      <protection locked="0"/>
    </xf>
    <xf numFmtId="182" fontId="65" fillId="2" borderId="43" xfId="0" applyNumberFormat="1" applyFont="1" applyFill="1" applyBorder="1" applyAlignment="1" applyProtection="1">
      <alignment vertical="center"/>
      <protection locked="0"/>
    </xf>
    <xf numFmtId="182" fontId="65" fillId="2" borderId="43" xfId="0" applyNumberFormat="1" applyFont="1" applyFill="1" applyBorder="1" applyAlignment="1">
      <alignment vertical="center"/>
    </xf>
    <xf numFmtId="182" fontId="57" fillId="60" borderId="43" xfId="0" applyNumberFormat="1" applyFont="1" applyFill="1" applyBorder="1" applyAlignment="1" applyProtection="1">
      <alignment horizontal="center" vertical="center" wrapText="1"/>
      <protection locked="0"/>
    </xf>
    <xf numFmtId="1" fontId="57" fillId="60" borderId="43" xfId="1" applyNumberFormat="1" applyFont="1" applyFill="1" applyBorder="1" applyAlignment="1" applyProtection="1">
      <alignment horizontal="center" wrapText="1"/>
      <protection locked="0"/>
    </xf>
    <xf numFmtId="182" fontId="61" fillId="60" borderId="43" xfId="1" applyNumberFormat="1" applyFont="1" applyFill="1" applyBorder="1" applyAlignment="1" applyProtection="1">
      <alignment horizontal="right" vertical="center" wrapText="1"/>
      <protection locked="0"/>
    </xf>
    <xf numFmtId="9" fontId="57" fillId="0" borderId="0" xfId="1804" applyFont="1" applyProtection="1">
      <protection locked="0"/>
    </xf>
    <xf numFmtId="1" fontId="81" fillId="60" borderId="59" xfId="0" applyNumberFormat="1" applyFont="1" applyFill="1" applyBorder="1" applyAlignment="1" applyProtection="1">
      <alignment vertical="center"/>
      <protection locked="0"/>
    </xf>
    <xf numFmtId="182" fontId="81" fillId="60" borderId="59" xfId="69" applyNumberFormat="1" applyFont="1" applyFill="1" applyBorder="1" applyAlignment="1" applyProtection="1">
      <alignment vertical="center"/>
      <protection locked="0"/>
    </xf>
    <xf numFmtId="182" fontId="57" fillId="60" borderId="43" xfId="69" applyNumberFormat="1" applyFont="1" applyFill="1" applyBorder="1" applyAlignment="1" applyProtection="1">
      <alignment vertical="center"/>
      <protection locked="0"/>
    </xf>
    <xf numFmtId="0" fontId="47" fillId="4" borderId="0" xfId="0" applyFont="1" applyFill="1" applyAlignment="1" applyProtection="1">
      <alignment vertical="center"/>
      <protection locked="0"/>
    </xf>
    <xf numFmtId="182" fontId="66" fillId="0" borderId="0" xfId="1" applyNumberFormat="1" applyFont="1" applyFill="1" applyBorder="1" applyAlignment="1" applyProtection="1">
      <alignment horizontal="right" vertical="center" wrapText="1"/>
      <protection locked="0"/>
    </xf>
    <xf numFmtId="37" fontId="2" fillId="4" borderId="0" xfId="0" applyNumberFormat="1" applyFont="1" applyFill="1" applyAlignment="1" applyProtection="1">
      <alignment horizontal="left" vertical="center" wrapText="1"/>
      <protection locked="0"/>
    </xf>
    <xf numFmtId="0" fontId="47" fillId="4" borderId="43" xfId="0" applyFont="1" applyFill="1" applyBorder="1" applyAlignment="1" applyProtection="1">
      <alignment vertical="center" wrapText="1"/>
      <protection locked="0"/>
    </xf>
    <xf numFmtId="167" fontId="2" fillId="4" borderId="43" xfId="1801" applyFont="1" applyFill="1" applyBorder="1" applyAlignment="1" applyProtection="1">
      <alignment horizontal="center" vertical="center" wrapText="1"/>
      <protection locked="0"/>
    </xf>
    <xf numFmtId="1" fontId="57" fillId="0" borderId="43" xfId="1" applyNumberFormat="1" applyFont="1" applyBorder="1" applyAlignment="1" applyProtection="1">
      <alignment horizontal="center" vertical="center" wrapText="1"/>
      <protection locked="0"/>
    </xf>
    <xf numFmtId="183" fontId="61" fillId="0" borderId="43" xfId="69" applyNumberFormat="1" applyFont="1" applyFill="1" applyBorder="1" applyAlignment="1" applyProtection="1">
      <alignment horizontal="right" vertical="center" wrapText="1"/>
      <protection locked="0"/>
    </xf>
    <xf numFmtId="183" fontId="75" fillId="0" borderId="46" xfId="0" applyNumberFormat="1" applyFont="1" applyBorder="1" applyAlignment="1" applyProtection="1">
      <alignment horizontal="center" vertical="center" wrapText="1"/>
      <protection locked="0"/>
    </xf>
    <xf numFmtId="0" fontId="58" fillId="0" borderId="10" xfId="0" applyFont="1" applyBorder="1" applyAlignment="1">
      <alignment vertical="center" wrapText="1"/>
    </xf>
    <xf numFmtId="9" fontId="58" fillId="0" borderId="10" xfId="0" applyNumberFormat="1" applyFont="1" applyBorder="1" applyAlignment="1">
      <alignment vertical="center" wrapText="1"/>
    </xf>
    <xf numFmtId="183" fontId="57" fillId="60" borderId="43" xfId="0" applyNumberFormat="1" applyFont="1" applyFill="1" applyBorder="1" applyAlignment="1" applyProtection="1">
      <alignment horizontal="center" vertical="center" wrapText="1"/>
      <protection locked="0"/>
    </xf>
    <xf numFmtId="1" fontId="57" fillId="60" borderId="43" xfId="0" applyNumberFormat="1" applyFont="1" applyFill="1" applyBorder="1" applyAlignment="1" applyProtection="1">
      <alignment horizontal="center" vertical="center" wrapText="1"/>
      <protection locked="0"/>
    </xf>
    <xf numFmtId="183" fontId="58" fillId="54" borderId="43" xfId="0" applyNumberFormat="1" applyFont="1" applyFill="1" applyBorder="1" applyAlignment="1" applyProtection="1">
      <alignment horizontal="center" vertical="center" wrapText="1"/>
      <protection locked="0"/>
    </xf>
    <xf numFmtId="183" fontId="58" fillId="54" borderId="43" xfId="0" applyNumberFormat="1" applyFont="1" applyFill="1" applyBorder="1" applyAlignment="1">
      <alignment vertical="center" wrapText="1"/>
    </xf>
    <xf numFmtId="183" fontId="58" fillId="54" borderId="43" xfId="0" applyNumberFormat="1" applyFont="1" applyFill="1" applyBorder="1" applyAlignment="1" applyProtection="1">
      <alignment vertical="center" wrapText="1"/>
      <protection locked="0"/>
    </xf>
    <xf numFmtId="183" fontId="58" fillId="54" borderId="43" xfId="0" applyNumberFormat="1" applyFont="1" applyFill="1" applyBorder="1" applyAlignment="1" applyProtection="1">
      <alignment horizontal="right" vertical="center" wrapText="1"/>
      <protection locked="0"/>
    </xf>
    <xf numFmtId="169" fontId="57" fillId="0" borderId="0" xfId="0" applyNumberFormat="1" applyFont="1" applyAlignment="1" applyProtection="1">
      <alignment vertical="center" wrapText="1"/>
      <protection locked="0"/>
    </xf>
    <xf numFmtId="0" fontId="47" fillId="4" borderId="43" xfId="0" applyFont="1" applyFill="1" applyBorder="1" applyAlignment="1" applyProtection="1">
      <alignment horizontal="center" vertical="center" wrapText="1"/>
      <protection locked="0"/>
    </xf>
    <xf numFmtId="9" fontId="58" fillId="0" borderId="0" xfId="0" applyNumberFormat="1" applyFont="1" applyAlignment="1">
      <alignment vertical="center" wrapText="1"/>
    </xf>
    <xf numFmtId="183" fontId="75" fillId="60" borderId="46" xfId="0" applyNumberFormat="1" applyFont="1" applyFill="1" applyBorder="1" applyAlignment="1" applyProtection="1">
      <alignment horizontal="center" vertical="center" wrapText="1"/>
      <protection locked="0"/>
    </xf>
    <xf numFmtId="1" fontId="75" fillId="60" borderId="46" xfId="1" applyNumberFormat="1" applyFont="1" applyFill="1" applyBorder="1" applyAlignment="1" applyProtection="1">
      <alignment horizontal="center" vertical="center" wrapText="1"/>
      <protection locked="0"/>
    </xf>
    <xf numFmtId="183" fontId="58" fillId="54" borderId="43" xfId="0" applyNumberFormat="1" applyFont="1" applyFill="1" applyBorder="1" applyAlignment="1">
      <alignment horizontal="right" vertical="center" wrapText="1"/>
    </xf>
    <xf numFmtId="1" fontId="75" fillId="60" borderId="46" xfId="0" applyNumberFormat="1" applyFont="1" applyFill="1" applyBorder="1" applyAlignment="1" applyProtection="1">
      <alignment horizontal="center" vertical="center" wrapText="1"/>
      <protection locked="0"/>
    </xf>
    <xf numFmtId="183" fontId="57" fillId="0" borderId="0" xfId="0" applyNumberFormat="1" applyFont="1" applyAlignment="1" applyProtection="1">
      <alignment vertical="center" wrapText="1"/>
      <protection locked="0"/>
    </xf>
    <xf numFmtId="184" fontId="57" fillId="0" borderId="0" xfId="1804" applyNumberFormat="1" applyFont="1" applyAlignment="1" applyProtection="1">
      <alignment vertical="center" wrapText="1"/>
      <protection locked="0"/>
    </xf>
    <xf numFmtId="1" fontId="75" fillId="0" borderId="46" xfId="0" applyNumberFormat="1" applyFont="1" applyBorder="1" applyAlignment="1" applyProtection="1">
      <alignment horizontal="center" vertical="center" wrapText="1"/>
      <protection locked="0"/>
    </xf>
    <xf numFmtId="183" fontId="59" fillId="54" borderId="43" xfId="0" applyNumberFormat="1" applyFont="1" applyFill="1" applyBorder="1" applyAlignment="1">
      <alignment horizontal="right" vertical="center" wrapText="1"/>
    </xf>
    <xf numFmtId="183" fontId="59" fillId="54" borderId="43" xfId="0" applyNumberFormat="1" applyFont="1" applyFill="1" applyBorder="1" applyAlignment="1" applyProtection="1">
      <alignment horizontal="right" vertical="center" wrapText="1"/>
      <protection locked="0"/>
    </xf>
    <xf numFmtId="183" fontId="58" fillId="2" borderId="43" xfId="0" applyNumberFormat="1" applyFont="1" applyFill="1" applyBorder="1" applyAlignment="1" applyProtection="1">
      <alignment vertical="center" wrapText="1"/>
      <protection locked="0"/>
    </xf>
    <xf numFmtId="183" fontId="58" fillId="2" borderId="43" xfId="0" applyNumberFormat="1" applyFont="1" applyFill="1" applyBorder="1" applyAlignment="1">
      <alignment vertical="center" wrapText="1"/>
    </xf>
    <xf numFmtId="9" fontId="57" fillId="0" borderId="0" xfId="0" applyNumberFormat="1" applyFont="1" applyAlignment="1" applyProtection="1">
      <alignment vertical="center" wrapText="1"/>
      <protection locked="0"/>
    </xf>
    <xf numFmtId="9" fontId="64" fillId="0" borderId="0" xfId="0" applyNumberFormat="1" applyFont="1" applyAlignment="1" applyProtection="1">
      <alignment vertical="center" wrapText="1"/>
      <protection locked="0"/>
    </xf>
    <xf numFmtId="182" fontId="51" fillId="0" borderId="43" xfId="0" applyNumberFormat="1" applyFont="1" applyBorder="1" applyAlignment="1" applyProtection="1">
      <alignment wrapText="1"/>
      <protection locked="0"/>
    </xf>
    <xf numFmtId="9" fontId="0" fillId="0" borderId="0" xfId="0" applyNumberFormat="1" applyProtection="1">
      <protection locked="0"/>
    </xf>
    <xf numFmtId="182" fontId="51" fillId="0" borderId="43" xfId="0" applyNumberFormat="1" applyFont="1" applyBorder="1" applyAlignment="1" applyProtection="1">
      <alignment horizontal="center" wrapText="1"/>
      <protection locked="0"/>
    </xf>
    <xf numFmtId="182" fontId="47" fillId="0" borderId="43" xfId="0" applyNumberFormat="1" applyFont="1" applyBorder="1" applyAlignment="1" applyProtection="1">
      <alignment vertical="center" wrapText="1"/>
      <protection locked="0"/>
    </xf>
    <xf numFmtId="182" fontId="75" fillId="0" borderId="43" xfId="0" applyNumberFormat="1" applyFont="1" applyBorder="1" applyAlignment="1" applyProtection="1">
      <alignment horizontal="right" vertical="center" wrapText="1"/>
      <protection locked="0"/>
    </xf>
    <xf numFmtId="170" fontId="66" fillId="0" borderId="43" xfId="1" applyNumberFormat="1" applyFont="1" applyFill="1" applyBorder="1" applyAlignment="1" applyProtection="1">
      <alignment horizontal="right" vertical="center" wrapText="1"/>
      <protection locked="0"/>
    </xf>
    <xf numFmtId="0" fontId="64" fillId="0" borderId="43" xfId="0" applyFont="1" applyBorder="1" applyAlignment="1" applyProtection="1">
      <alignment horizontal="center" vertical="center"/>
      <protection locked="0"/>
    </xf>
    <xf numFmtId="170" fontId="64" fillId="0" borderId="43" xfId="0" applyNumberFormat="1" applyFont="1" applyBorder="1" applyAlignment="1" applyProtection="1">
      <alignment horizontal="center" vertical="center"/>
      <protection locked="0"/>
    </xf>
    <xf numFmtId="169" fontId="66" fillId="0" borderId="43" xfId="1801" applyNumberFormat="1" applyFont="1" applyFill="1" applyBorder="1" applyAlignment="1" applyProtection="1">
      <alignment horizontal="right" vertical="center" wrapText="1"/>
      <protection locked="0"/>
    </xf>
    <xf numFmtId="182" fontId="64" fillId="0" borderId="0" xfId="0" applyNumberFormat="1" applyFont="1" applyAlignment="1" applyProtection="1">
      <alignment vertical="center"/>
      <protection locked="0"/>
    </xf>
    <xf numFmtId="170" fontId="61" fillId="0" borderId="43" xfId="1" applyNumberFormat="1" applyFont="1" applyFill="1" applyBorder="1" applyAlignment="1" applyProtection="1">
      <alignment horizontal="right" vertical="center" wrapText="1"/>
      <protection locked="0"/>
    </xf>
    <xf numFmtId="172" fontId="61" fillId="0" borderId="1" xfId="0" applyNumberFormat="1" applyFont="1" applyBorder="1"/>
    <xf numFmtId="172" fontId="57" fillId="0" borderId="43" xfId="0" applyNumberFormat="1" applyFont="1" applyBorder="1" applyAlignment="1">
      <alignment horizontal="center"/>
    </xf>
    <xf numFmtId="172" fontId="57" fillId="0" borderId="43" xfId="0" applyNumberFormat="1" applyFont="1" applyBorder="1" applyAlignment="1">
      <alignment horizontal="left" vertical="center"/>
    </xf>
    <xf numFmtId="172" fontId="61" fillId="0" borderId="43" xfId="1" applyNumberFormat="1" applyFont="1" applyFill="1" applyBorder="1" applyAlignment="1">
      <alignment horizontal="right" vertical="center" wrapText="1"/>
    </xf>
    <xf numFmtId="172" fontId="57" fillId="0" borderId="0" xfId="0" applyNumberFormat="1" applyFont="1" applyAlignment="1">
      <alignment horizontal="left" vertical="center"/>
    </xf>
    <xf numFmtId="172" fontId="61" fillId="0" borderId="43" xfId="0" applyNumberFormat="1" applyFont="1" applyBorder="1"/>
    <xf numFmtId="172" fontId="62" fillId="0" borderId="43" xfId="0" applyNumberFormat="1" applyFont="1" applyBorder="1" applyAlignment="1">
      <alignment horizontal="center"/>
    </xf>
    <xf numFmtId="172" fontId="57" fillId="0" borderId="43" xfId="0" applyNumberFormat="1" applyFont="1" applyBorder="1" applyAlignment="1">
      <alignment horizontal="center" wrapText="1"/>
    </xf>
    <xf numFmtId="172" fontId="57" fillId="0" borderId="37" xfId="0" applyNumberFormat="1" applyFont="1" applyBorder="1" applyAlignment="1">
      <alignment horizontal="center" wrapText="1"/>
    </xf>
    <xf numFmtId="172" fontId="61" fillId="0" borderId="43" xfId="0" applyNumberFormat="1" applyFont="1" applyBorder="1" applyAlignment="1">
      <alignment vertical="center"/>
    </xf>
    <xf numFmtId="170" fontId="61" fillId="0" borderId="43" xfId="1" applyNumberFormat="1" applyFont="1" applyBorder="1" applyAlignment="1">
      <alignment wrapText="1"/>
    </xf>
    <xf numFmtId="170" fontId="57" fillId="0" borderId="43" xfId="1" applyNumberFormat="1" applyFont="1" applyFill="1" applyBorder="1" applyAlignment="1">
      <alignment horizontal="left" vertical="center" wrapText="1"/>
    </xf>
    <xf numFmtId="170" fontId="57" fillId="0" borderId="43" xfId="1" applyNumberFormat="1" applyFont="1" applyFill="1" applyBorder="1" applyAlignment="1">
      <alignment horizontal="left" vertical="center"/>
    </xf>
    <xf numFmtId="172" fontId="61" fillId="0" borderId="37" xfId="0" applyNumberFormat="1" applyFont="1" applyBorder="1" applyAlignment="1">
      <alignment horizontal="center" wrapText="1"/>
    </xf>
    <xf numFmtId="172" fontId="58" fillId="54" borderId="1" xfId="0" applyNumberFormat="1" applyFont="1" applyFill="1" applyBorder="1" applyAlignment="1">
      <alignment horizontal="left"/>
    </xf>
    <xf numFmtId="172" fontId="58" fillId="54" borderId="43" xfId="0" applyNumberFormat="1" applyFont="1" applyFill="1" applyBorder="1" applyAlignment="1">
      <alignment horizontal="center"/>
    </xf>
    <xf numFmtId="172" fontId="58" fillId="54" borderId="37" xfId="0" applyNumberFormat="1" applyFont="1" applyFill="1" applyBorder="1" applyAlignment="1">
      <alignment horizontal="center"/>
    </xf>
    <xf numFmtId="172" fontId="73" fillId="0" borderId="43" xfId="0" applyNumberFormat="1" applyFont="1" applyBorder="1"/>
    <xf numFmtId="0" fontId="57" fillId="0" borderId="43" xfId="0" applyFont="1" applyBorder="1"/>
    <xf numFmtId="42" fontId="57" fillId="0" borderId="43" xfId="1803" applyFont="1" applyFill="1" applyBorder="1"/>
    <xf numFmtId="172" fontId="57" fillId="0" borderId="37" xfId="0" applyNumberFormat="1" applyFont="1" applyBorder="1" applyAlignment="1">
      <alignment horizontal="center"/>
    </xf>
    <xf numFmtId="172" fontId="59" fillId="54" borderId="43" xfId="0" applyNumberFormat="1" applyFont="1" applyFill="1" applyBorder="1"/>
    <xf numFmtId="172" fontId="59" fillId="54" borderId="43" xfId="1" applyNumberFormat="1" applyFont="1" applyFill="1" applyBorder="1" applyAlignment="1">
      <alignment horizontal="right" vertical="center" wrapText="1"/>
    </xf>
    <xf numFmtId="172" fontId="73" fillId="0" borderId="43" xfId="0" applyNumberFormat="1" applyFont="1" applyBorder="1" applyAlignment="1">
      <alignment horizontal="center"/>
    </xf>
    <xf numFmtId="172" fontId="73" fillId="0" borderId="0" xfId="0" applyNumberFormat="1" applyFont="1"/>
    <xf numFmtId="172" fontId="57" fillId="0" borderId="43" xfId="0" applyNumberFormat="1" applyFont="1" applyBorder="1"/>
    <xf numFmtId="172" fontId="58" fillId="0" borderId="37" xfId="0" applyNumberFormat="1" applyFont="1" applyBorder="1" applyAlignment="1">
      <alignment horizontal="center"/>
    </xf>
    <xf numFmtId="172" fontId="57" fillId="5" borderId="43" xfId="0" applyNumberFormat="1" applyFont="1" applyFill="1" applyBorder="1" applyAlignment="1">
      <alignment horizontal="left" vertical="center"/>
    </xf>
    <xf numFmtId="8" fontId="25" fillId="0" borderId="43" xfId="0" applyNumberFormat="1" applyFont="1" applyBorder="1" applyAlignment="1">
      <alignment horizontal="center"/>
    </xf>
    <xf numFmtId="172" fontId="57" fillId="54" borderId="43" xfId="0" applyNumberFormat="1" applyFont="1" applyFill="1" applyBorder="1" applyAlignment="1">
      <alignment horizontal="center"/>
    </xf>
    <xf numFmtId="172" fontId="58" fillId="54" borderId="43" xfId="8" applyNumberFormat="1" applyFont="1" applyFill="1" applyBorder="1" applyAlignment="1">
      <alignment horizontal="center"/>
    </xf>
    <xf numFmtId="172" fontId="73" fillId="0" borderId="7" xfId="0" applyNumberFormat="1" applyFont="1" applyBorder="1"/>
    <xf numFmtId="172" fontId="57" fillId="0" borderId="43" xfId="8" applyNumberFormat="1" applyFont="1" applyFill="1" applyBorder="1"/>
    <xf numFmtId="172" fontId="57" fillId="54" borderId="37" xfId="0" applyNumberFormat="1" applyFont="1" applyFill="1" applyBorder="1" applyAlignment="1">
      <alignment horizontal="center"/>
    </xf>
    <xf numFmtId="172" fontId="57" fillId="0" borderId="43" xfId="8" applyNumberFormat="1" applyFont="1" applyBorder="1"/>
    <xf numFmtId="185" fontId="25" fillId="0" borderId="43" xfId="0" applyNumberFormat="1" applyFont="1" applyBorder="1" applyAlignment="1">
      <alignment horizontal="center"/>
    </xf>
    <xf numFmtId="185" fontId="73" fillId="0" borderId="43" xfId="0" applyNumberFormat="1" applyFont="1" applyBorder="1"/>
    <xf numFmtId="185" fontId="57" fillId="0" borderId="43" xfId="0" applyNumberFormat="1" applyFont="1" applyBorder="1" applyAlignment="1">
      <alignment horizontal="center"/>
    </xf>
    <xf numFmtId="186" fontId="57" fillId="0" borderId="43" xfId="8" applyNumberFormat="1" applyFont="1" applyFill="1" applyBorder="1"/>
    <xf numFmtId="172" fontId="73" fillId="0" borderId="38" xfId="0" applyNumberFormat="1" applyFont="1" applyBorder="1"/>
    <xf numFmtId="172" fontId="58" fillId="54" borderId="50" xfId="0" applyNumberFormat="1" applyFont="1" applyFill="1" applyBorder="1" applyAlignment="1">
      <alignment horizontal="left"/>
    </xf>
    <xf numFmtId="172" fontId="57" fillId="54" borderId="49" xfId="0" applyNumberFormat="1" applyFont="1" applyFill="1" applyBorder="1" applyAlignment="1">
      <alignment horizontal="center"/>
    </xf>
    <xf numFmtId="172" fontId="58" fillId="54" borderId="49" xfId="0" applyNumberFormat="1" applyFont="1" applyFill="1" applyBorder="1" applyAlignment="1">
      <alignment horizontal="center"/>
    </xf>
    <xf numFmtId="172" fontId="58" fillId="54" borderId="51" xfId="0" applyNumberFormat="1" applyFont="1" applyFill="1" applyBorder="1" applyAlignment="1">
      <alignment horizontal="center"/>
    </xf>
    <xf numFmtId="185" fontId="57" fillId="0" borderId="0" xfId="0" applyNumberFormat="1" applyFont="1"/>
    <xf numFmtId="172" fontId="57" fillId="0" borderId="0" xfId="8" applyNumberFormat="1" applyFont="1" applyFill="1"/>
    <xf numFmtId="172" fontId="58" fillId="54" borderId="49" xfId="1" applyNumberFormat="1" applyFont="1" applyFill="1" applyBorder="1" applyAlignment="1">
      <alignment horizontal="center"/>
    </xf>
    <xf numFmtId="172" fontId="59" fillId="54" borderId="50" xfId="0" applyNumberFormat="1" applyFont="1" applyFill="1" applyBorder="1"/>
    <xf numFmtId="172" fontId="58" fillId="54" borderId="49" xfId="8" applyNumberFormat="1" applyFont="1" applyFill="1" applyBorder="1" applyAlignment="1">
      <alignment horizontal="center"/>
    </xf>
    <xf numFmtId="172" fontId="59" fillId="2" borderId="6" xfId="0" applyNumberFormat="1" applyFont="1" applyFill="1" applyBorder="1" applyAlignment="1">
      <alignment horizontal="center" vertical="center"/>
    </xf>
    <xf numFmtId="172" fontId="59" fillId="2" borderId="6" xfId="0" applyNumberFormat="1" applyFont="1" applyFill="1" applyBorder="1" applyAlignment="1">
      <alignment horizontal="center" vertical="center" wrapText="1"/>
    </xf>
    <xf numFmtId="0" fontId="57" fillId="0" borderId="15" xfId="0" applyFont="1" applyBorder="1" applyAlignment="1">
      <alignment horizontal="left"/>
    </xf>
    <xf numFmtId="170" fontId="57" fillId="0" borderId="16" xfId="1" applyNumberFormat="1" applyFont="1" applyFill="1" applyBorder="1" applyAlignment="1">
      <alignment horizontal="right"/>
    </xf>
    <xf numFmtId="0" fontId="72" fillId="57" borderId="17" xfId="0" applyFont="1" applyFill="1" applyBorder="1" applyAlignment="1">
      <alignment horizontal="center" vertical="center"/>
    </xf>
    <xf numFmtId="170" fontId="72" fillId="57" borderId="18" xfId="1" applyNumberFormat="1" applyFont="1" applyFill="1" applyBorder="1" applyAlignment="1">
      <alignment horizontal="center" vertical="center"/>
    </xf>
    <xf numFmtId="0" fontId="57" fillId="0" borderId="0" xfId="0" applyFont="1" applyAlignment="1">
      <alignment horizontal="center"/>
    </xf>
    <xf numFmtId="0" fontId="51" fillId="0" borderId="43" xfId="0" applyFont="1" applyBorder="1" applyAlignment="1" applyProtection="1">
      <alignment horizontal="center"/>
      <protection locked="0"/>
    </xf>
    <xf numFmtId="167" fontId="49" fillId="0" borderId="43" xfId="1801" applyFont="1" applyFill="1" applyBorder="1" applyAlignment="1" applyProtection="1">
      <alignment horizontal="right" vertical="center" wrapText="1"/>
      <protection locked="0"/>
    </xf>
    <xf numFmtId="169" fontId="49" fillId="0" borderId="43" xfId="1" applyFont="1" applyFill="1" applyBorder="1" applyAlignment="1" applyProtection="1">
      <alignment horizontal="right" vertical="center" wrapText="1"/>
      <protection locked="0"/>
    </xf>
    <xf numFmtId="170" fontId="49" fillId="0" borderId="43" xfId="1" applyNumberFormat="1" applyFont="1" applyFill="1" applyBorder="1" applyAlignment="1" applyProtection="1">
      <alignment horizontal="right" vertical="center" wrapText="1"/>
      <protection locked="0"/>
    </xf>
    <xf numFmtId="0" fontId="51" fillId="0" borderId="43" xfId="0" applyFont="1" applyBorder="1" applyAlignment="1" applyProtection="1">
      <alignment horizontal="center" vertical="center" wrapText="1"/>
      <protection locked="0"/>
    </xf>
    <xf numFmtId="170" fontId="51" fillId="0" borderId="43" xfId="1" applyNumberFormat="1" applyFont="1" applyBorder="1" applyAlignment="1" applyProtection="1">
      <alignment horizontal="center" wrapText="1"/>
      <protection locked="0"/>
    </xf>
    <xf numFmtId="0" fontId="51" fillId="0" borderId="43" xfId="0" applyFont="1" applyBorder="1" applyAlignment="1" applyProtection="1">
      <alignment vertical="center" wrapText="1"/>
      <protection locked="0"/>
    </xf>
    <xf numFmtId="0" fontId="51" fillId="0" borderId="43" xfId="0" applyFont="1" applyBorder="1" applyAlignment="1" applyProtection="1">
      <alignment wrapText="1"/>
      <protection locked="0"/>
    </xf>
    <xf numFmtId="182" fontId="10" fillId="54" borderId="43" xfId="0" applyNumberFormat="1" applyFont="1" applyFill="1" applyBorder="1" applyAlignment="1" applyProtection="1">
      <alignment horizontal="right" wrapText="1"/>
      <protection locked="0"/>
    </xf>
    <xf numFmtId="182" fontId="52" fillId="54" borderId="43" xfId="0" applyNumberFormat="1" applyFont="1" applyFill="1" applyBorder="1" applyAlignment="1" applyProtection="1">
      <alignment horizontal="right" wrapText="1"/>
      <protection locked="0"/>
    </xf>
    <xf numFmtId="182" fontId="10" fillId="2" borderId="43" xfId="0" applyNumberFormat="1" applyFont="1" applyFill="1" applyBorder="1" applyAlignment="1" applyProtection="1">
      <alignment wrapText="1"/>
      <protection locked="0"/>
    </xf>
    <xf numFmtId="0" fontId="51" fillId="0" borderId="0" xfId="0" applyFont="1" applyAlignment="1" applyProtection="1">
      <alignment wrapText="1"/>
      <protection locked="0"/>
    </xf>
    <xf numFmtId="0" fontId="57" fillId="0" borderId="0" xfId="0" applyFont="1" applyAlignment="1" applyProtection="1">
      <alignment wrapText="1"/>
      <protection locked="0"/>
    </xf>
    <xf numFmtId="182" fontId="64" fillId="0" borderId="0" xfId="0" applyNumberFormat="1" applyFont="1" applyAlignment="1" applyProtection="1">
      <alignment vertical="center" wrapText="1"/>
      <protection locked="0"/>
    </xf>
    <xf numFmtId="170" fontId="2" fillId="0" borderId="43" xfId="1" applyNumberFormat="1" applyFont="1" applyFill="1" applyBorder="1" applyAlignment="1">
      <alignment horizontal="center" vertical="center" wrapText="1"/>
    </xf>
    <xf numFmtId="187" fontId="2" fillId="0" borderId="43" xfId="1" applyNumberFormat="1" applyFont="1" applyFill="1" applyBorder="1" applyAlignment="1">
      <alignment horizontal="center" vertical="center" wrapText="1"/>
    </xf>
    <xf numFmtId="168" fontId="2" fillId="0" borderId="43" xfId="8" applyFont="1" applyFill="1" applyBorder="1" applyAlignment="1">
      <alignment horizontal="center" vertical="center" wrapText="1"/>
    </xf>
    <xf numFmtId="172" fontId="2" fillId="0" borderId="43" xfId="8" applyNumberFormat="1" applyFont="1" applyFill="1" applyBorder="1" applyAlignment="1">
      <alignment horizontal="center" vertical="center" wrapText="1"/>
    </xf>
    <xf numFmtId="0" fontId="48" fillId="0" borderId="11" xfId="0" applyFont="1" applyBorder="1" applyAlignment="1">
      <alignment vertical="center" wrapText="1"/>
    </xf>
    <xf numFmtId="9" fontId="48" fillId="0" borderId="11" xfId="0" applyNumberFormat="1" applyFont="1" applyBorder="1" applyAlignment="1">
      <alignment vertical="center" wrapText="1"/>
    </xf>
    <xf numFmtId="0" fontId="51" fillId="0" borderId="43" xfId="0" applyFont="1" applyBorder="1" applyAlignment="1">
      <alignment horizontal="left" vertical="center" wrapText="1"/>
    </xf>
    <xf numFmtId="0" fontId="84" fillId="0" borderId="43" xfId="0" applyFont="1" applyBorder="1" applyAlignment="1">
      <alignment horizontal="center" vertical="center" wrapText="1"/>
    </xf>
    <xf numFmtId="43" fontId="47" fillId="0" borderId="0" xfId="0" applyNumberFormat="1" applyFont="1" applyAlignment="1">
      <alignment vertical="center" wrapText="1"/>
    </xf>
    <xf numFmtId="183" fontId="48" fillId="54" borderId="43" xfId="0" applyNumberFormat="1" applyFont="1" applyFill="1" applyBorder="1" applyAlignment="1" applyProtection="1">
      <alignment horizontal="left" vertical="center" wrapText="1"/>
      <protection locked="0"/>
    </xf>
    <xf numFmtId="183" fontId="48" fillId="54" borderId="43" xfId="0" applyNumberFormat="1" applyFont="1" applyFill="1" applyBorder="1" applyAlignment="1" applyProtection="1">
      <alignment vertical="center" wrapText="1"/>
      <protection locked="0"/>
    </xf>
    <xf numFmtId="183" fontId="48" fillId="54" borderId="43" xfId="0" applyNumberFormat="1" applyFont="1" applyFill="1" applyBorder="1" applyAlignment="1">
      <alignment vertical="center" wrapText="1"/>
    </xf>
    <xf numFmtId="0" fontId="2" fillId="0" borderId="0" xfId="0" applyFont="1" applyAlignment="1">
      <alignment vertical="center" wrapText="1"/>
    </xf>
    <xf numFmtId="170" fontId="47" fillId="0" borderId="0" xfId="0" applyNumberFormat="1" applyFont="1" applyAlignment="1">
      <alignment vertical="center" wrapText="1"/>
    </xf>
    <xf numFmtId="170" fontId="2" fillId="0" borderId="43" xfId="1" applyNumberFormat="1" applyFont="1" applyBorder="1" applyAlignment="1">
      <alignment horizontal="center" vertical="center" wrapText="1"/>
    </xf>
    <xf numFmtId="170" fontId="2" fillId="0" borderId="43" xfId="1" applyNumberFormat="1" applyFont="1" applyFill="1" applyBorder="1" applyAlignment="1">
      <alignment horizontal="right" vertical="center" wrapText="1"/>
    </xf>
    <xf numFmtId="168" fontId="2" fillId="0" borderId="43" xfId="8" applyFont="1" applyBorder="1" applyAlignment="1">
      <alignment horizontal="center" vertical="center" wrapText="1"/>
    </xf>
    <xf numFmtId="172" fontId="2" fillId="0" borderId="43" xfId="8" applyNumberFormat="1" applyFont="1" applyBorder="1" applyAlignment="1">
      <alignment horizontal="center" vertical="center" wrapText="1"/>
    </xf>
    <xf numFmtId="170" fontId="85" fillId="0" borderId="43" xfId="1" applyNumberFormat="1" applyFont="1" applyBorder="1" applyAlignment="1">
      <alignment horizontal="center" vertical="center" wrapText="1"/>
    </xf>
    <xf numFmtId="0" fontId="51" fillId="0" borderId="43" xfId="0" applyFont="1" applyBorder="1" applyAlignment="1">
      <alignment horizontal="left" wrapText="1"/>
    </xf>
    <xf numFmtId="0" fontId="64" fillId="61" borderId="0" xfId="0" applyFont="1" applyFill="1" applyAlignment="1" applyProtection="1">
      <alignment vertical="center"/>
      <protection locked="0"/>
    </xf>
    <xf numFmtId="37" fontId="2" fillId="0" borderId="43" xfId="0" applyNumberFormat="1" applyFont="1" applyBorder="1" applyAlignment="1" applyProtection="1">
      <alignment vertical="center" wrapText="1"/>
      <protection locked="0"/>
    </xf>
    <xf numFmtId="0" fontId="57" fillId="0" borderId="43" xfId="0" applyFont="1" applyBorder="1" applyAlignment="1" applyProtection="1">
      <alignment horizontal="center" vertical="center" wrapText="1"/>
      <protection locked="0"/>
    </xf>
    <xf numFmtId="170" fontId="2" fillId="0" borderId="43" xfId="1" applyNumberFormat="1" applyFont="1" applyFill="1" applyBorder="1" applyAlignment="1" applyProtection="1">
      <alignment horizontal="center" vertical="center" wrapText="1"/>
      <protection locked="0"/>
    </xf>
    <xf numFmtId="170" fontId="2" fillId="0" borderId="43" xfId="1" applyNumberFormat="1" applyFont="1" applyFill="1" applyBorder="1" applyAlignment="1" applyProtection="1">
      <alignment vertical="center" wrapText="1"/>
      <protection locked="0"/>
    </xf>
    <xf numFmtId="169" fontId="2" fillId="0" borderId="43" xfId="1" applyFont="1" applyFill="1" applyBorder="1" applyAlignment="1" applyProtection="1">
      <alignment horizontal="center" vertical="center" wrapText="1"/>
      <protection locked="0"/>
    </xf>
    <xf numFmtId="37" fontId="61" fillId="0" borderId="43" xfId="0" applyNumberFormat="1" applyFont="1" applyBorder="1" applyAlignment="1" applyProtection="1">
      <alignment horizontal="left" vertical="center" wrapText="1"/>
      <protection locked="0"/>
    </xf>
    <xf numFmtId="37" fontId="61" fillId="0" borderId="43" xfId="0" applyNumberFormat="1" applyFont="1" applyBorder="1" applyAlignment="1" applyProtection="1">
      <alignment horizontal="center" vertical="center" wrapText="1"/>
      <protection locked="0"/>
    </xf>
    <xf numFmtId="169" fontId="61" fillId="0" borderId="43" xfId="1" applyFont="1" applyFill="1" applyBorder="1" applyAlignment="1" applyProtection="1">
      <alignment horizontal="right" vertical="center" wrapText="1"/>
      <protection locked="0"/>
    </xf>
    <xf numFmtId="9" fontId="64" fillId="0" borderId="0" xfId="1804" applyFont="1" applyAlignment="1" applyProtection="1">
      <alignment vertical="center"/>
      <protection locked="0"/>
    </xf>
    <xf numFmtId="37" fontId="66" fillId="0" borderId="43" xfId="0" applyNumberFormat="1" applyFont="1" applyBorder="1" applyAlignment="1" applyProtection="1">
      <alignment horizontal="center" vertical="center" wrapText="1"/>
      <protection locked="0"/>
    </xf>
    <xf numFmtId="182" fontId="61" fillId="61" borderId="43" xfId="1" applyNumberFormat="1" applyFont="1" applyFill="1" applyBorder="1" applyAlignment="1" applyProtection="1">
      <alignment horizontal="right" vertical="center" wrapText="1"/>
      <protection locked="0"/>
    </xf>
    <xf numFmtId="9" fontId="57" fillId="61" borderId="0" xfId="0" applyNumberFormat="1" applyFont="1" applyFill="1" applyAlignment="1" applyProtection="1">
      <alignment vertical="center"/>
      <protection locked="0"/>
    </xf>
    <xf numFmtId="42" fontId="86" fillId="0" borderId="0" xfId="1803" applyFont="1" applyFill="1" applyBorder="1" applyAlignment="1" applyProtection="1">
      <alignment horizontal="right" vertical="center" wrapText="1"/>
    </xf>
    <xf numFmtId="0" fontId="57" fillId="0" borderId="45" xfId="0" applyFont="1" applyBorder="1" applyAlignment="1">
      <alignment horizontal="left" vertical="center"/>
    </xf>
    <xf numFmtId="183" fontId="57" fillId="0" borderId="0" xfId="1804" applyNumberFormat="1" applyFont="1" applyAlignment="1" applyProtection="1">
      <alignment vertical="center"/>
      <protection locked="0"/>
    </xf>
    <xf numFmtId="164" fontId="0" fillId="0" borderId="0" xfId="0" applyNumberFormat="1"/>
    <xf numFmtId="164" fontId="61" fillId="0" borderId="43" xfId="1803" applyNumberFormat="1" applyFont="1" applyFill="1" applyBorder="1" applyAlignment="1" applyProtection="1">
      <alignment horizontal="right" vertical="center" wrapText="1"/>
    </xf>
    <xf numFmtId="6" fontId="64" fillId="0" borderId="0" xfId="0" applyNumberFormat="1" applyFont="1" applyAlignment="1" applyProtection="1">
      <alignment vertical="center" wrapText="1"/>
      <protection locked="0"/>
    </xf>
    <xf numFmtId="183" fontId="47" fillId="0" borderId="0" xfId="0" applyNumberFormat="1" applyFont="1" applyAlignment="1">
      <alignment vertical="center" wrapText="1"/>
    </xf>
    <xf numFmtId="168" fontId="57" fillId="0" borderId="0" xfId="8" applyFont="1" applyProtection="1">
      <protection locked="0"/>
    </xf>
    <xf numFmtId="183" fontId="66" fillId="60" borderId="43" xfId="0" applyNumberFormat="1" applyFont="1" applyFill="1" applyBorder="1" applyAlignment="1" applyProtection="1">
      <alignment horizontal="center" vertical="center" wrapText="1"/>
      <protection locked="0"/>
    </xf>
    <xf numFmtId="183" fontId="64" fillId="60" borderId="43" xfId="0" applyNumberFormat="1" applyFont="1" applyFill="1" applyBorder="1" applyAlignment="1" applyProtection="1">
      <alignment horizontal="center"/>
      <protection locked="0"/>
    </xf>
    <xf numFmtId="1" fontId="64" fillId="60" borderId="43" xfId="0" applyNumberFormat="1" applyFont="1" applyFill="1" applyBorder="1" applyAlignment="1" applyProtection="1">
      <alignment horizontal="center"/>
      <protection locked="0"/>
    </xf>
    <xf numFmtId="183" fontId="66" fillId="60" borderId="43" xfId="1801" applyNumberFormat="1" applyFont="1" applyFill="1" applyBorder="1" applyAlignment="1" applyProtection="1">
      <alignment horizontal="right" vertical="center" wrapText="1"/>
      <protection locked="0"/>
    </xf>
    <xf numFmtId="183" fontId="66" fillId="60" borderId="43" xfId="1" applyNumberFormat="1" applyFont="1" applyFill="1" applyBorder="1" applyAlignment="1" applyProtection="1">
      <alignment horizontal="right" vertical="center" wrapText="1"/>
    </xf>
    <xf numFmtId="183" fontId="64" fillId="60" borderId="43" xfId="0" applyNumberFormat="1" applyFont="1" applyFill="1" applyBorder="1" applyAlignment="1" applyProtection="1">
      <alignment horizontal="center" wrapText="1"/>
      <protection locked="0"/>
    </xf>
    <xf numFmtId="0" fontId="58" fillId="0" borderId="56" xfId="0" applyFont="1" applyBorder="1" applyAlignment="1">
      <alignment vertical="center" wrapText="1"/>
    </xf>
    <xf numFmtId="0" fontId="57" fillId="0" borderId="38" xfId="0" applyFont="1" applyBorder="1" applyAlignment="1">
      <alignment vertical="center"/>
    </xf>
    <xf numFmtId="0" fontId="57" fillId="0" borderId="45" xfId="0" applyFont="1" applyBorder="1" applyAlignment="1">
      <alignment vertical="center"/>
    </xf>
    <xf numFmtId="0" fontId="57" fillId="0" borderId="46" xfId="0" applyFont="1" applyBorder="1" applyAlignment="1">
      <alignment vertical="center"/>
    </xf>
    <xf numFmtId="0" fontId="58" fillId="0" borderId="43" xfId="0" applyFont="1" applyBorder="1" applyAlignment="1">
      <alignment vertical="center"/>
    </xf>
    <xf numFmtId="49" fontId="57" fillId="0" borderId="43" xfId="0" applyNumberFormat="1" applyFont="1" applyBorder="1" applyAlignment="1">
      <alignment vertical="center"/>
    </xf>
    <xf numFmtId="0" fontId="58" fillId="0" borderId="54" xfId="0" applyFont="1" applyBorder="1" applyAlignment="1">
      <alignment vertical="center" wrapText="1"/>
    </xf>
    <xf numFmtId="0" fontId="57" fillId="0" borderId="54" xfId="0" applyFont="1" applyBorder="1" applyAlignment="1">
      <alignment vertical="center" wrapText="1"/>
    </xf>
    <xf numFmtId="0" fontId="58" fillId="3" borderId="43" xfId="0" applyFont="1" applyFill="1" applyBorder="1" applyAlignment="1">
      <alignment vertical="center"/>
    </xf>
    <xf numFmtId="0" fontId="61" fillId="0" borderId="0" xfId="0" applyFont="1" applyAlignment="1">
      <alignment vertical="center" wrapText="1"/>
    </xf>
    <xf numFmtId="0" fontId="59" fillId="0" borderId="0" xfId="0" applyFont="1" applyAlignment="1">
      <alignment horizontal="center" vertical="center" wrapText="1"/>
    </xf>
    <xf numFmtId="164" fontId="60" fillId="0" borderId="0" xfId="1803" applyNumberFormat="1" applyFont="1" applyFill="1" applyBorder="1" applyAlignment="1" applyProtection="1">
      <alignment horizontal="right" vertical="center" wrapText="1"/>
    </xf>
    <xf numFmtId="164" fontId="59" fillId="0" borderId="0" xfId="1803" applyNumberFormat="1" applyFont="1" applyFill="1" applyBorder="1" applyAlignment="1" applyProtection="1">
      <alignment horizontal="right" vertical="center" wrapText="1"/>
    </xf>
    <xf numFmtId="0" fontId="59" fillId="0" borderId="0" xfId="0" applyFont="1" applyAlignment="1">
      <alignment horizontal="left" vertical="center" wrapText="1"/>
    </xf>
    <xf numFmtId="0" fontId="61" fillId="0" borderId="0" xfId="0" applyFont="1" applyAlignment="1">
      <alignment horizontal="left" vertical="center" wrapText="1"/>
    </xf>
    <xf numFmtId="0" fontId="57" fillId="0" borderId="0" xfId="0" applyFont="1" applyAlignment="1">
      <alignment horizontal="left" vertical="center" wrapText="1"/>
    </xf>
    <xf numFmtId="0" fontId="61" fillId="0" borderId="0" xfId="0" applyFont="1" applyAlignment="1">
      <alignment vertical="center" wrapText="1" readingOrder="1"/>
    </xf>
    <xf numFmtId="0" fontId="60" fillId="0" borderId="0" xfId="0" applyFont="1" applyAlignment="1">
      <alignment horizontal="center" vertical="center" wrapText="1"/>
    </xf>
    <xf numFmtId="0" fontId="59" fillId="0" borderId="0" xfId="0" applyFont="1" applyAlignment="1">
      <alignment vertical="center" wrapText="1" readingOrder="1"/>
    </xf>
    <xf numFmtId="164" fontId="58" fillId="0" borderId="0" xfId="1803" applyNumberFormat="1" applyFont="1" applyFill="1" applyBorder="1" applyAlignment="1" applyProtection="1">
      <alignment horizontal="right" vertical="center" wrapText="1"/>
    </xf>
    <xf numFmtId="164" fontId="59" fillId="0" borderId="0" xfId="1803" applyNumberFormat="1" applyFont="1" applyFill="1" applyBorder="1" applyAlignment="1" applyProtection="1">
      <alignment horizontal="right" vertical="center"/>
    </xf>
    <xf numFmtId="0" fontId="57" fillId="0" borderId="0" xfId="0" applyFont="1" applyAlignment="1">
      <alignment horizontal="left" vertical="center"/>
    </xf>
    <xf numFmtId="0" fontId="57" fillId="0" borderId="0" xfId="0" applyFont="1" applyAlignment="1">
      <alignment vertical="center" wrapText="1"/>
    </xf>
    <xf numFmtId="0" fontId="59" fillId="4" borderId="73" xfId="0" applyFont="1" applyFill="1" applyBorder="1" applyAlignment="1">
      <alignment horizontal="center" vertical="center" wrapText="1"/>
    </xf>
    <xf numFmtId="0" fontId="59" fillId="4" borderId="75" xfId="0" applyFont="1" applyFill="1" applyBorder="1" applyAlignment="1">
      <alignment horizontal="center" vertical="center" wrapText="1"/>
    </xf>
    <xf numFmtId="164" fontId="57" fillId="4" borderId="12" xfId="1803" applyNumberFormat="1" applyFont="1" applyFill="1" applyBorder="1" applyAlignment="1" applyProtection="1">
      <alignment horizontal="right" vertical="center"/>
    </xf>
    <xf numFmtId="188" fontId="60" fillId="57" borderId="7" xfId="8" applyNumberFormat="1" applyFont="1" applyFill="1" applyBorder="1" applyAlignment="1" applyProtection="1">
      <alignment horizontal="right" vertical="center" wrapText="1"/>
    </xf>
    <xf numFmtId="188" fontId="59" fillId="58" borderId="43" xfId="8" applyNumberFormat="1" applyFont="1" applyFill="1" applyBorder="1" applyAlignment="1" applyProtection="1">
      <alignment horizontal="right" vertical="center" wrapText="1"/>
    </xf>
    <xf numFmtId="188" fontId="60" fillId="57" borderId="43" xfId="8" applyNumberFormat="1" applyFont="1" applyFill="1" applyBorder="1" applyAlignment="1" applyProtection="1">
      <alignment horizontal="right" vertical="center" wrapText="1"/>
    </xf>
    <xf numFmtId="188" fontId="60" fillId="55" borderId="43" xfId="8" applyNumberFormat="1" applyFont="1" applyFill="1" applyBorder="1" applyAlignment="1" applyProtection="1">
      <alignment horizontal="right" vertical="center" wrapText="1"/>
    </xf>
    <xf numFmtId="188" fontId="59" fillId="58" borderId="43" xfId="8" applyNumberFormat="1" applyFont="1" applyFill="1" applyBorder="1" applyAlignment="1" applyProtection="1">
      <alignment horizontal="right" vertical="center" wrapText="1" readingOrder="1"/>
    </xf>
    <xf numFmtId="188" fontId="61" fillId="4" borderId="43" xfId="8" applyNumberFormat="1" applyFont="1" applyFill="1" applyBorder="1" applyAlignment="1" applyProtection="1">
      <alignment horizontal="right" vertical="center" wrapText="1"/>
    </xf>
    <xf numFmtId="188" fontId="61" fillId="4" borderId="74" xfId="8" applyNumberFormat="1" applyFont="1" applyFill="1" applyBorder="1" applyAlignment="1" applyProtection="1">
      <alignment horizontal="right" vertical="center" wrapText="1"/>
    </xf>
    <xf numFmtId="188" fontId="58" fillId="58" borderId="43" xfId="8" applyNumberFormat="1" applyFont="1" applyFill="1" applyBorder="1" applyAlignment="1" applyProtection="1">
      <alignment horizontal="right" vertical="center" wrapText="1"/>
    </xf>
    <xf numFmtId="188" fontId="59" fillId="58" borderId="43" xfId="8" applyNumberFormat="1" applyFont="1" applyFill="1" applyBorder="1" applyAlignment="1" applyProtection="1">
      <alignment horizontal="right" vertical="center"/>
    </xf>
    <xf numFmtId="188" fontId="59" fillId="4" borderId="43" xfId="8" applyNumberFormat="1" applyFont="1" applyFill="1" applyBorder="1" applyAlignment="1">
      <alignment horizontal="right" vertical="center" wrapText="1"/>
    </xf>
    <xf numFmtId="188" fontId="61" fillId="0" borderId="43" xfId="8" applyNumberFormat="1" applyFont="1" applyBorder="1" applyAlignment="1">
      <alignment horizontal="right" vertical="center" wrapText="1"/>
    </xf>
    <xf numFmtId="188" fontId="57" fillId="0" borderId="43" xfId="8" applyNumberFormat="1" applyFont="1" applyBorder="1" applyAlignment="1">
      <alignment horizontal="right" vertical="center" wrapText="1"/>
    </xf>
    <xf numFmtId="188" fontId="61" fillId="4" borderId="43" xfId="8" applyNumberFormat="1" applyFont="1" applyFill="1" applyBorder="1" applyAlignment="1">
      <alignment horizontal="right" vertical="center" wrapText="1"/>
    </xf>
    <xf numFmtId="188" fontId="61" fillId="0" borderId="43" xfId="8" applyNumberFormat="1" applyFont="1" applyBorder="1" applyAlignment="1">
      <alignment horizontal="right" vertical="center" wrapText="1" readingOrder="1"/>
    </xf>
    <xf numFmtId="188" fontId="61" fillId="0" borderId="52" xfId="8" applyNumberFormat="1" applyFont="1" applyBorder="1" applyAlignment="1">
      <alignment horizontal="right" vertical="center" wrapText="1"/>
    </xf>
    <xf numFmtId="188" fontId="61" fillId="0" borderId="43" xfId="8" applyNumberFormat="1" applyFont="1" applyFill="1" applyBorder="1" applyAlignment="1">
      <alignment horizontal="right" vertical="center" wrapText="1" readingOrder="1"/>
    </xf>
    <xf numFmtId="188" fontId="61" fillId="0" borderId="43" xfId="8" applyNumberFormat="1" applyFont="1" applyFill="1" applyBorder="1" applyAlignment="1">
      <alignment horizontal="right" vertical="center" wrapText="1"/>
    </xf>
    <xf numFmtId="188" fontId="59" fillId="4" borderId="43" xfId="8" applyNumberFormat="1" applyFont="1" applyFill="1" applyBorder="1" applyAlignment="1">
      <alignment horizontal="right" vertical="center" wrapText="1" readingOrder="1"/>
    </xf>
    <xf numFmtId="169" fontId="59" fillId="0" borderId="0" xfId="1" applyFont="1" applyAlignment="1">
      <alignment vertical="center" wrapText="1" readingOrder="1"/>
    </xf>
    <xf numFmtId="170" fontId="59" fillId="0" borderId="0" xfId="1" applyNumberFormat="1" applyFont="1" applyAlignment="1">
      <alignment vertical="center" wrapText="1" readingOrder="1"/>
    </xf>
    <xf numFmtId="188" fontId="59" fillId="0" borderId="0" xfId="0" applyNumberFormat="1" applyFont="1" applyAlignment="1">
      <alignment vertical="center" wrapText="1" readingOrder="1"/>
    </xf>
    <xf numFmtId="183" fontId="57" fillId="0" borderId="0" xfId="0" applyNumberFormat="1" applyFont="1" applyAlignment="1" applyProtection="1">
      <alignment vertical="center"/>
      <protection locked="0"/>
    </xf>
    <xf numFmtId="169" fontId="57" fillId="0" borderId="0" xfId="1" applyFont="1" applyAlignment="1" applyProtection="1">
      <alignment vertical="center"/>
      <protection locked="0"/>
    </xf>
    <xf numFmtId="168" fontId="58" fillId="0" borderId="0" xfId="8" applyFont="1" applyAlignment="1" applyProtection="1">
      <alignment vertical="center"/>
      <protection locked="0"/>
    </xf>
    <xf numFmtId="9" fontId="58" fillId="0" borderId="0" xfId="1804" applyFont="1" applyAlignment="1" applyProtection="1">
      <alignment horizontal="center" vertical="center"/>
      <protection locked="0"/>
    </xf>
    <xf numFmtId="0" fontId="57" fillId="0" borderId="0" xfId="0" applyFont="1" applyAlignment="1" applyProtection="1">
      <alignment horizontal="left" vertical="center"/>
      <protection locked="0"/>
    </xf>
    <xf numFmtId="0" fontId="57" fillId="0" borderId="0" xfId="0" applyFont="1" applyAlignment="1" applyProtection="1">
      <alignment horizontal="right" vertical="center"/>
      <protection locked="0"/>
    </xf>
    <xf numFmtId="189" fontId="60" fillId="57" borderId="7" xfId="0" applyNumberFormat="1" applyFont="1" applyFill="1" applyBorder="1" applyAlignment="1">
      <alignment horizontal="center" vertical="center" wrapText="1"/>
    </xf>
    <xf numFmtId="189" fontId="59" fillId="58" borderId="43" xfId="0" applyNumberFormat="1" applyFont="1" applyFill="1" applyBorder="1" applyAlignment="1">
      <alignment vertical="center" wrapText="1"/>
    </xf>
    <xf numFmtId="189" fontId="59" fillId="4" borderId="43" xfId="0" applyNumberFormat="1" applyFont="1" applyFill="1" applyBorder="1" applyAlignment="1">
      <alignment horizontal="right" vertical="center"/>
    </xf>
    <xf numFmtId="189" fontId="61" fillId="4" borderId="43" xfId="0" applyNumberFormat="1" applyFont="1" applyFill="1" applyBorder="1" applyAlignment="1">
      <alignment horizontal="right" vertical="center"/>
    </xf>
    <xf numFmtId="189" fontId="57" fillId="0" borderId="43" xfId="0" applyNumberFormat="1" applyFont="1" applyBorder="1" applyAlignment="1">
      <alignment horizontal="right" vertical="center"/>
    </xf>
    <xf numFmtId="189" fontId="61" fillId="0" borderId="43" xfId="0" applyNumberFormat="1" applyFont="1" applyBorder="1" applyAlignment="1">
      <alignment horizontal="right" vertical="center"/>
    </xf>
    <xf numFmtId="189" fontId="60" fillId="57" borderId="43" xfId="1803" applyNumberFormat="1" applyFont="1" applyFill="1" applyBorder="1" applyAlignment="1" applyProtection="1">
      <alignment horizontal="right" vertical="center" wrapText="1"/>
    </xf>
    <xf numFmtId="189" fontId="60" fillId="55" borderId="43" xfId="0" applyNumberFormat="1" applyFont="1" applyFill="1" applyBorder="1" applyAlignment="1">
      <alignment vertical="center" wrapText="1"/>
    </xf>
    <xf numFmtId="170" fontId="59" fillId="0" borderId="0" xfId="0" applyNumberFormat="1" applyFont="1" applyAlignment="1">
      <alignment vertical="center" wrapText="1" readingOrder="1"/>
    </xf>
    <xf numFmtId="0" fontId="60" fillId="57" borderId="7" xfId="0" applyFont="1" applyFill="1" applyBorder="1" applyAlignment="1">
      <alignment horizontal="left" vertical="center" wrapText="1"/>
    </xf>
    <xf numFmtId="0" fontId="59" fillId="58" borderId="43" xfId="0" applyFont="1" applyFill="1" applyBorder="1" applyAlignment="1">
      <alignment horizontal="left" vertical="center" wrapText="1"/>
    </xf>
    <xf numFmtId="0" fontId="61" fillId="4" borderId="43" xfId="0" applyFont="1" applyFill="1" applyBorder="1" applyAlignment="1">
      <alignment horizontal="left" vertical="center" wrapText="1"/>
    </xf>
    <xf numFmtId="0" fontId="60" fillId="57" borderId="43" xfId="0" applyFont="1" applyFill="1" applyBorder="1" applyAlignment="1">
      <alignment horizontal="left" vertical="center" wrapText="1"/>
    </xf>
    <xf numFmtId="0" fontId="60" fillId="55" borderId="43" xfId="0" applyFont="1" applyFill="1" applyBorder="1" applyAlignment="1">
      <alignment horizontal="left" vertical="center" wrapText="1"/>
    </xf>
    <xf numFmtId="0" fontId="61" fillId="0" borderId="43" xfId="0" applyFont="1" applyBorder="1" applyAlignment="1">
      <alignment horizontal="left" vertical="center" wrapText="1" readingOrder="1"/>
    </xf>
    <xf numFmtId="0" fontId="61" fillId="0" borderId="52" xfId="0" applyFont="1" applyBorder="1" applyAlignment="1">
      <alignment horizontal="left" vertical="center" wrapText="1"/>
    </xf>
    <xf numFmtId="0" fontId="59" fillId="58" borderId="43" xfId="0" applyFont="1" applyFill="1" applyBorder="1" applyAlignment="1">
      <alignment horizontal="left" vertical="center" wrapText="1" readingOrder="1"/>
    </xf>
    <xf numFmtId="0" fontId="59" fillId="4" borderId="43" xfId="0" applyFont="1" applyFill="1" applyBorder="1" applyAlignment="1">
      <alignment horizontal="left" vertical="center" wrapText="1" readingOrder="1"/>
    </xf>
    <xf numFmtId="0" fontId="60" fillId="57" borderId="43" xfId="0" applyFont="1" applyFill="1" applyBorder="1" applyAlignment="1">
      <alignment horizontal="left" vertical="center" wrapText="1" readingOrder="1"/>
    </xf>
    <xf numFmtId="0" fontId="59" fillId="0" borderId="0" xfId="0" applyFont="1" applyAlignment="1">
      <alignment horizontal="center" vertical="center" wrapText="1" readingOrder="1"/>
    </xf>
    <xf numFmtId="0" fontId="63" fillId="2" borderId="0" xfId="0" applyFont="1" applyFill="1" applyAlignment="1" applyProtection="1">
      <alignment horizontal="center" vertical="center" wrapText="1"/>
      <protection locked="0"/>
    </xf>
    <xf numFmtId="0" fontId="63" fillId="54" borderId="0" xfId="0" applyFont="1" applyFill="1" applyAlignment="1" applyProtection="1">
      <alignment horizontal="center" vertical="center" wrapText="1"/>
      <protection locked="0"/>
    </xf>
    <xf numFmtId="0" fontId="63" fillId="3" borderId="0" xfId="0" applyFont="1" applyFill="1" applyAlignment="1" applyProtection="1">
      <alignment horizontal="center" vertical="center" wrapText="1"/>
      <protection locked="0"/>
    </xf>
    <xf numFmtId="182" fontId="65" fillId="54" borderId="0" xfId="0" applyNumberFormat="1" applyFont="1" applyFill="1" applyAlignment="1">
      <alignment horizontal="right" vertical="center" wrapText="1"/>
    </xf>
    <xf numFmtId="182" fontId="63" fillId="3" borderId="0" xfId="0" applyNumberFormat="1" applyFont="1" applyFill="1" applyAlignment="1" applyProtection="1">
      <alignment horizontal="center" vertical="center" wrapText="1"/>
      <protection locked="0"/>
    </xf>
    <xf numFmtId="182" fontId="63" fillId="54" borderId="0" xfId="0" applyNumberFormat="1" applyFont="1" applyFill="1" applyAlignment="1">
      <alignment horizontal="right" vertical="center" wrapText="1"/>
    </xf>
    <xf numFmtId="182" fontId="65" fillId="2" borderId="0" xfId="0" applyNumberFormat="1" applyFont="1" applyFill="1" applyAlignment="1" applyProtection="1">
      <alignment vertical="center" wrapText="1"/>
      <protection locked="0"/>
    </xf>
    <xf numFmtId="0" fontId="64" fillId="0" borderId="0" xfId="0" applyFont="1" applyAlignment="1" applyProtection="1">
      <alignment horizontal="right" vertical="center" wrapText="1"/>
      <protection locked="0"/>
    </xf>
    <xf numFmtId="9" fontId="61" fillId="0" borderId="0" xfId="1804" applyFont="1" applyAlignment="1">
      <alignment vertical="center"/>
    </xf>
    <xf numFmtId="182" fontId="90" fillId="0" borderId="0" xfId="0" applyNumberFormat="1" applyFont="1" applyAlignment="1" applyProtection="1">
      <alignment vertical="center" wrapText="1"/>
      <protection locked="0"/>
    </xf>
    <xf numFmtId="182" fontId="90" fillId="61" borderId="0" xfId="0" applyNumberFormat="1" applyFont="1" applyFill="1" applyAlignment="1" applyProtection="1">
      <alignment vertical="center" wrapText="1"/>
      <protection locked="0"/>
    </xf>
    <xf numFmtId="188" fontId="61" fillId="4" borderId="43" xfId="0" applyNumberFormat="1" applyFont="1" applyFill="1" applyBorder="1" applyAlignment="1">
      <alignment horizontal="right" vertical="center"/>
    </xf>
    <xf numFmtId="188" fontId="59" fillId="58" borderId="43" xfId="0" applyNumberFormat="1" applyFont="1" applyFill="1" applyBorder="1" applyAlignment="1">
      <alignment vertical="center" wrapText="1"/>
    </xf>
    <xf numFmtId="188" fontId="61" fillId="4" borderId="43" xfId="0" applyNumberFormat="1" applyFont="1" applyFill="1" applyBorder="1" applyAlignment="1">
      <alignment vertical="center" wrapText="1"/>
    </xf>
    <xf numFmtId="188" fontId="60" fillId="55" borderId="43" xfId="0" applyNumberFormat="1" applyFont="1" applyFill="1" applyBorder="1" applyAlignment="1">
      <alignment vertical="center" wrapText="1"/>
    </xf>
    <xf numFmtId="188" fontId="59" fillId="4" borderId="43" xfId="0" applyNumberFormat="1" applyFont="1" applyFill="1" applyBorder="1" applyAlignment="1">
      <alignment horizontal="right" vertical="center"/>
    </xf>
    <xf numFmtId="188" fontId="59" fillId="4" borderId="43" xfId="0" applyNumberFormat="1" applyFont="1" applyFill="1" applyBorder="1" applyAlignment="1">
      <alignment horizontal="right" vertical="center" wrapText="1"/>
    </xf>
    <xf numFmtId="188" fontId="61" fillId="4" borderId="43" xfId="0" applyNumberFormat="1" applyFont="1" applyFill="1" applyBorder="1" applyAlignment="1">
      <alignment horizontal="right" vertical="center" wrapText="1"/>
    </xf>
    <xf numFmtId="188" fontId="60" fillId="57" borderId="43" xfId="0" applyNumberFormat="1" applyFont="1" applyFill="1" applyBorder="1" applyAlignment="1">
      <alignment horizontal="center" vertical="center" wrapText="1"/>
    </xf>
    <xf numFmtId="188" fontId="59" fillId="58" borderId="43" xfId="0" applyNumberFormat="1" applyFont="1" applyFill="1" applyBorder="1" applyAlignment="1">
      <alignment vertical="center" wrapText="1" readingOrder="1"/>
    </xf>
    <xf numFmtId="188" fontId="58" fillId="58" borderId="43" xfId="0" applyNumberFormat="1" applyFont="1" applyFill="1" applyBorder="1" applyAlignment="1">
      <alignment horizontal="center" vertical="center" wrapText="1"/>
    </xf>
    <xf numFmtId="188" fontId="57" fillId="0" borderId="43" xfId="0" applyNumberFormat="1" applyFont="1" applyBorder="1" applyAlignment="1">
      <alignment horizontal="center" vertical="center" wrapText="1"/>
    </xf>
    <xf numFmtId="188" fontId="61" fillId="58" borderId="43" xfId="0" applyNumberFormat="1" applyFont="1" applyFill="1" applyBorder="1" applyAlignment="1">
      <alignment horizontal="right" vertical="center"/>
    </xf>
    <xf numFmtId="188" fontId="60" fillId="57" borderId="43" xfId="0" applyNumberFormat="1" applyFont="1" applyFill="1" applyBorder="1" applyAlignment="1">
      <alignment horizontal="right" vertical="center" wrapText="1"/>
    </xf>
    <xf numFmtId="188" fontId="62" fillId="4" borderId="43" xfId="0" applyNumberFormat="1" applyFont="1" applyFill="1" applyBorder="1" applyAlignment="1">
      <alignment horizontal="right" vertical="center"/>
    </xf>
    <xf numFmtId="182" fontId="66" fillId="0" borderId="0" xfId="0" applyNumberFormat="1" applyFont="1" applyAlignment="1">
      <alignment horizontal="right" vertical="center" wrapText="1"/>
    </xf>
    <xf numFmtId="182" fontId="65" fillId="62" borderId="0" xfId="0" applyNumberFormat="1" applyFont="1" applyFill="1" applyAlignment="1" applyProtection="1">
      <alignment vertical="center" wrapText="1"/>
      <protection locked="0"/>
    </xf>
    <xf numFmtId="182" fontId="64" fillId="61" borderId="0" xfId="0" applyNumberFormat="1" applyFont="1" applyFill="1" applyAlignment="1" applyProtection="1">
      <alignment vertical="center"/>
      <protection locked="0"/>
    </xf>
    <xf numFmtId="182" fontId="90" fillId="61" borderId="0" xfId="0" applyNumberFormat="1" applyFont="1" applyFill="1" applyAlignment="1" applyProtection="1">
      <alignment vertical="center"/>
      <protection locked="0"/>
    </xf>
    <xf numFmtId="182" fontId="65" fillId="0" borderId="0" xfId="0" applyNumberFormat="1" applyFont="1" applyAlignment="1" applyProtection="1">
      <alignment vertical="center"/>
      <protection locked="0"/>
    </xf>
    <xf numFmtId="182" fontId="65" fillId="58" borderId="0" xfId="0" applyNumberFormat="1" applyFont="1" applyFill="1" applyAlignment="1" applyProtection="1">
      <alignment vertical="center" wrapText="1"/>
      <protection locked="0"/>
    </xf>
    <xf numFmtId="0" fontId="59" fillId="56" borderId="0" xfId="0" applyFont="1" applyFill="1" applyAlignment="1" applyProtection="1">
      <alignment horizontal="center" vertical="center" wrapText="1"/>
      <protection locked="0"/>
    </xf>
    <xf numFmtId="0" fontId="59" fillId="3" borderId="0" xfId="0" applyFont="1" applyFill="1" applyAlignment="1" applyProtection="1">
      <alignment horizontal="center" vertical="center" wrapText="1"/>
      <protection locked="0"/>
    </xf>
    <xf numFmtId="182" fontId="64" fillId="58" borderId="0" xfId="0" applyNumberFormat="1" applyFont="1" applyFill="1" applyAlignment="1" applyProtection="1">
      <alignment vertical="center" wrapText="1"/>
      <protection locked="0"/>
    </xf>
    <xf numFmtId="169" fontId="57" fillId="0" borderId="0" xfId="1" applyFont="1" applyAlignment="1">
      <alignment vertical="center"/>
    </xf>
    <xf numFmtId="43" fontId="57" fillId="0" borderId="0" xfId="0" applyNumberFormat="1" applyFont="1" applyAlignment="1">
      <alignment vertical="center"/>
    </xf>
    <xf numFmtId="169" fontId="57" fillId="0" borderId="16" xfId="1" applyFont="1" applyFill="1" applyBorder="1" applyAlignment="1">
      <alignment horizontal="right"/>
    </xf>
    <xf numFmtId="169" fontId="58" fillId="0" borderId="16" xfId="1" applyFont="1" applyFill="1" applyBorder="1" applyAlignment="1">
      <alignment horizontal="right"/>
    </xf>
    <xf numFmtId="169" fontId="72" fillId="57" borderId="18" xfId="1" applyFont="1" applyFill="1" applyBorder="1" applyAlignment="1">
      <alignment horizontal="center" vertical="center"/>
    </xf>
    <xf numFmtId="169" fontId="57" fillId="0" borderId="0" xfId="0" applyNumberFormat="1" applyFont="1" applyAlignment="1">
      <alignment vertical="center"/>
    </xf>
    <xf numFmtId="183" fontId="2" fillId="0" borderId="0" xfId="0" applyNumberFormat="1" applyFont="1" applyAlignment="1">
      <alignment vertical="center" wrapText="1"/>
    </xf>
    <xf numFmtId="169" fontId="47" fillId="0" borderId="0" xfId="1" applyFont="1" applyAlignment="1">
      <alignment vertical="center" wrapText="1"/>
    </xf>
    <xf numFmtId="169" fontId="2" fillId="0" borderId="0" xfId="1" applyFont="1" applyAlignment="1">
      <alignment vertical="center" wrapText="1"/>
    </xf>
    <xf numFmtId="43" fontId="47" fillId="0" borderId="0" xfId="0" applyNumberFormat="1" applyFont="1"/>
    <xf numFmtId="43" fontId="85" fillId="0" borderId="0" xfId="0" applyNumberFormat="1" applyFont="1"/>
    <xf numFmtId="183" fontId="85" fillId="0" borderId="0" xfId="0" applyNumberFormat="1" applyFont="1" applyAlignment="1">
      <alignment vertical="center"/>
    </xf>
    <xf numFmtId="0" fontId="62" fillId="58" borderId="0" xfId="0" applyFont="1" applyFill="1" applyAlignment="1">
      <alignment vertical="center"/>
    </xf>
    <xf numFmtId="189" fontId="90" fillId="0" borderId="0" xfId="0" applyNumberFormat="1" applyFont="1" applyAlignment="1" applyProtection="1">
      <alignment vertical="center" wrapText="1"/>
      <protection locked="0"/>
    </xf>
    <xf numFmtId="182" fontId="57" fillId="0" borderId="0" xfId="0" applyNumberFormat="1" applyFont="1" applyAlignment="1" applyProtection="1">
      <alignment vertical="center" wrapText="1"/>
      <protection locked="0"/>
    </xf>
    <xf numFmtId="182" fontId="58" fillId="54" borderId="0" xfId="0" applyNumberFormat="1" applyFont="1" applyFill="1" applyAlignment="1" applyProtection="1">
      <alignment horizontal="right"/>
      <protection locked="0"/>
    </xf>
    <xf numFmtId="182" fontId="59" fillId="3" borderId="0" xfId="0" applyNumberFormat="1" applyFont="1" applyFill="1" applyAlignment="1" applyProtection="1">
      <alignment horizontal="center" vertical="center" wrapText="1"/>
      <protection locked="0"/>
    </xf>
    <xf numFmtId="182" fontId="59" fillId="54" borderId="0" xfId="0" applyNumberFormat="1" applyFont="1" applyFill="1" applyAlignment="1" applyProtection="1">
      <alignment horizontal="right"/>
      <protection locked="0"/>
    </xf>
    <xf numFmtId="182" fontId="58" fillId="2" borderId="0" xfId="0" applyNumberFormat="1" applyFont="1" applyFill="1" applyProtection="1">
      <protection locked="0"/>
    </xf>
    <xf numFmtId="0" fontId="57" fillId="0" borderId="0" xfId="0" applyFont="1" applyAlignment="1" applyProtection="1">
      <alignment horizontal="right"/>
      <protection locked="0"/>
    </xf>
    <xf numFmtId="182" fontId="62" fillId="0" borderId="0" xfId="0" applyNumberFormat="1" applyFont="1" applyAlignment="1" applyProtection="1">
      <alignment vertical="center" wrapText="1"/>
      <protection locked="0"/>
    </xf>
    <xf numFmtId="9" fontId="57" fillId="0" borderId="0" xfId="1804" applyFont="1" applyAlignment="1" applyProtection="1">
      <alignment vertical="center" wrapText="1"/>
      <protection locked="0"/>
    </xf>
    <xf numFmtId="43" fontId="91" fillId="0" borderId="0" xfId="0" applyNumberFormat="1" applyFont="1" applyAlignment="1">
      <alignment vertical="center"/>
    </xf>
    <xf numFmtId="169" fontId="91" fillId="0" borderId="0" xfId="0" applyNumberFormat="1" applyFont="1" applyAlignment="1">
      <alignment vertical="center"/>
    </xf>
    <xf numFmtId="0" fontId="91" fillId="0" borderId="0" xfId="0" applyFont="1" applyAlignment="1">
      <alignment vertical="center"/>
    </xf>
    <xf numFmtId="169" fontId="91" fillId="0" borderId="0" xfId="1" applyFont="1" applyAlignment="1">
      <alignment vertical="center"/>
    </xf>
    <xf numFmtId="169" fontId="91" fillId="58" borderId="0" xfId="1" applyFont="1" applyFill="1" applyAlignment="1">
      <alignment vertical="center"/>
    </xf>
    <xf numFmtId="0" fontId="47" fillId="0" borderId="12" xfId="0" applyFont="1" applyBorder="1" applyAlignment="1">
      <alignment vertical="center" wrapText="1"/>
    </xf>
    <xf numFmtId="0" fontId="59" fillId="56" borderId="0" xfId="0" applyFont="1" applyFill="1" applyAlignment="1">
      <alignment horizontal="center" vertical="center" wrapText="1"/>
    </xf>
    <xf numFmtId="0" fontId="59" fillId="3" borderId="0" xfId="0" applyFont="1" applyFill="1" applyAlignment="1">
      <alignment horizontal="center" vertical="center" wrapText="1"/>
    </xf>
    <xf numFmtId="182" fontId="58" fillId="54" borderId="0" xfId="0" applyNumberFormat="1" applyFont="1" applyFill="1" applyAlignment="1">
      <alignment horizontal="right"/>
    </xf>
    <xf numFmtId="182" fontId="59" fillId="3" borderId="0" xfId="0" applyNumberFormat="1" applyFont="1" applyFill="1" applyAlignment="1">
      <alignment horizontal="center" vertical="center" wrapText="1"/>
    </xf>
    <xf numFmtId="0" fontId="47" fillId="0" borderId="43" xfId="0" applyFont="1" applyBorder="1" applyAlignment="1" applyProtection="1">
      <alignment vertical="center" wrapText="1"/>
      <protection locked="0"/>
    </xf>
    <xf numFmtId="189" fontId="57" fillId="0" borderId="0" xfId="0" applyNumberFormat="1" applyFont="1" applyAlignment="1" applyProtection="1">
      <alignment vertical="center" wrapText="1"/>
      <protection locked="0"/>
    </xf>
    <xf numFmtId="189" fontId="62" fillId="0" borderId="0" xfId="0" applyNumberFormat="1" applyFont="1" applyAlignment="1" applyProtection="1">
      <alignment vertical="center" wrapText="1"/>
      <protection locked="0"/>
    </xf>
    <xf numFmtId="9" fontId="59" fillId="0" borderId="0" xfId="1804" applyFont="1" applyAlignment="1">
      <alignment vertical="center"/>
    </xf>
    <xf numFmtId="188" fontId="57" fillId="0" borderId="0" xfId="0" applyNumberFormat="1" applyFont="1" applyAlignment="1">
      <alignment vertical="center"/>
    </xf>
    <xf numFmtId="188" fontId="61" fillId="0" borderId="52" xfId="8" applyNumberFormat="1" applyFont="1" applyFill="1" applyBorder="1" applyAlignment="1">
      <alignment horizontal="right" vertical="center" wrapText="1"/>
    </xf>
    <xf numFmtId="0" fontId="58" fillId="0" borderId="0" xfId="0" applyFont="1" applyAlignment="1">
      <alignment vertical="center"/>
    </xf>
    <xf numFmtId="10" fontId="57" fillId="0" borderId="0" xfId="1804" applyNumberFormat="1" applyFont="1" applyAlignment="1" applyProtection="1">
      <alignment vertical="center" wrapText="1"/>
      <protection locked="0"/>
    </xf>
    <xf numFmtId="0" fontId="92" fillId="5" borderId="76" xfId="0" applyFont="1" applyFill="1" applyBorder="1" applyAlignment="1">
      <alignment horizontal="justify" vertical="center" wrapText="1"/>
    </xf>
    <xf numFmtId="3" fontId="92" fillId="5" borderId="77" xfId="0" applyNumberFormat="1" applyFont="1" applyFill="1" applyBorder="1" applyAlignment="1">
      <alignment horizontal="center" vertical="center" wrapText="1"/>
    </xf>
    <xf numFmtId="0" fontId="92" fillId="5" borderId="76" xfId="0" applyFont="1" applyFill="1" applyBorder="1" applyAlignment="1">
      <alignment vertical="center" wrapText="1"/>
    </xf>
    <xf numFmtId="188" fontId="57" fillId="4" borderId="0" xfId="0" applyNumberFormat="1" applyFont="1" applyFill="1" applyAlignment="1">
      <alignment vertical="center"/>
    </xf>
    <xf numFmtId="10" fontId="57" fillId="4" borderId="0" xfId="1804" applyNumberFormat="1" applyFont="1" applyFill="1" applyAlignment="1">
      <alignment vertical="center"/>
    </xf>
    <xf numFmtId="9" fontId="57" fillId="0" borderId="0" xfId="1804" applyFont="1" applyAlignment="1">
      <alignment horizontal="center" vertical="center"/>
    </xf>
    <xf numFmtId="10" fontId="57" fillId="0" borderId="0" xfId="1804" applyNumberFormat="1" applyFont="1" applyAlignment="1">
      <alignment horizontal="center" vertical="center"/>
    </xf>
    <xf numFmtId="10" fontId="57" fillId="4" borderId="0" xfId="0" applyNumberFormat="1" applyFont="1" applyFill="1" applyAlignment="1">
      <alignment vertical="center"/>
    </xf>
    <xf numFmtId="0" fontId="58" fillId="0" borderId="12" xfId="0" applyFont="1" applyBorder="1" applyAlignment="1">
      <alignment horizontal="center" vertical="center" wrapText="1"/>
    </xf>
    <xf numFmtId="0" fontId="58" fillId="0" borderId="0" xfId="0" applyFont="1" applyAlignment="1">
      <alignment horizontal="center" vertical="center" wrapText="1"/>
    </xf>
    <xf numFmtId="0" fontId="58" fillId="0" borderId="74"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0" xfId="0" applyFont="1" applyAlignment="1">
      <alignment horizontal="center" vertical="center" wrapText="1"/>
    </xf>
    <xf numFmtId="0" fontId="57" fillId="0" borderId="74" xfId="0" applyFont="1" applyBorder="1" applyAlignment="1">
      <alignment horizontal="center" vertical="center" wrapText="1"/>
    </xf>
    <xf numFmtId="0" fontId="58" fillId="3" borderId="38" xfId="0" applyFont="1" applyFill="1" applyBorder="1" applyAlignment="1">
      <alignment horizontal="center" vertical="center"/>
    </xf>
    <xf numFmtId="0" fontId="58" fillId="3" borderId="45" xfId="0" applyFont="1" applyFill="1" applyBorder="1" applyAlignment="1">
      <alignment horizontal="center" vertical="center"/>
    </xf>
    <xf numFmtId="0" fontId="58" fillId="3" borderId="46" xfId="0" applyFont="1" applyFill="1" applyBorder="1" applyAlignment="1">
      <alignment horizontal="center" vertical="center"/>
    </xf>
    <xf numFmtId="0" fontId="60" fillId="57" borderId="53" xfId="0" applyFont="1" applyFill="1" applyBorder="1" applyAlignment="1">
      <alignment horizontal="center" vertical="center" wrapText="1"/>
    </xf>
    <xf numFmtId="0" fontId="60" fillId="57" borderId="54" xfId="0" applyFont="1" applyFill="1" applyBorder="1" applyAlignment="1">
      <alignment horizontal="center" vertical="center" wrapText="1"/>
    </xf>
    <xf numFmtId="0" fontId="59" fillId="3" borderId="45" xfId="0" applyFont="1" applyFill="1" applyBorder="1" applyAlignment="1" applyProtection="1">
      <alignment horizontal="center" vertical="center" wrapText="1"/>
      <protection locked="0"/>
    </xf>
    <xf numFmtId="0" fontId="59" fillId="56" borderId="5" xfId="0" applyFont="1" applyFill="1" applyBorder="1" applyAlignment="1" applyProtection="1">
      <alignment horizontal="center" vertical="center" wrapText="1"/>
      <protection locked="0"/>
    </xf>
    <xf numFmtId="0" fontId="57" fillId="0" borderId="43" xfId="0" applyFont="1" applyBorder="1" applyAlignment="1" applyProtection="1">
      <alignment horizontal="right" vertical="center"/>
      <protection locked="0"/>
    </xf>
    <xf numFmtId="0" fontId="57" fillId="0" borderId="43" xfId="0" applyFont="1" applyBorder="1" applyAlignment="1" applyProtection="1">
      <alignment horizontal="left" vertical="center"/>
      <protection locked="0"/>
    </xf>
    <xf numFmtId="182" fontId="65" fillId="54" borderId="43" xfId="0" applyNumberFormat="1" applyFont="1" applyFill="1" applyBorder="1" applyAlignment="1">
      <alignment horizontal="left" vertical="center" wrapText="1"/>
    </xf>
    <xf numFmtId="0" fontId="63" fillId="2" borderId="43" xfId="0" applyFont="1" applyFill="1" applyBorder="1" applyAlignment="1" applyProtection="1">
      <alignment horizontal="center" vertical="center" wrapText="1"/>
      <protection locked="0"/>
    </xf>
    <xf numFmtId="0" fontId="63" fillId="3" borderId="43" xfId="0" applyFont="1" applyFill="1" applyBorder="1" applyAlignment="1" applyProtection="1">
      <alignment horizontal="center" vertical="center" wrapText="1"/>
      <protection locked="0"/>
    </xf>
    <xf numFmtId="182" fontId="63" fillId="3" borderId="43" xfId="0" applyNumberFormat="1" applyFont="1" applyFill="1" applyBorder="1" applyAlignment="1" applyProtection="1">
      <alignment horizontal="center" vertical="center" wrapText="1"/>
      <protection locked="0"/>
    </xf>
    <xf numFmtId="0" fontId="64" fillId="0" borderId="43" xfId="0" applyFont="1" applyBorder="1" applyAlignment="1" applyProtection="1">
      <alignment horizontal="right" vertical="center" wrapText="1"/>
      <protection locked="0"/>
    </xf>
    <xf numFmtId="0" fontId="64" fillId="0" borderId="43" xfId="0" applyFont="1" applyBorder="1" applyAlignment="1" applyProtection="1">
      <alignment horizontal="left" vertical="center" wrapText="1"/>
      <protection locked="0"/>
    </xf>
    <xf numFmtId="182" fontId="65" fillId="2" borderId="43" xfId="0" applyNumberFormat="1" applyFont="1" applyFill="1" applyBorder="1" applyAlignment="1" applyProtection="1">
      <alignment horizontal="center" vertical="center" wrapText="1"/>
      <protection locked="0"/>
    </xf>
    <xf numFmtId="0" fontId="68" fillId="0" borderId="43" xfId="0" applyFont="1" applyBorder="1" applyAlignment="1" applyProtection="1">
      <alignment horizontal="left"/>
      <protection locked="0"/>
    </xf>
    <xf numFmtId="0" fontId="68" fillId="0" borderId="43" xfId="0" applyFont="1" applyBorder="1" applyAlignment="1" applyProtection="1">
      <alignment horizontal="right"/>
      <protection locked="0"/>
    </xf>
    <xf numFmtId="182" fontId="69" fillId="2" borderId="43" xfId="0" applyNumberFormat="1" applyFont="1" applyFill="1" applyBorder="1" applyAlignment="1" applyProtection="1">
      <alignment horizontal="center" vertical="center" wrapText="1"/>
      <protection locked="0"/>
    </xf>
    <xf numFmtId="0" fontId="67" fillId="56" borderId="43" xfId="0" applyFont="1" applyFill="1" applyBorder="1" applyAlignment="1" applyProtection="1">
      <alignment horizontal="center" vertical="center" wrapText="1"/>
      <protection locked="0"/>
    </xf>
    <xf numFmtId="0" fontId="67" fillId="3" borderId="43" xfId="0" applyFont="1" applyFill="1" applyBorder="1" applyAlignment="1" applyProtection="1">
      <alignment horizontal="center" vertical="center" wrapText="1"/>
      <protection locked="0"/>
    </xf>
    <xf numFmtId="182" fontId="69" fillId="54" borderId="43" xfId="0" applyNumberFormat="1" applyFont="1" applyFill="1" applyBorder="1" applyAlignment="1" applyProtection="1">
      <alignment horizontal="left"/>
      <protection locked="0"/>
    </xf>
    <xf numFmtId="182" fontId="65" fillId="54" borderId="43" xfId="0" applyNumberFormat="1" applyFont="1" applyFill="1" applyBorder="1" applyAlignment="1" applyProtection="1">
      <alignment horizontal="left" vertical="center"/>
      <protection locked="0"/>
    </xf>
    <xf numFmtId="0" fontId="63" fillId="56" borderId="43" xfId="0" applyFont="1" applyFill="1" applyBorder="1" applyAlignment="1" applyProtection="1">
      <alignment horizontal="center" vertical="center" wrapText="1"/>
      <protection locked="0"/>
    </xf>
    <xf numFmtId="182" fontId="65" fillId="54" borderId="43" xfId="0" applyNumberFormat="1" applyFont="1" applyFill="1" applyBorder="1" applyAlignment="1">
      <alignment horizontal="left" vertical="center"/>
    </xf>
    <xf numFmtId="0" fontId="64" fillId="0" borderId="43" xfId="0" applyFont="1" applyBorder="1" applyAlignment="1" applyProtection="1">
      <alignment horizontal="left" vertical="center"/>
      <protection locked="0"/>
    </xf>
    <xf numFmtId="0" fontId="64" fillId="0" borderId="38" xfId="0" applyFont="1" applyBorder="1" applyAlignment="1" applyProtection="1">
      <alignment horizontal="right" vertical="center"/>
      <protection locked="0"/>
    </xf>
    <xf numFmtId="0" fontId="64" fillId="0" borderId="46" xfId="0" applyFont="1" applyBorder="1" applyAlignment="1" applyProtection="1">
      <alignment horizontal="right" vertical="center"/>
      <protection locked="0"/>
    </xf>
    <xf numFmtId="182" fontId="63" fillId="3" borderId="43" xfId="0" applyNumberFormat="1" applyFont="1" applyFill="1" applyBorder="1" applyAlignment="1" applyProtection="1">
      <alignment horizontal="center" vertical="center"/>
      <protection locked="0"/>
    </xf>
    <xf numFmtId="0" fontId="57" fillId="0" borderId="43" xfId="0" applyFont="1" applyBorder="1" applyAlignment="1" applyProtection="1">
      <alignment horizontal="left" vertical="center" wrapText="1"/>
      <protection locked="0"/>
    </xf>
    <xf numFmtId="0" fontId="57" fillId="0" borderId="43" xfId="0" applyFont="1" applyBorder="1" applyAlignment="1" applyProtection="1">
      <alignment horizontal="right" vertical="center" wrapText="1"/>
      <protection locked="0"/>
    </xf>
    <xf numFmtId="183" fontId="59" fillId="3" borderId="38" xfId="0" applyNumberFormat="1" applyFont="1" applyFill="1" applyBorder="1" applyAlignment="1" applyProtection="1">
      <alignment horizontal="center" vertical="center" wrapText="1"/>
      <protection locked="0"/>
    </xf>
    <xf numFmtId="183" fontId="59" fillId="3" borderId="45" xfId="0" applyNumberFormat="1" applyFont="1" applyFill="1" applyBorder="1" applyAlignment="1" applyProtection="1">
      <alignment horizontal="center" vertical="center" wrapText="1"/>
      <protection locked="0"/>
    </xf>
    <xf numFmtId="183" fontId="59" fillId="3" borderId="46" xfId="0" applyNumberFormat="1" applyFont="1" applyFill="1" applyBorder="1" applyAlignment="1" applyProtection="1">
      <alignment horizontal="center" vertical="center" wrapText="1"/>
      <protection locked="0"/>
    </xf>
    <xf numFmtId="0" fontId="59" fillId="56" borderId="43" xfId="0" applyFont="1" applyFill="1" applyBorder="1" applyAlignment="1" applyProtection="1">
      <alignment horizontal="center" vertical="center" wrapText="1"/>
      <protection locked="0"/>
    </xf>
    <xf numFmtId="0" fontId="59" fillId="3" borderId="43" xfId="0" applyFont="1" applyFill="1" applyBorder="1" applyAlignment="1" applyProtection="1">
      <alignment horizontal="center" vertical="center" wrapText="1"/>
      <protection locked="0"/>
    </xf>
    <xf numFmtId="183" fontId="58" fillId="54" borderId="43" xfId="0" applyNumberFormat="1" applyFont="1" applyFill="1" applyBorder="1" applyAlignment="1" applyProtection="1">
      <alignment horizontal="left" vertical="center" wrapText="1"/>
      <protection locked="0"/>
    </xf>
    <xf numFmtId="183" fontId="59" fillId="3" borderId="43" xfId="0" applyNumberFormat="1" applyFont="1" applyFill="1" applyBorder="1" applyAlignment="1" applyProtection="1">
      <alignment horizontal="center" vertical="center" wrapText="1"/>
      <protection locked="0"/>
    </xf>
    <xf numFmtId="183" fontId="58" fillId="54" borderId="38" xfId="0" applyNumberFormat="1" applyFont="1" applyFill="1" applyBorder="1" applyAlignment="1" applyProtection="1">
      <alignment horizontal="left" vertical="center" wrapText="1"/>
      <protection locked="0"/>
    </xf>
    <xf numFmtId="183" fontId="58" fillId="54" borderId="46" xfId="0" applyNumberFormat="1" applyFont="1" applyFill="1" applyBorder="1" applyAlignment="1" applyProtection="1">
      <alignment horizontal="left" vertical="center" wrapText="1"/>
      <protection locked="0"/>
    </xf>
    <xf numFmtId="183" fontId="58" fillId="2" borderId="43" xfId="0" applyNumberFormat="1" applyFont="1" applyFill="1" applyBorder="1" applyAlignment="1" applyProtection="1">
      <alignment horizontal="center" vertical="center" wrapText="1"/>
      <protection locked="0"/>
    </xf>
    <xf numFmtId="0" fontId="57" fillId="0" borderId="43" xfId="0" applyFont="1" applyBorder="1" applyAlignment="1" applyProtection="1">
      <alignment horizontal="left"/>
      <protection locked="0"/>
    </xf>
    <xf numFmtId="0" fontId="57" fillId="0" borderId="43" xfId="0" applyFont="1" applyBorder="1" applyAlignment="1" applyProtection="1">
      <alignment horizontal="right"/>
      <protection locked="0"/>
    </xf>
    <xf numFmtId="182" fontId="58" fillId="2" borderId="4" xfId="0" applyNumberFormat="1" applyFont="1" applyFill="1" applyBorder="1" applyAlignment="1" applyProtection="1">
      <alignment horizontal="center" vertical="center" wrapText="1"/>
      <protection locked="0"/>
    </xf>
    <xf numFmtId="182" fontId="58" fillId="2" borderId="9" xfId="0" applyNumberFormat="1" applyFont="1" applyFill="1" applyBorder="1" applyAlignment="1" applyProtection="1">
      <alignment horizontal="center" vertical="center" wrapText="1"/>
      <protection locked="0"/>
    </xf>
    <xf numFmtId="0" fontId="59" fillId="56" borderId="3" xfId="0" applyFont="1" applyFill="1" applyBorder="1" applyAlignment="1" applyProtection="1">
      <alignment horizontal="center" vertical="center" wrapText="1"/>
      <protection locked="0"/>
    </xf>
    <xf numFmtId="0" fontId="59" fillId="3" borderId="47" xfId="0" applyFont="1" applyFill="1" applyBorder="1" applyAlignment="1" applyProtection="1">
      <alignment horizontal="center" vertical="center" wrapText="1"/>
      <protection locked="0"/>
    </xf>
    <xf numFmtId="182" fontId="58" fillId="54" borderId="44" xfId="0" applyNumberFormat="1" applyFont="1" applyFill="1" applyBorder="1" applyAlignment="1" applyProtection="1">
      <alignment horizontal="left"/>
      <protection locked="0"/>
    </xf>
    <xf numFmtId="182" fontId="58" fillId="54" borderId="46" xfId="0" applyNumberFormat="1" applyFont="1" applyFill="1" applyBorder="1" applyAlignment="1" applyProtection="1">
      <alignment horizontal="left"/>
      <protection locked="0"/>
    </xf>
    <xf numFmtId="182" fontId="59" fillId="3" borderId="45" xfId="0" applyNumberFormat="1" applyFont="1" applyFill="1" applyBorder="1" applyAlignment="1" applyProtection="1">
      <alignment horizontal="center" vertical="center" wrapText="1"/>
      <protection locked="0"/>
    </xf>
    <xf numFmtId="182" fontId="59" fillId="3" borderId="47" xfId="0" applyNumberFormat="1" applyFont="1" applyFill="1" applyBorder="1" applyAlignment="1" applyProtection="1">
      <alignment horizontal="center" vertical="center" wrapText="1"/>
      <protection locked="0"/>
    </xf>
    <xf numFmtId="183" fontId="48" fillId="54" borderId="43" xfId="0" applyNumberFormat="1" applyFont="1" applyFill="1" applyBorder="1" applyAlignment="1" applyProtection="1">
      <alignment horizontal="left" vertical="center" wrapText="1"/>
      <protection locked="0"/>
    </xf>
    <xf numFmtId="0" fontId="47" fillId="0" borderId="43" xfId="0" applyFont="1" applyBorder="1" applyAlignment="1">
      <alignment horizontal="left" vertical="center" wrapText="1"/>
    </xf>
    <xf numFmtId="0" fontId="47" fillId="0" borderId="43" xfId="0" applyFont="1" applyBorder="1" applyAlignment="1">
      <alignment horizontal="right" vertical="center" wrapText="1"/>
    </xf>
    <xf numFmtId="183" fontId="71" fillId="2" borderId="43" xfId="0" applyNumberFormat="1" applyFont="1" applyFill="1" applyBorder="1" applyAlignment="1">
      <alignment horizontal="center" vertical="center" wrapText="1"/>
    </xf>
    <xf numFmtId="183" fontId="71" fillId="3" borderId="38" xfId="0" applyNumberFormat="1" applyFont="1" applyFill="1" applyBorder="1" applyAlignment="1" applyProtection="1">
      <alignment horizontal="center" vertical="center" wrapText="1"/>
      <protection locked="0"/>
    </xf>
    <xf numFmtId="183" fontId="71" fillId="3" borderId="45" xfId="0" applyNumberFormat="1" applyFont="1" applyFill="1" applyBorder="1" applyAlignment="1" applyProtection="1">
      <alignment horizontal="center" vertical="center" wrapText="1"/>
      <protection locked="0"/>
    </xf>
    <xf numFmtId="183" fontId="71" fillId="3" borderId="46" xfId="0" applyNumberFormat="1" applyFont="1" applyFill="1" applyBorder="1" applyAlignment="1" applyProtection="1">
      <alignment horizontal="center" vertical="center" wrapText="1"/>
      <protection locked="0"/>
    </xf>
    <xf numFmtId="0" fontId="71" fillId="56" borderId="43" xfId="0" applyFont="1" applyFill="1" applyBorder="1" applyAlignment="1">
      <alignment horizontal="center" vertical="center" wrapText="1"/>
    </xf>
    <xf numFmtId="0" fontId="71" fillId="3" borderId="38" xfId="0" applyFont="1" applyFill="1" applyBorder="1" applyAlignment="1">
      <alignment horizontal="center" vertical="center" wrapText="1"/>
    </xf>
    <xf numFmtId="0" fontId="71" fillId="3" borderId="45" xfId="0" applyFont="1" applyFill="1" applyBorder="1" applyAlignment="1">
      <alignment horizontal="center" vertical="center" wrapText="1"/>
    </xf>
    <xf numFmtId="0" fontId="71" fillId="3" borderId="46" xfId="0" applyFont="1" applyFill="1" applyBorder="1" applyAlignment="1">
      <alignment horizontal="center" vertical="center" wrapText="1"/>
    </xf>
    <xf numFmtId="49" fontId="2" fillId="0" borderId="49" xfId="8" applyNumberFormat="1" applyFont="1" applyFill="1" applyBorder="1" applyAlignment="1">
      <alignment horizontal="center" vertical="center" wrapText="1"/>
    </xf>
    <xf numFmtId="49" fontId="2" fillId="0" borderId="52" xfId="8" applyNumberFormat="1" applyFont="1" applyFill="1" applyBorder="1" applyAlignment="1">
      <alignment horizontal="center" vertical="center" wrapText="1"/>
    </xf>
    <xf numFmtId="0" fontId="74" fillId="0" borderId="27" xfId="0" applyFont="1" applyBorder="1" applyAlignment="1">
      <alignment horizontal="center"/>
    </xf>
    <xf numFmtId="0" fontId="57" fillId="0" borderId="38" xfId="0" applyFont="1" applyBorder="1" applyAlignment="1" applyProtection="1">
      <alignment horizontal="left"/>
      <protection locked="0"/>
    </xf>
    <xf numFmtId="0" fontId="57" fillId="0" borderId="45" xfId="0" applyFont="1" applyBorder="1" applyAlignment="1" applyProtection="1">
      <alignment horizontal="left"/>
      <protection locked="0"/>
    </xf>
    <xf numFmtId="0" fontId="57" fillId="0" borderId="46" xfId="0" applyFont="1" applyBorder="1" applyAlignment="1" applyProtection="1">
      <alignment horizontal="left"/>
      <protection locked="0"/>
    </xf>
    <xf numFmtId="172" fontId="57" fillId="0" borderId="51" xfId="0" applyNumberFormat="1" applyFont="1" applyBorder="1" applyAlignment="1">
      <alignment horizontal="center" wrapText="1"/>
    </xf>
    <xf numFmtId="172" fontId="57" fillId="0" borderId="60" xfId="0" applyNumberFormat="1" applyFont="1" applyBorder="1" applyAlignment="1">
      <alignment horizontal="center" wrapText="1"/>
    </xf>
    <xf numFmtId="172" fontId="57" fillId="0" borderId="57" xfId="0" applyNumberFormat="1" applyFont="1" applyBorder="1" applyAlignment="1">
      <alignment horizontal="center" wrapText="1"/>
    </xf>
    <xf numFmtId="172" fontId="59" fillId="3" borderId="1" xfId="0" applyNumberFormat="1" applyFont="1" applyFill="1" applyBorder="1" applyAlignment="1">
      <alignment horizontal="center"/>
    </xf>
    <xf numFmtId="172" fontId="59" fillId="3" borderId="43" xfId="0" applyNumberFormat="1" applyFont="1" applyFill="1" applyBorder="1" applyAlignment="1">
      <alignment horizontal="center"/>
    </xf>
    <xf numFmtId="172" fontId="59" fillId="3" borderId="37" xfId="0" applyNumberFormat="1" applyFont="1" applyFill="1" applyBorder="1" applyAlignment="1">
      <alignment horizontal="center"/>
    </xf>
    <xf numFmtId="172" fontId="59" fillId="2" borderId="6" xfId="0" applyNumberFormat="1" applyFont="1" applyFill="1" applyBorder="1" applyAlignment="1">
      <alignment horizontal="center" vertical="center"/>
    </xf>
    <xf numFmtId="172" fontId="57" fillId="0" borderId="51" xfId="0" applyNumberFormat="1" applyFont="1" applyBorder="1" applyAlignment="1">
      <alignment horizontal="center" vertical="center" wrapText="1"/>
    </xf>
    <xf numFmtId="172" fontId="57" fillId="0" borderId="57" xfId="0" applyNumberFormat="1" applyFont="1" applyBorder="1" applyAlignment="1">
      <alignment horizontal="center" vertical="center" wrapText="1"/>
    </xf>
    <xf numFmtId="0" fontId="59" fillId="58" borderId="2" xfId="0" applyFont="1" applyFill="1" applyBorder="1" applyAlignment="1">
      <alignment horizontal="center" vertical="center" wrapText="1"/>
    </xf>
    <xf numFmtId="0" fontId="59" fillId="58" borderId="5" xfId="0" applyFont="1" applyFill="1" applyBorder="1" applyAlignment="1">
      <alignment horizontal="center" vertical="center" wrapText="1"/>
    </xf>
    <xf numFmtId="0" fontId="59" fillId="58" borderId="3" xfId="0" applyFont="1" applyFill="1" applyBorder="1" applyAlignment="1">
      <alignment horizontal="center" vertical="center" wrapText="1"/>
    </xf>
    <xf numFmtId="37" fontId="59" fillId="3" borderId="1" xfId="0" applyNumberFormat="1" applyFont="1" applyFill="1" applyBorder="1" applyAlignment="1">
      <alignment horizontal="center"/>
    </xf>
    <xf numFmtId="37" fontId="59" fillId="3" borderId="43" xfId="0" applyNumberFormat="1" applyFont="1" applyFill="1" applyBorder="1" applyAlignment="1">
      <alignment horizontal="center"/>
    </xf>
    <xf numFmtId="37" fontId="59" fillId="3" borderId="37" xfId="0" applyNumberFormat="1" applyFont="1" applyFill="1" applyBorder="1" applyAlignment="1">
      <alignment horizontal="center"/>
    </xf>
    <xf numFmtId="172" fontId="83" fillId="0" borderId="51" xfId="0" applyNumberFormat="1" applyFont="1" applyBorder="1" applyAlignment="1">
      <alignment horizontal="center" wrapText="1"/>
    </xf>
    <xf numFmtId="172" fontId="83" fillId="0" borderId="60" xfId="0" applyNumberFormat="1" applyFont="1" applyBorder="1" applyAlignment="1">
      <alignment horizontal="center" wrapText="1"/>
    </xf>
    <xf numFmtId="172" fontId="83" fillId="0" borderId="57" xfId="0" applyNumberFormat="1" applyFont="1" applyBorder="1" applyAlignment="1">
      <alignment horizontal="center" wrapText="1"/>
    </xf>
    <xf numFmtId="182" fontId="59" fillId="3" borderId="43" xfId="0" applyNumberFormat="1" applyFont="1" applyFill="1" applyBorder="1" applyAlignment="1" applyProtection="1">
      <alignment horizontal="center" vertical="center" wrapText="1"/>
      <protection locked="0"/>
    </xf>
    <xf numFmtId="0" fontId="59" fillId="56" borderId="43" xfId="0" applyFont="1" applyFill="1" applyBorder="1" applyAlignment="1">
      <alignment horizontal="center" vertical="center" wrapText="1"/>
    </xf>
    <xf numFmtId="0" fontId="59" fillId="3" borderId="43" xfId="0" applyFont="1" applyFill="1" applyBorder="1" applyAlignment="1">
      <alignment horizontal="center" vertical="center" wrapText="1"/>
    </xf>
    <xf numFmtId="182" fontId="58" fillId="54" borderId="43" xfId="0" applyNumberFormat="1" applyFont="1" applyFill="1" applyBorder="1" applyAlignment="1" applyProtection="1">
      <alignment horizontal="left"/>
      <protection locked="0"/>
    </xf>
    <xf numFmtId="182" fontId="59" fillId="3" borderId="43" xfId="0" applyNumberFormat="1" applyFont="1" applyFill="1" applyBorder="1" applyAlignment="1">
      <alignment horizontal="center" vertical="center" wrapText="1"/>
    </xf>
    <xf numFmtId="182" fontId="58" fillId="2" borderId="43" xfId="0" applyNumberFormat="1" applyFont="1" applyFill="1" applyBorder="1" applyAlignment="1" applyProtection="1">
      <alignment horizontal="center" vertical="center" wrapText="1"/>
      <protection locked="0"/>
    </xf>
    <xf numFmtId="0" fontId="63" fillId="58" borderId="43" xfId="0" applyFont="1" applyFill="1" applyBorder="1" applyAlignment="1">
      <alignment horizontal="center" vertical="center" wrapText="1"/>
    </xf>
    <xf numFmtId="0" fontId="63" fillId="56" borderId="43" xfId="0" applyFont="1" applyFill="1" applyBorder="1" applyAlignment="1">
      <alignment horizontal="center" vertical="center" wrapText="1"/>
    </xf>
    <xf numFmtId="183" fontId="63" fillId="3" borderId="43" xfId="0" applyNumberFormat="1" applyFont="1" applyFill="1" applyBorder="1" applyAlignment="1">
      <alignment horizontal="center" vertical="center" wrapText="1"/>
    </xf>
    <xf numFmtId="183" fontId="65" fillId="54" borderId="43" xfId="0" applyNumberFormat="1" applyFont="1" applyFill="1" applyBorder="1" applyAlignment="1" applyProtection="1">
      <alignment horizontal="left"/>
      <protection locked="0"/>
    </xf>
    <xf numFmtId="0" fontId="64" fillId="0" borderId="43" xfId="0" applyFont="1" applyBorder="1" applyAlignment="1" applyProtection="1">
      <alignment horizontal="left"/>
      <protection locked="0"/>
    </xf>
    <xf numFmtId="0" fontId="64" fillId="0" borderId="43" xfId="0" applyFont="1" applyBorder="1" applyAlignment="1" applyProtection="1">
      <alignment horizontal="right"/>
      <protection locked="0"/>
    </xf>
    <xf numFmtId="183" fontId="63" fillId="56" borderId="43" xfId="0" applyNumberFormat="1" applyFont="1" applyFill="1" applyBorder="1" applyAlignment="1">
      <alignment horizontal="center" vertical="center" wrapText="1"/>
    </xf>
    <xf numFmtId="183" fontId="65" fillId="2" borderId="43" xfId="0" applyNumberFormat="1" applyFont="1" applyFill="1" applyBorder="1" applyAlignment="1" applyProtection="1">
      <alignment horizontal="center" vertical="center" wrapText="1"/>
      <protection locked="0"/>
    </xf>
    <xf numFmtId="0" fontId="59" fillId="58" borderId="43" xfId="0" applyFont="1" applyFill="1" applyBorder="1" applyAlignment="1">
      <alignment horizontal="center" vertical="center" wrapText="1"/>
    </xf>
    <xf numFmtId="182" fontId="59" fillId="3" borderId="45" xfId="0" applyNumberFormat="1" applyFont="1" applyFill="1" applyBorder="1" applyAlignment="1">
      <alignment horizontal="center" vertical="center" wrapText="1"/>
    </xf>
    <xf numFmtId="182" fontId="59" fillId="3" borderId="47" xfId="0" applyNumberFormat="1" applyFont="1" applyFill="1" applyBorder="1" applyAlignment="1">
      <alignment horizontal="center" vertical="center" wrapText="1"/>
    </xf>
    <xf numFmtId="0" fontId="59" fillId="56" borderId="7" xfId="0" applyFont="1" applyFill="1" applyBorder="1" applyAlignment="1">
      <alignment horizontal="center" vertical="center" wrapText="1"/>
    </xf>
    <xf numFmtId="0" fontId="59" fillId="56" borderId="57" xfId="0" applyFont="1" applyFill="1" applyBorder="1" applyAlignment="1">
      <alignment horizontal="center" vertical="center" wrapText="1"/>
    </xf>
    <xf numFmtId="182" fontId="4" fillId="3" borderId="43" xfId="0" applyNumberFormat="1" applyFont="1" applyFill="1" applyBorder="1" applyAlignment="1" applyProtection="1">
      <alignment horizontal="center" vertical="center" wrapText="1"/>
      <protection locked="0"/>
    </xf>
    <xf numFmtId="182" fontId="10" fillId="54" borderId="43" xfId="0" applyNumberFormat="1" applyFont="1" applyFill="1" applyBorder="1" applyAlignment="1" applyProtection="1">
      <alignment horizontal="left"/>
      <protection locked="0"/>
    </xf>
    <xf numFmtId="182" fontId="10" fillId="2" borderId="43" xfId="0" applyNumberFormat="1" applyFont="1" applyFill="1" applyBorder="1" applyAlignment="1" applyProtection="1">
      <alignment horizontal="center" vertical="center" wrapText="1"/>
      <protection locked="0"/>
    </xf>
    <xf numFmtId="0" fontId="56" fillId="0" borderId="0" xfId="0" applyFont="1" applyAlignment="1" applyProtection="1">
      <alignment horizontal="left"/>
      <protection locked="0"/>
    </xf>
    <xf numFmtId="0" fontId="56" fillId="0" borderId="0" xfId="0" applyFont="1" applyAlignment="1" applyProtection="1">
      <alignment horizontal="center"/>
      <protection locked="0"/>
    </xf>
    <xf numFmtId="0" fontId="56" fillId="0" borderId="0" xfId="0" applyFont="1" applyAlignment="1" applyProtection="1">
      <alignment horizontal="right"/>
      <protection locked="0"/>
    </xf>
    <xf numFmtId="0" fontId="50" fillId="56" borderId="43" xfId="0" applyFont="1" applyFill="1" applyBorder="1" applyAlignment="1">
      <alignment horizontal="center" vertical="center" wrapText="1"/>
    </xf>
    <xf numFmtId="0" fontId="4" fillId="3" borderId="43" xfId="0" applyFont="1" applyFill="1" applyBorder="1" applyAlignment="1" applyProtection="1">
      <alignment horizontal="center" vertical="center" wrapText="1"/>
      <protection locked="0"/>
    </xf>
    <xf numFmtId="0" fontId="47" fillId="0" borderId="43" xfId="0" applyFont="1" applyBorder="1" applyAlignment="1" applyProtection="1">
      <alignment horizontal="right"/>
      <protection locked="0"/>
    </xf>
    <xf numFmtId="0" fontId="47" fillId="0" borderId="43" xfId="0" applyFont="1" applyBorder="1" applyAlignment="1" applyProtection="1">
      <alignment horizontal="left"/>
      <protection locked="0"/>
    </xf>
    <xf numFmtId="0" fontId="71" fillId="58" borderId="43" xfId="0" applyFont="1" applyFill="1" applyBorder="1" applyAlignment="1">
      <alignment horizontal="center" vertical="center" wrapText="1"/>
    </xf>
    <xf numFmtId="182" fontId="71" fillId="3" borderId="43" xfId="0" applyNumberFormat="1" applyFont="1" applyFill="1" applyBorder="1" applyAlignment="1">
      <alignment horizontal="center"/>
    </xf>
    <xf numFmtId="182" fontId="71" fillId="2" borderId="43" xfId="0" applyNumberFormat="1" applyFont="1" applyFill="1" applyBorder="1" applyAlignment="1">
      <alignment horizontal="center" vertical="center"/>
    </xf>
    <xf numFmtId="0" fontId="54" fillId="0" borderId="43" xfId="998" applyFont="1" applyBorder="1" applyAlignment="1">
      <alignment horizontal="center" vertical="center" wrapText="1"/>
    </xf>
    <xf numFmtId="0" fontId="54" fillId="0" borderId="38" xfId="0" applyFont="1" applyBorder="1" applyAlignment="1" applyProtection="1">
      <alignment horizontal="center" vertical="center" wrapText="1"/>
      <protection locked="0"/>
    </xf>
    <xf numFmtId="0" fontId="54" fillId="0" borderId="46" xfId="0" applyFont="1" applyBorder="1" applyAlignment="1" applyProtection="1">
      <alignment horizontal="center" vertical="center" wrapText="1"/>
      <protection locked="0"/>
    </xf>
    <xf numFmtId="0" fontId="80" fillId="0" borderId="38" xfId="0" applyFont="1" applyBorder="1" applyAlignment="1" applyProtection="1">
      <alignment horizontal="center" vertical="center" wrapText="1"/>
      <protection locked="0"/>
    </xf>
    <xf numFmtId="0" fontId="80" fillId="0" borderId="46" xfId="0" applyFont="1" applyBorder="1" applyAlignment="1" applyProtection="1">
      <alignment horizontal="center" vertical="center" wrapText="1"/>
      <protection locked="0"/>
    </xf>
  </cellXfs>
  <cellStyles count="2045">
    <cellStyle name="20% - Énfasis1" xfId="25" builtinId="30" customBuiltin="1"/>
    <cellStyle name="20% - Énfasis1 2" xfId="72" xr:uid="{00000000-0005-0000-0000-000001000000}"/>
    <cellStyle name="20% - Énfasis1 2 2" xfId="73" xr:uid="{00000000-0005-0000-0000-000002000000}"/>
    <cellStyle name="20% - Énfasis2" xfId="29" builtinId="34" customBuiltin="1"/>
    <cellStyle name="20% - Énfasis2 2" xfId="74" xr:uid="{00000000-0005-0000-0000-000004000000}"/>
    <cellStyle name="20% - Énfasis2 2 2" xfId="75" xr:uid="{00000000-0005-0000-0000-000005000000}"/>
    <cellStyle name="20% - Énfasis3" xfId="33" builtinId="38" customBuiltin="1"/>
    <cellStyle name="20% - Énfasis3 2" xfId="76" xr:uid="{00000000-0005-0000-0000-000007000000}"/>
    <cellStyle name="20% - Énfasis3 2 2" xfId="77" xr:uid="{00000000-0005-0000-0000-000008000000}"/>
    <cellStyle name="20% - Énfasis4" xfId="37" builtinId="42" customBuiltin="1"/>
    <cellStyle name="20% - Énfasis4 2" xfId="78" xr:uid="{00000000-0005-0000-0000-00000A000000}"/>
    <cellStyle name="20% - Énfasis4 2 2" xfId="79" xr:uid="{00000000-0005-0000-0000-00000B000000}"/>
    <cellStyle name="20% - Énfasis5" xfId="41" builtinId="46" customBuiltin="1"/>
    <cellStyle name="20% - Énfasis5 2" xfId="80" xr:uid="{00000000-0005-0000-0000-00000D000000}"/>
    <cellStyle name="20% - Énfasis5 2 2" xfId="81" xr:uid="{00000000-0005-0000-0000-00000E000000}"/>
    <cellStyle name="20% - Énfasis6" xfId="45" builtinId="50" customBuiltin="1"/>
    <cellStyle name="20% - Énfasis6 2" xfId="82" xr:uid="{00000000-0005-0000-0000-000010000000}"/>
    <cellStyle name="20% - Énfasis6 2 2" xfId="83" xr:uid="{00000000-0005-0000-0000-000011000000}"/>
    <cellStyle name="40% - Énfasis1" xfId="26" builtinId="31" customBuiltin="1"/>
    <cellStyle name="40% - Énfasis1 2" xfId="84" xr:uid="{00000000-0005-0000-0000-000013000000}"/>
    <cellStyle name="40% - Énfasis1 2 2" xfId="85" xr:uid="{00000000-0005-0000-0000-000014000000}"/>
    <cellStyle name="40% - Énfasis2" xfId="30" builtinId="35" customBuiltin="1"/>
    <cellStyle name="40% - Énfasis2 2" xfId="86" xr:uid="{00000000-0005-0000-0000-000016000000}"/>
    <cellStyle name="40% - Énfasis2 2 2" xfId="87" xr:uid="{00000000-0005-0000-0000-000017000000}"/>
    <cellStyle name="40% - Énfasis3" xfId="34" builtinId="39" customBuiltin="1"/>
    <cellStyle name="40% - Énfasis3 2" xfId="88" xr:uid="{00000000-0005-0000-0000-000019000000}"/>
    <cellStyle name="40% - Énfasis3 2 2" xfId="89" xr:uid="{00000000-0005-0000-0000-00001A000000}"/>
    <cellStyle name="40% - Énfasis4" xfId="38" builtinId="43" customBuiltin="1"/>
    <cellStyle name="40% - Énfasis4 2" xfId="90" xr:uid="{00000000-0005-0000-0000-00001C000000}"/>
    <cellStyle name="40% - Énfasis4 2 2" xfId="91" xr:uid="{00000000-0005-0000-0000-00001D000000}"/>
    <cellStyle name="40% - Énfasis5" xfId="42" builtinId="47" customBuiltin="1"/>
    <cellStyle name="40% - Énfasis5 2" xfId="92" xr:uid="{00000000-0005-0000-0000-00001F000000}"/>
    <cellStyle name="40% - Énfasis5 2 2" xfId="93" xr:uid="{00000000-0005-0000-0000-000020000000}"/>
    <cellStyle name="40% - Énfasis6" xfId="46" builtinId="51" customBuiltin="1"/>
    <cellStyle name="40% - Énfasis6 2" xfId="94" xr:uid="{00000000-0005-0000-0000-000022000000}"/>
    <cellStyle name="40% - Énfasis6 2 2" xfId="95" xr:uid="{00000000-0005-0000-0000-000023000000}"/>
    <cellStyle name="60% - Énfasis1" xfId="27" builtinId="32" customBuiltin="1"/>
    <cellStyle name="60% - Énfasis1 2" xfId="96" xr:uid="{00000000-0005-0000-0000-000025000000}"/>
    <cellStyle name="60% - Énfasis2" xfId="31" builtinId="36" customBuiltin="1"/>
    <cellStyle name="60% - Énfasis2 2" xfId="97" xr:uid="{00000000-0005-0000-0000-000027000000}"/>
    <cellStyle name="60% - Énfasis3" xfId="35" builtinId="40" customBuiltin="1"/>
    <cellStyle name="60% - Énfasis3 2" xfId="98" xr:uid="{00000000-0005-0000-0000-000029000000}"/>
    <cellStyle name="60% - Énfasis4" xfId="39" builtinId="44" customBuiltin="1"/>
    <cellStyle name="60% - Énfasis4 2" xfId="99" xr:uid="{00000000-0005-0000-0000-00002B000000}"/>
    <cellStyle name="60% - Énfasis5" xfId="43" builtinId="48" customBuiltin="1"/>
    <cellStyle name="60% - Énfasis5 2" xfId="100" xr:uid="{00000000-0005-0000-0000-00002D000000}"/>
    <cellStyle name="60% - Énfasis6" xfId="47" builtinId="52" customBuiltin="1"/>
    <cellStyle name="60% - Énfasis6 2" xfId="101" xr:uid="{00000000-0005-0000-0000-00002F000000}"/>
    <cellStyle name="Buena 2" xfId="102" xr:uid="{00000000-0005-0000-0000-000030000000}"/>
    <cellStyle name="Bueno" xfId="12" builtinId="26" customBuiltin="1"/>
    <cellStyle name="Cálculo" xfId="17" builtinId="22" customBuiltin="1"/>
    <cellStyle name="Cálculo 2" xfId="103" xr:uid="{00000000-0005-0000-0000-000033000000}"/>
    <cellStyle name="Cálculo 2 2" xfId="104" xr:uid="{00000000-0005-0000-0000-000034000000}"/>
    <cellStyle name="Cálculo 2 2 2" xfId="1789" xr:uid="{00000000-0005-0000-0000-000035000000}"/>
    <cellStyle name="Cálculo 2 2 2 2" xfId="2014" xr:uid="{9885ADC2-080B-4784-8831-FE17DF20389A}"/>
    <cellStyle name="Cálculo 2 2 2 2 2" xfId="2036" xr:uid="{99035D23-3DD0-4B95-81ED-13821BB36434}"/>
    <cellStyle name="Cálculo 2 2 2 3" xfId="1904" xr:uid="{6655F44F-90ED-46B8-9221-3AE9451E043D}"/>
    <cellStyle name="Cálculo 2 2 3" xfId="1924" xr:uid="{AFE3F568-61C5-4645-9472-FF417CDF14D5}"/>
    <cellStyle name="Cálculo 2 2 3 2" xfId="2026" xr:uid="{7B88947B-6793-490F-9240-BA9969285B26}"/>
    <cellStyle name="Cálculo 2 2 4" xfId="1814" xr:uid="{0297E52A-CF7C-4B2F-9214-C70190870D1B}"/>
    <cellStyle name="Cálculo 2 3" xfId="1788" xr:uid="{00000000-0005-0000-0000-000036000000}"/>
    <cellStyle name="Cálculo 2 3 2" xfId="2013" xr:uid="{7C147477-6706-426E-B5FE-FAD2393ED55C}"/>
    <cellStyle name="Cálculo 2 3 2 2" xfId="2035" xr:uid="{06CBF5E5-C0F6-46C3-B5F9-91C9FD16BCB6}"/>
    <cellStyle name="Cálculo 2 3 3" xfId="1903" xr:uid="{AE860EA1-0E7C-4475-86BF-50ABAC131939}"/>
    <cellStyle name="Cálculo 2 4" xfId="1923" xr:uid="{D92CF17A-88F2-42EF-8018-0356390516C7}"/>
    <cellStyle name="Cálculo 2 4 2" xfId="2025" xr:uid="{89EA9441-1CC0-4073-A3E7-06E28642D1CA}"/>
    <cellStyle name="Cálculo 2 5" xfId="1813" xr:uid="{6DE836C0-A172-44B2-BCBB-F812E1BAAF9E}"/>
    <cellStyle name="Celda de comprobación" xfId="19" builtinId="23" customBuiltin="1"/>
    <cellStyle name="Celda de comprobación 2" xfId="105" xr:uid="{00000000-0005-0000-0000-000038000000}"/>
    <cellStyle name="Celda vinculada" xfId="18" builtinId="24" customBuiltin="1"/>
    <cellStyle name="Celda vinculada 2" xfId="106" xr:uid="{00000000-0005-0000-0000-00003A000000}"/>
    <cellStyle name="Currency 2" xfId="1802" xr:uid="{9867D555-DA30-410E-AB5F-8485F0497267}"/>
    <cellStyle name="Currency 2 2" xfId="2023" xr:uid="{69F2C796-D0F4-4395-8BB0-4D21902895DD}"/>
    <cellStyle name="Currency 2 3" xfId="1913" xr:uid="{01BDA8AB-0975-41D4-BC96-D33EAC95F855}"/>
    <cellStyle name="Encabezado 4" xfId="11" builtinId="19" customBuiltin="1"/>
    <cellStyle name="Encabezado 4 2" xfId="107" xr:uid="{00000000-0005-0000-0000-00003C000000}"/>
    <cellStyle name="Énfasis1" xfId="24" builtinId="29" customBuiltin="1"/>
    <cellStyle name="Énfasis1 2" xfId="108" xr:uid="{00000000-0005-0000-0000-00003E000000}"/>
    <cellStyle name="Énfasis2" xfId="28" builtinId="33" customBuiltin="1"/>
    <cellStyle name="Énfasis2 2" xfId="109" xr:uid="{00000000-0005-0000-0000-000040000000}"/>
    <cellStyle name="Énfasis3" xfId="32" builtinId="37" customBuiltin="1"/>
    <cellStyle name="Énfasis3 2" xfId="110" xr:uid="{00000000-0005-0000-0000-000042000000}"/>
    <cellStyle name="Énfasis4" xfId="36" builtinId="41" customBuiltin="1"/>
    <cellStyle name="Énfasis4 2" xfId="111" xr:uid="{00000000-0005-0000-0000-000044000000}"/>
    <cellStyle name="Énfasis5" xfId="40" builtinId="45" customBuiltin="1"/>
    <cellStyle name="Énfasis5 2" xfId="112" xr:uid="{00000000-0005-0000-0000-000046000000}"/>
    <cellStyle name="Énfasis6" xfId="44" builtinId="49" customBuiltin="1"/>
    <cellStyle name="Énfasis6 2" xfId="113" xr:uid="{00000000-0005-0000-0000-000048000000}"/>
    <cellStyle name="Entrada" xfId="15" builtinId="20" customBuiltin="1"/>
    <cellStyle name="Entrada 2" xfId="114" xr:uid="{00000000-0005-0000-0000-00004A000000}"/>
    <cellStyle name="Entrada 2 2" xfId="115" xr:uid="{00000000-0005-0000-0000-00004B000000}"/>
    <cellStyle name="Entrada 2 2 2" xfId="1791" xr:uid="{00000000-0005-0000-0000-00004C000000}"/>
    <cellStyle name="Entrada 2 2 2 2" xfId="2016" xr:uid="{61377D04-096E-4A0F-A0AF-89661E38C643}"/>
    <cellStyle name="Entrada 2 2 2 2 2" xfId="2038" xr:uid="{2DBF379A-B4FE-43FC-9844-5BEEB4C3BB0F}"/>
    <cellStyle name="Entrada 2 2 2 3" xfId="1906" xr:uid="{2286BF01-E4E7-4133-BCC3-D889A8053C61}"/>
    <cellStyle name="Entrada 2 2 3" xfId="1926" xr:uid="{9B648D89-5894-4901-9DBD-1AFC256395A1}"/>
    <cellStyle name="Entrada 2 2 3 2" xfId="2028" xr:uid="{D5AE0EC2-4DCE-4AF1-BE2D-49D2D79B1CAA}"/>
    <cellStyle name="Entrada 2 2 4" xfId="1816" xr:uid="{B202264F-1CBF-429F-8C6E-FE0698B1F709}"/>
    <cellStyle name="Entrada 2 3" xfId="1790" xr:uid="{00000000-0005-0000-0000-00004D000000}"/>
    <cellStyle name="Entrada 2 3 2" xfId="2015" xr:uid="{08FC67DE-12F9-4E16-9F8D-673A24662341}"/>
    <cellStyle name="Entrada 2 3 2 2" xfId="2037" xr:uid="{F4922F02-46F3-4B4E-8989-ECA4B0B6F2C0}"/>
    <cellStyle name="Entrada 2 3 3" xfId="1905" xr:uid="{EDF6BEE0-E0A9-4F33-BBD3-2E7C47315A84}"/>
    <cellStyle name="Entrada 2 4" xfId="1925" xr:uid="{26F503E3-C693-4892-880B-C873533AF945}"/>
    <cellStyle name="Entrada 2 4 2" xfId="2027" xr:uid="{627A7931-D59F-44F1-BCB5-8FD5B17C43D0}"/>
    <cellStyle name="Entrada 2 5" xfId="1815" xr:uid="{738F76AA-4902-463E-9A81-9C93AA6985C4}"/>
    <cellStyle name="Estilo 1" xfId="116" xr:uid="{00000000-0005-0000-0000-00004E000000}"/>
    <cellStyle name="Estilo 1 2" xfId="117" xr:uid="{00000000-0005-0000-0000-00004F000000}"/>
    <cellStyle name="Estilo 1 2 2" xfId="118" xr:uid="{00000000-0005-0000-0000-000050000000}"/>
    <cellStyle name="Euro" xfId="53" xr:uid="{00000000-0005-0000-0000-000051000000}"/>
    <cellStyle name="Euro 2" xfId="119" xr:uid="{00000000-0005-0000-0000-000052000000}"/>
    <cellStyle name="Excel Built-in Normal" xfId="120" xr:uid="{00000000-0005-0000-0000-000053000000}"/>
    <cellStyle name="Hipervínculo 2" xfId="121" xr:uid="{00000000-0005-0000-0000-000054000000}"/>
    <cellStyle name="Hipervínculo 3" xfId="1798" xr:uid="{00000000-0005-0000-0000-000055000000}"/>
    <cellStyle name="Incorrecto" xfId="13" builtinId="27" customBuiltin="1"/>
    <cellStyle name="Incorrecto 2" xfId="122" xr:uid="{00000000-0005-0000-0000-000057000000}"/>
    <cellStyle name="Millares" xfId="1" builtinId="3"/>
    <cellStyle name="Millares 10" xfId="123" xr:uid="{00000000-0005-0000-0000-000059000000}"/>
    <cellStyle name="Millares 10 2" xfId="124" xr:uid="{00000000-0005-0000-0000-00005A000000}"/>
    <cellStyle name="Millares 10 2 2" xfId="1928" xr:uid="{9979761F-AC83-4546-83CB-CAC5DC130BAD}"/>
    <cellStyle name="Millares 10 2 3" xfId="1818" xr:uid="{1967AD9F-BB4C-4296-880A-BB7929C51B64}"/>
    <cellStyle name="Millares 10 3" xfId="1927" xr:uid="{6BBC5036-0ED2-4937-B17B-064773FCE4C1}"/>
    <cellStyle name="Millares 10 4" xfId="1817" xr:uid="{8A6CB609-8328-4E4C-AD81-D3226994A2EF}"/>
    <cellStyle name="Millares 11" xfId="125" xr:uid="{00000000-0005-0000-0000-00005B000000}"/>
    <cellStyle name="Millares 11 2" xfId="126" xr:uid="{00000000-0005-0000-0000-00005C000000}"/>
    <cellStyle name="Millares 11 4" xfId="127" xr:uid="{00000000-0005-0000-0000-00005D000000}"/>
    <cellStyle name="Millares 12" xfId="128" xr:uid="{00000000-0005-0000-0000-00005E000000}"/>
    <cellStyle name="Millares 12 2" xfId="129" xr:uid="{00000000-0005-0000-0000-00005F000000}"/>
    <cellStyle name="Millares 12 2 2" xfId="130" xr:uid="{00000000-0005-0000-0000-000060000000}"/>
    <cellStyle name="Millares 12 2 2 2" xfId="1930" xr:uid="{0DEB456D-188F-442D-BD3E-1C1DB26A240F}"/>
    <cellStyle name="Millares 12 2 2 3" xfId="1820" xr:uid="{CC38ACFE-5F37-487F-A7E5-54F7282236FA}"/>
    <cellStyle name="Millares 12 3" xfId="1929" xr:uid="{ED8D154A-D4ED-4623-B42A-40C1CE4A0EBE}"/>
    <cellStyle name="Millares 12 4" xfId="131" xr:uid="{00000000-0005-0000-0000-000061000000}"/>
    <cellStyle name="Millares 12 5" xfId="1819" xr:uid="{42184D1A-454B-4C39-A802-4C8A2ED9043C}"/>
    <cellStyle name="Millares 13" xfId="132" xr:uid="{00000000-0005-0000-0000-000062000000}"/>
    <cellStyle name="Millares 13 2" xfId="133" xr:uid="{00000000-0005-0000-0000-000063000000}"/>
    <cellStyle name="Millares 13 2 2" xfId="134" xr:uid="{00000000-0005-0000-0000-000064000000}"/>
    <cellStyle name="Millares 13 2 2 2" xfId="1932" xr:uid="{BBB73BD1-B7ED-4228-A1EA-AE7F5F3A31C5}"/>
    <cellStyle name="Millares 13 2 2 3" xfId="1822" xr:uid="{35ED714B-0660-4AA5-9568-A6DFA1313327}"/>
    <cellStyle name="Millares 13 3" xfId="135" xr:uid="{00000000-0005-0000-0000-000065000000}"/>
    <cellStyle name="Millares 13 4" xfId="1931" xr:uid="{50790BD3-9542-4C15-B6B6-64B1699E5B38}"/>
    <cellStyle name="Millares 13 5" xfId="1821" xr:uid="{902EA4E3-5B26-413E-A996-E3F2F418F08E}"/>
    <cellStyle name="Millares 14" xfId="136" xr:uid="{00000000-0005-0000-0000-000066000000}"/>
    <cellStyle name="Millares 14 2" xfId="137" xr:uid="{00000000-0005-0000-0000-000067000000}"/>
    <cellStyle name="Millares 14 2 2" xfId="138" xr:uid="{00000000-0005-0000-0000-000068000000}"/>
    <cellStyle name="Millares 14 2 2 2" xfId="1933" xr:uid="{22E3A9E3-57F3-422A-9694-9C8B466E9DD3}"/>
    <cellStyle name="Millares 14 2 2 3" xfId="1823" xr:uid="{096DCD27-38C6-4E1B-9122-FE316E7EF0C3}"/>
    <cellStyle name="Millares 14 3" xfId="139" xr:uid="{00000000-0005-0000-0000-000069000000}"/>
    <cellStyle name="Millares 14 3 2" xfId="1934" xr:uid="{F04FAF9D-FA08-40F7-9BB8-6D0F64CB503D}"/>
    <cellStyle name="Millares 14 3 3" xfId="1824" xr:uid="{3D1CA16D-6DA5-4488-9090-347C7AFE3632}"/>
    <cellStyle name="Millares 15" xfId="140" xr:uid="{00000000-0005-0000-0000-00006A000000}"/>
    <cellStyle name="Millares 15 2" xfId="141" xr:uid="{00000000-0005-0000-0000-00006B000000}"/>
    <cellStyle name="Millares 15 2 2" xfId="1935" xr:uid="{6DA88A0D-159D-44BD-9A04-542E4998BD9F}"/>
    <cellStyle name="Millares 15 2 3" xfId="1825" xr:uid="{F1ED84AF-AEE6-4148-88C3-EAD9B9D46747}"/>
    <cellStyle name="Millares 15 3" xfId="142" xr:uid="{00000000-0005-0000-0000-00006C000000}"/>
    <cellStyle name="Millares 15 3 2" xfId="1936" xr:uid="{C375F457-49C7-4EDF-B385-7A5C7B3A93A6}"/>
    <cellStyle name="Millares 15 3 3" xfId="1826" xr:uid="{956A9247-AEF9-4A67-94D3-8424BA712DBA}"/>
    <cellStyle name="Millares 16" xfId="143" xr:uid="{00000000-0005-0000-0000-00006D000000}"/>
    <cellStyle name="Millares 16 2" xfId="144" xr:uid="{00000000-0005-0000-0000-00006E000000}"/>
    <cellStyle name="Millares 16 2 2" xfId="145" xr:uid="{00000000-0005-0000-0000-00006F000000}"/>
    <cellStyle name="Millares 16 2 2 2" xfId="1937" xr:uid="{C7335B67-7A10-4C03-A9A2-ECB335943F2E}"/>
    <cellStyle name="Millares 16 2 2 3" xfId="1827" xr:uid="{9A9B99E0-F11D-4B6C-AFA9-28CB35032BAB}"/>
    <cellStyle name="Millares 16 3" xfId="146" xr:uid="{00000000-0005-0000-0000-000070000000}"/>
    <cellStyle name="Millares 16 3 2" xfId="1938" xr:uid="{AC5535CC-43CB-4E3B-9A4F-D5199692F595}"/>
    <cellStyle name="Millares 16 3 3" xfId="1828" xr:uid="{9763C8EA-517C-456E-B2B7-16357EB6C30C}"/>
    <cellStyle name="Millares 16 4" xfId="147" xr:uid="{00000000-0005-0000-0000-000071000000}"/>
    <cellStyle name="Millares 16 4 2" xfId="1939" xr:uid="{22C1BDCE-F37B-4D68-BC09-CEAA0A3789B5}"/>
    <cellStyle name="Millares 16 4 3" xfId="1829" xr:uid="{F0BC7675-4EF5-49EB-B199-CB00FB1B455B}"/>
    <cellStyle name="Millares 16 5" xfId="148" xr:uid="{00000000-0005-0000-0000-000072000000}"/>
    <cellStyle name="Millares 16 5 2" xfId="1940" xr:uid="{DFDC9E9C-2D3F-4881-B6E3-5E08FA56C9D8}"/>
    <cellStyle name="Millares 16 5 3" xfId="1830" xr:uid="{E0E1ACE7-0CFE-44F3-B46B-AB1A352AC63E}"/>
    <cellStyle name="Millares 17" xfId="149" xr:uid="{00000000-0005-0000-0000-000073000000}"/>
    <cellStyle name="Millares 17 2" xfId="150" xr:uid="{00000000-0005-0000-0000-000074000000}"/>
    <cellStyle name="Millares 17 2 2" xfId="1942" xr:uid="{442BB096-C1A9-48E8-A897-F7E99E3BDC58}"/>
    <cellStyle name="Millares 17 2 3" xfId="1832" xr:uid="{5D694466-C023-48D3-95AB-38BE76F1066A}"/>
    <cellStyle name="Millares 17 3" xfId="1941" xr:uid="{B4260C85-4922-4D17-AA59-3EFDD1B36225}"/>
    <cellStyle name="Millares 17 4" xfId="1831" xr:uid="{D093DE4C-BBFC-43F0-8A23-12F7B246DEAB}"/>
    <cellStyle name="Millares 18" xfId="151" xr:uid="{00000000-0005-0000-0000-000075000000}"/>
    <cellStyle name="Millares 19" xfId="152" xr:uid="{00000000-0005-0000-0000-000076000000}"/>
    <cellStyle name="Millares 19 2" xfId="153" xr:uid="{00000000-0005-0000-0000-000077000000}"/>
    <cellStyle name="Millares 19 2 2" xfId="1943" xr:uid="{DD81EC90-A234-437C-B637-C1CFA7D15DCB}"/>
    <cellStyle name="Millares 19 2 3" xfId="1833" xr:uid="{91AA7DF5-5A18-48BC-85A1-54B0AA4D4B59}"/>
    <cellStyle name="Millares 19 3" xfId="154" xr:uid="{00000000-0005-0000-0000-000078000000}"/>
    <cellStyle name="Millares 19 3 2" xfId="1944" xr:uid="{78D283A7-5A21-42E8-8BE1-068CA33C66F3}"/>
    <cellStyle name="Millares 19 3 3" xfId="1834" xr:uid="{0AD3713C-1323-469E-9367-CCA2F275FC5E}"/>
    <cellStyle name="Millares 2" xfId="4" xr:uid="{00000000-0005-0000-0000-000079000000}"/>
    <cellStyle name="Millares 2 10" xfId="156" xr:uid="{00000000-0005-0000-0000-00007A000000}"/>
    <cellStyle name="Millares 2 10 2" xfId="157" xr:uid="{00000000-0005-0000-0000-00007B000000}"/>
    <cellStyle name="Millares 2 11" xfId="158" xr:uid="{00000000-0005-0000-0000-00007C000000}"/>
    <cellStyle name="Millares 2 11 2" xfId="159" xr:uid="{00000000-0005-0000-0000-00007D000000}"/>
    <cellStyle name="Millares 2 12" xfId="160" xr:uid="{00000000-0005-0000-0000-00007E000000}"/>
    <cellStyle name="Millares 2 12 2" xfId="161" xr:uid="{00000000-0005-0000-0000-00007F000000}"/>
    <cellStyle name="Millares 2 13" xfId="162" xr:uid="{00000000-0005-0000-0000-000080000000}"/>
    <cellStyle name="Millares 2 13 2" xfId="163" xr:uid="{00000000-0005-0000-0000-000081000000}"/>
    <cellStyle name="Millares 2 14" xfId="164" xr:uid="{00000000-0005-0000-0000-000082000000}"/>
    <cellStyle name="Millares 2 14 2" xfId="165" xr:uid="{00000000-0005-0000-0000-000083000000}"/>
    <cellStyle name="Millares 2 15" xfId="166" xr:uid="{00000000-0005-0000-0000-000084000000}"/>
    <cellStyle name="Millares 2 15 2" xfId="167" xr:uid="{00000000-0005-0000-0000-000085000000}"/>
    <cellStyle name="Millares 2 16" xfId="168" xr:uid="{00000000-0005-0000-0000-000086000000}"/>
    <cellStyle name="Millares 2 16 2" xfId="169" xr:uid="{00000000-0005-0000-0000-000087000000}"/>
    <cellStyle name="Millares 2 17" xfId="170" xr:uid="{00000000-0005-0000-0000-000088000000}"/>
    <cellStyle name="Millares 2 17 2" xfId="171" xr:uid="{00000000-0005-0000-0000-000089000000}"/>
    <cellStyle name="Millares 2 18" xfId="172" xr:uid="{00000000-0005-0000-0000-00008A000000}"/>
    <cellStyle name="Millares 2 18 2" xfId="173" xr:uid="{00000000-0005-0000-0000-00008B000000}"/>
    <cellStyle name="Millares 2 19" xfId="174" xr:uid="{00000000-0005-0000-0000-00008C000000}"/>
    <cellStyle name="Millares 2 19 2" xfId="175" xr:uid="{00000000-0005-0000-0000-00008D000000}"/>
    <cellStyle name="Millares 2 2" xfId="59" xr:uid="{00000000-0005-0000-0000-00008E000000}"/>
    <cellStyle name="Millares 2 2 10" xfId="177" xr:uid="{00000000-0005-0000-0000-00008F000000}"/>
    <cellStyle name="Millares 2 2 10 2" xfId="178" xr:uid="{00000000-0005-0000-0000-000090000000}"/>
    <cellStyle name="Millares 2 2 10 2 2" xfId="1947" xr:uid="{0BD740CA-9C4B-4B24-AA4F-46CD2A177D88}"/>
    <cellStyle name="Millares 2 2 10 2 3" xfId="1837" xr:uid="{C7C8B5D7-9CF5-4A29-950D-991E1E3AE9C8}"/>
    <cellStyle name="Millares 2 2 10 3" xfId="1946" xr:uid="{DB59B4F3-BBB4-4241-97A2-F2147568B554}"/>
    <cellStyle name="Millares 2 2 10 4" xfId="1836" xr:uid="{4157D47B-2C96-4D60-88EB-D801BC07830C}"/>
    <cellStyle name="Millares 2 2 11" xfId="179" xr:uid="{00000000-0005-0000-0000-000091000000}"/>
    <cellStyle name="Millares 2 2 11 2" xfId="180" xr:uid="{00000000-0005-0000-0000-000092000000}"/>
    <cellStyle name="Millares 2 2 11 2 2" xfId="1949" xr:uid="{A305B564-52AA-463E-BB46-820C3DA2E674}"/>
    <cellStyle name="Millares 2 2 11 2 3" xfId="1839" xr:uid="{8E79CE07-E530-402D-838F-41E3FDED747E}"/>
    <cellStyle name="Millares 2 2 11 3" xfId="1948" xr:uid="{404F21C0-BD61-476E-8FA1-A4E9C922A4D2}"/>
    <cellStyle name="Millares 2 2 11 4" xfId="1838" xr:uid="{92C34D82-0819-43A9-983D-210A0D77EC39}"/>
    <cellStyle name="Millares 2 2 12" xfId="181" xr:uid="{00000000-0005-0000-0000-000093000000}"/>
    <cellStyle name="Millares 2 2 12 2" xfId="182" xr:uid="{00000000-0005-0000-0000-000094000000}"/>
    <cellStyle name="Millares 2 2 12 2 2" xfId="1951" xr:uid="{D20744C9-2381-4D46-9C31-823228D1A69C}"/>
    <cellStyle name="Millares 2 2 12 2 3" xfId="1841" xr:uid="{367C8908-F34A-46CC-BB11-56EC5D949FCB}"/>
    <cellStyle name="Millares 2 2 12 3" xfId="1950" xr:uid="{EEBCF784-8B05-43B5-8541-958CE72E8363}"/>
    <cellStyle name="Millares 2 2 12 4" xfId="1840" xr:uid="{4382355F-996C-4A2D-813E-C78D2C669D41}"/>
    <cellStyle name="Millares 2 2 13" xfId="183" xr:uid="{00000000-0005-0000-0000-000095000000}"/>
    <cellStyle name="Millares 2 2 13 2" xfId="184" xr:uid="{00000000-0005-0000-0000-000096000000}"/>
    <cellStyle name="Millares 2 2 13 2 2" xfId="1953" xr:uid="{1DDEB328-9452-4A1A-B1C7-4C6205AF0301}"/>
    <cellStyle name="Millares 2 2 13 2 3" xfId="1843" xr:uid="{58C24BE3-3FA3-4F0E-8150-B3AD80975A39}"/>
    <cellStyle name="Millares 2 2 13 3" xfId="1952" xr:uid="{4CB9BDD5-9CD0-4CB6-A27F-28E6B11B33D6}"/>
    <cellStyle name="Millares 2 2 13 4" xfId="1842" xr:uid="{AD10056C-463D-4B96-B511-BBBB8A852623}"/>
    <cellStyle name="Millares 2 2 14" xfId="185" xr:uid="{00000000-0005-0000-0000-000097000000}"/>
    <cellStyle name="Millares 2 2 14 2" xfId="186" xr:uid="{00000000-0005-0000-0000-000098000000}"/>
    <cellStyle name="Millares 2 2 14 2 2" xfId="1955" xr:uid="{A0E59FCE-1398-4E1B-8426-C7A38FC8D9CD}"/>
    <cellStyle name="Millares 2 2 14 2 3" xfId="1845" xr:uid="{DAE3D859-75C8-425F-9CD9-280A33C27835}"/>
    <cellStyle name="Millares 2 2 14 3" xfId="1954" xr:uid="{27304550-763E-4E70-BAE0-B224DFFB7655}"/>
    <cellStyle name="Millares 2 2 14 4" xfId="1844" xr:uid="{E118A69D-6290-4BEA-B0CF-627034B35829}"/>
    <cellStyle name="Millares 2 2 15" xfId="187" xr:uid="{00000000-0005-0000-0000-000099000000}"/>
    <cellStyle name="Millares 2 2 15 2" xfId="188" xr:uid="{00000000-0005-0000-0000-00009A000000}"/>
    <cellStyle name="Millares 2 2 15 2 2" xfId="1957" xr:uid="{50BC8106-4F76-42D7-96C9-F72C7B7ADCCC}"/>
    <cellStyle name="Millares 2 2 15 2 3" xfId="1847" xr:uid="{87C06923-25EC-4579-9F91-41E565C3D950}"/>
    <cellStyle name="Millares 2 2 15 3" xfId="1956" xr:uid="{AA5239B8-DC4B-4EC4-B133-EFA564238739}"/>
    <cellStyle name="Millares 2 2 15 4" xfId="1846" xr:uid="{DFB79D0C-4BFD-41D2-B0D0-0B6B23112917}"/>
    <cellStyle name="Millares 2 2 16" xfId="189" xr:uid="{00000000-0005-0000-0000-00009B000000}"/>
    <cellStyle name="Millares 2 2 16 2" xfId="190" xr:uid="{00000000-0005-0000-0000-00009C000000}"/>
    <cellStyle name="Millares 2 2 16 2 2" xfId="1959" xr:uid="{56430286-3832-47A9-B793-667D8CC59FAC}"/>
    <cellStyle name="Millares 2 2 16 2 3" xfId="1849" xr:uid="{C29014F5-07C6-409A-A94F-609DDB2BE62A}"/>
    <cellStyle name="Millares 2 2 16 3" xfId="1958" xr:uid="{6289DD70-D3DD-488D-AF9B-4B968FE43282}"/>
    <cellStyle name="Millares 2 2 16 4" xfId="1848" xr:uid="{B0286D54-C184-467D-8B08-33F90B0BC405}"/>
    <cellStyle name="Millares 2 2 17" xfId="191" xr:uid="{00000000-0005-0000-0000-00009D000000}"/>
    <cellStyle name="Millares 2 2 17 2" xfId="192" xr:uid="{00000000-0005-0000-0000-00009E000000}"/>
    <cellStyle name="Millares 2 2 17 2 2" xfId="1961" xr:uid="{28A54BE1-FA9C-4172-BC40-F790E040BAEE}"/>
    <cellStyle name="Millares 2 2 17 2 3" xfId="1851" xr:uid="{0AD4B994-3AF3-477D-8428-ED4C4AA87DFB}"/>
    <cellStyle name="Millares 2 2 17 3" xfId="1960" xr:uid="{B85E47CE-AB4E-4AE6-8E05-3498E0048D77}"/>
    <cellStyle name="Millares 2 2 17 4" xfId="1850" xr:uid="{62E7CC1F-0092-42B1-A626-F51EF9224089}"/>
    <cellStyle name="Millares 2 2 18" xfId="193" xr:uid="{00000000-0005-0000-0000-00009F000000}"/>
    <cellStyle name="Millares 2 2 18 2" xfId="194" xr:uid="{00000000-0005-0000-0000-0000A0000000}"/>
    <cellStyle name="Millares 2 2 18 2 2" xfId="1963" xr:uid="{54FBA312-8B8A-4C2A-91E3-1E352A6FEB96}"/>
    <cellStyle name="Millares 2 2 18 2 3" xfId="1853" xr:uid="{FCD6DD2A-BB72-4314-BCAD-D643ACD0E8BC}"/>
    <cellStyle name="Millares 2 2 18 3" xfId="1962" xr:uid="{E91878AB-737E-4A32-8120-A3DA00096363}"/>
    <cellStyle name="Millares 2 2 18 4" xfId="1852" xr:uid="{62B3F090-96B7-45FF-BCE9-65766A5102F7}"/>
    <cellStyle name="Millares 2 2 19" xfId="195" xr:uid="{00000000-0005-0000-0000-0000A1000000}"/>
    <cellStyle name="Millares 2 2 19 2" xfId="196" xr:uid="{00000000-0005-0000-0000-0000A2000000}"/>
    <cellStyle name="Millares 2 2 19 2 2" xfId="1965" xr:uid="{7E711E80-9303-438F-AA58-09A437FF599B}"/>
    <cellStyle name="Millares 2 2 19 2 3" xfId="1855" xr:uid="{32A637AB-AA5D-494F-B841-880FBC0AA9E1}"/>
    <cellStyle name="Millares 2 2 19 3" xfId="1964" xr:uid="{4F0E0574-31E0-43B8-96D9-5ADDA12EB817}"/>
    <cellStyle name="Millares 2 2 19 4" xfId="1854" xr:uid="{9A8F6916-E794-4AD4-816E-F577F18A1D72}"/>
    <cellStyle name="Millares 2 2 2" xfId="197" xr:uid="{00000000-0005-0000-0000-0000A3000000}"/>
    <cellStyle name="Millares 2 2 2 10" xfId="198" xr:uid="{00000000-0005-0000-0000-0000A4000000}"/>
    <cellStyle name="Millares 2 2 2 10 2" xfId="199" xr:uid="{00000000-0005-0000-0000-0000A5000000}"/>
    <cellStyle name="Millares 2 2 2 11" xfId="200" xr:uid="{00000000-0005-0000-0000-0000A6000000}"/>
    <cellStyle name="Millares 2 2 2 11 2" xfId="201" xr:uid="{00000000-0005-0000-0000-0000A7000000}"/>
    <cellStyle name="Millares 2 2 2 12" xfId="202" xr:uid="{00000000-0005-0000-0000-0000A8000000}"/>
    <cellStyle name="Millares 2 2 2 12 2" xfId="203" xr:uid="{00000000-0005-0000-0000-0000A9000000}"/>
    <cellStyle name="Millares 2 2 2 13" xfId="204" xr:uid="{00000000-0005-0000-0000-0000AA000000}"/>
    <cellStyle name="Millares 2 2 2 13 2" xfId="205" xr:uid="{00000000-0005-0000-0000-0000AB000000}"/>
    <cellStyle name="Millares 2 2 2 14" xfId="206" xr:uid="{00000000-0005-0000-0000-0000AC000000}"/>
    <cellStyle name="Millares 2 2 2 14 2" xfId="207" xr:uid="{00000000-0005-0000-0000-0000AD000000}"/>
    <cellStyle name="Millares 2 2 2 15" xfId="208" xr:uid="{00000000-0005-0000-0000-0000AE000000}"/>
    <cellStyle name="Millares 2 2 2 15 2" xfId="209" xr:uid="{00000000-0005-0000-0000-0000AF000000}"/>
    <cellStyle name="Millares 2 2 2 16" xfId="210" xr:uid="{00000000-0005-0000-0000-0000B0000000}"/>
    <cellStyle name="Millares 2 2 2 16 2" xfId="211" xr:uid="{00000000-0005-0000-0000-0000B1000000}"/>
    <cellStyle name="Millares 2 2 2 17" xfId="212" xr:uid="{00000000-0005-0000-0000-0000B2000000}"/>
    <cellStyle name="Millares 2 2 2 17 2" xfId="213" xr:uid="{00000000-0005-0000-0000-0000B3000000}"/>
    <cellStyle name="Millares 2 2 2 18" xfId="214" xr:uid="{00000000-0005-0000-0000-0000B4000000}"/>
    <cellStyle name="Millares 2 2 2 18 2" xfId="215" xr:uid="{00000000-0005-0000-0000-0000B5000000}"/>
    <cellStyle name="Millares 2 2 2 19" xfId="216" xr:uid="{00000000-0005-0000-0000-0000B6000000}"/>
    <cellStyle name="Millares 2 2 2 19 2" xfId="217" xr:uid="{00000000-0005-0000-0000-0000B7000000}"/>
    <cellStyle name="Millares 2 2 2 2" xfId="218" xr:uid="{00000000-0005-0000-0000-0000B8000000}"/>
    <cellStyle name="Millares 2 2 2 2 2" xfId="219" xr:uid="{00000000-0005-0000-0000-0000B9000000}"/>
    <cellStyle name="Millares 2 2 2 2 2 2" xfId="220" xr:uid="{00000000-0005-0000-0000-0000BA000000}"/>
    <cellStyle name="Millares 2 2 2 2 2 3" xfId="1967" xr:uid="{84208B5D-A770-4764-964F-2D4EA3E21FE4}"/>
    <cellStyle name="Millares 2 2 2 2 2 4" xfId="1857" xr:uid="{2032523D-A346-4879-B93E-4E184C82CBC6}"/>
    <cellStyle name="Millares 2 2 2 2 3" xfId="221" xr:uid="{00000000-0005-0000-0000-0000BB000000}"/>
    <cellStyle name="Millares 2 2 2 20" xfId="222" xr:uid="{00000000-0005-0000-0000-0000BC000000}"/>
    <cellStyle name="Millares 2 2 2 20 2" xfId="223" xr:uid="{00000000-0005-0000-0000-0000BD000000}"/>
    <cellStyle name="Millares 2 2 2 21" xfId="224" xr:uid="{00000000-0005-0000-0000-0000BE000000}"/>
    <cellStyle name="Millares 2 2 2 21 2" xfId="225" xr:uid="{00000000-0005-0000-0000-0000BF000000}"/>
    <cellStyle name="Millares 2 2 2 22" xfId="226" xr:uid="{00000000-0005-0000-0000-0000C0000000}"/>
    <cellStyle name="Millares 2 2 2 22 2" xfId="227" xr:uid="{00000000-0005-0000-0000-0000C1000000}"/>
    <cellStyle name="Millares 2 2 2 22 2 2" xfId="1968" xr:uid="{4D243DB6-A092-4AC7-AD2B-6DB4ECCD5E88}"/>
    <cellStyle name="Millares 2 2 2 22 2 3" xfId="1858" xr:uid="{8BC2F8EA-AEE0-42CE-8316-538B094B1D35}"/>
    <cellStyle name="Millares 2 2 2 23" xfId="228" xr:uid="{00000000-0005-0000-0000-0000C2000000}"/>
    <cellStyle name="Millares 2 2 2 23 2" xfId="1969" xr:uid="{2D3B67AA-8603-4E63-A9B7-AE2C6798873F}"/>
    <cellStyle name="Millares 2 2 2 23 3" xfId="1859" xr:uid="{9EDA167B-C520-4BBE-880A-7A2478365196}"/>
    <cellStyle name="Millares 2 2 2 24" xfId="1966" xr:uid="{C9437E62-9AEB-4696-97B1-5346F74E1310}"/>
    <cellStyle name="Millares 2 2 2 25" xfId="1856" xr:uid="{07ED1AA6-BB48-499F-B353-D97FBCD21DD8}"/>
    <cellStyle name="Millares 2 2 2 3" xfId="229" xr:uid="{00000000-0005-0000-0000-0000C3000000}"/>
    <cellStyle name="Millares 2 2 2 3 2" xfId="230" xr:uid="{00000000-0005-0000-0000-0000C4000000}"/>
    <cellStyle name="Millares 2 2 2 4" xfId="231" xr:uid="{00000000-0005-0000-0000-0000C5000000}"/>
    <cellStyle name="Millares 2 2 2 4 2" xfId="232" xr:uid="{00000000-0005-0000-0000-0000C6000000}"/>
    <cellStyle name="Millares 2 2 2 5" xfId="233" xr:uid="{00000000-0005-0000-0000-0000C7000000}"/>
    <cellStyle name="Millares 2 2 2 5 2" xfId="234" xr:uid="{00000000-0005-0000-0000-0000C8000000}"/>
    <cellStyle name="Millares 2 2 2 6" xfId="235" xr:uid="{00000000-0005-0000-0000-0000C9000000}"/>
    <cellStyle name="Millares 2 2 2 6 2" xfId="236" xr:uid="{00000000-0005-0000-0000-0000CA000000}"/>
    <cellStyle name="Millares 2 2 2 7" xfId="237" xr:uid="{00000000-0005-0000-0000-0000CB000000}"/>
    <cellStyle name="Millares 2 2 2 7 2" xfId="238" xr:uid="{00000000-0005-0000-0000-0000CC000000}"/>
    <cellStyle name="Millares 2 2 2 8" xfId="239" xr:uid="{00000000-0005-0000-0000-0000CD000000}"/>
    <cellStyle name="Millares 2 2 2 8 2" xfId="240" xr:uid="{00000000-0005-0000-0000-0000CE000000}"/>
    <cellStyle name="Millares 2 2 2 9" xfId="241" xr:uid="{00000000-0005-0000-0000-0000CF000000}"/>
    <cellStyle name="Millares 2 2 2 9 2" xfId="242" xr:uid="{00000000-0005-0000-0000-0000D0000000}"/>
    <cellStyle name="Millares 2 2 20" xfId="243" xr:uid="{00000000-0005-0000-0000-0000D1000000}"/>
    <cellStyle name="Millares 2 2 20 2" xfId="244" xr:uid="{00000000-0005-0000-0000-0000D2000000}"/>
    <cellStyle name="Millares 2 2 20 2 2" xfId="1971" xr:uid="{5D66C8FC-988E-43BA-BDA3-184A95A91451}"/>
    <cellStyle name="Millares 2 2 20 2 3" xfId="1861" xr:uid="{FA6E4C18-F301-41F6-8E69-1886E4CFF4BA}"/>
    <cellStyle name="Millares 2 2 20 3" xfId="1970" xr:uid="{01952E86-1801-45B6-9905-253608DB5FDF}"/>
    <cellStyle name="Millares 2 2 20 4" xfId="1860" xr:uid="{EE647DF5-2C88-4EF4-B381-97BF57889D5E}"/>
    <cellStyle name="Millares 2 2 21" xfId="245" xr:uid="{00000000-0005-0000-0000-0000D3000000}"/>
    <cellStyle name="Millares 2 2 21 2" xfId="246" xr:uid="{00000000-0005-0000-0000-0000D4000000}"/>
    <cellStyle name="Millares 2 2 21 2 2" xfId="1973" xr:uid="{F4CAA3D4-D9A4-4F4F-B396-191939C750D9}"/>
    <cellStyle name="Millares 2 2 21 2 3" xfId="1863" xr:uid="{514391FF-41CC-4C0B-8ABF-26AFAF8CBF16}"/>
    <cellStyle name="Millares 2 2 21 3" xfId="1972" xr:uid="{240BEF33-74B7-42DF-AC55-C0CC678485A7}"/>
    <cellStyle name="Millares 2 2 21 4" xfId="1862" xr:uid="{D0B44229-3DAF-48A4-9666-D811DB046D66}"/>
    <cellStyle name="Millares 2 2 22" xfId="247" xr:uid="{00000000-0005-0000-0000-0000D5000000}"/>
    <cellStyle name="Millares 2 2 22 2" xfId="248" xr:uid="{00000000-0005-0000-0000-0000D6000000}"/>
    <cellStyle name="Millares 2 2 22 2 2" xfId="1975" xr:uid="{AAA36E1D-DA0E-48EE-BA43-A00F7682D722}"/>
    <cellStyle name="Millares 2 2 22 2 3" xfId="1865" xr:uid="{7E77B129-433D-43E7-A133-5282F7D4931D}"/>
    <cellStyle name="Millares 2 2 22 3" xfId="1974" xr:uid="{EAF3F6F7-8E61-4FAC-8E45-6A4C7FA23793}"/>
    <cellStyle name="Millares 2 2 22 4" xfId="1864" xr:uid="{CC89A830-6AD3-474A-B846-D3FA90725FCF}"/>
    <cellStyle name="Millares 2 2 23" xfId="249" xr:uid="{00000000-0005-0000-0000-0000D7000000}"/>
    <cellStyle name="Millares 2 2 23 2" xfId="250" xr:uid="{00000000-0005-0000-0000-0000D8000000}"/>
    <cellStyle name="Millares 2 2 23 2 2" xfId="1977" xr:uid="{049076B4-2F6B-4A32-BCF1-A5183EF05A56}"/>
    <cellStyle name="Millares 2 2 23 2 3" xfId="1867" xr:uid="{5B8B8D89-BA68-4E0F-BA2C-7C9F8E0F1E6C}"/>
    <cellStyle name="Millares 2 2 23 3" xfId="1976" xr:uid="{07D9564A-8DBD-4535-92A4-547C3DAFDA8A}"/>
    <cellStyle name="Millares 2 2 23 4" xfId="1866" xr:uid="{E21ABF7B-B834-4B50-A1F8-75243328952E}"/>
    <cellStyle name="Millares 2 2 24" xfId="251" xr:uid="{00000000-0005-0000-0000-0000D9000000}"/>
    <cellStyle name="Millares 2 2 24 2" xfId="252" xr:uid="{00000000-0005-0000-0000-0000DA000000}"/>
    <cellStyle name="Millares 2 2 25" xfId="253" xr:uid="{00000000-0005-0000-0000-0000DB000000}"/>
    <cellStyle name="Millares 2 2 26" xfId="254" xr:uid="{00000000-0005-0000-0000-0000DC000000}"/>
    <cellStyle name="Millares 2 2 26 2" xfId="1978" xr:uid="{04136B87-9300-49DF-AED2-B19FC3AF7926}"/>
    <cellStyle name="Millares 2 2 26 3" xfId="1868" xr:uid="{5BB37667-AB2D-404F-A2D6-3FF2E2763690}"/>
    <cellStyle name="Millares 2 2 27" xfId="176" xr:uid="{00000000-0005-0000-0000-0000DD000000}"/>
    <cellStyle name="Millares 2 2 3" xfId="255" xr:uid="{00000000-0005-0000-0000-0000DE000000}"/>
    <cellStyle name="Millares 2 2 3 2" xfId="256" xr:uid="{00000000-0005-0000-0000-0000DF000000}"/>
    <cellStyle name="Millares 2 2 4" xfId="257" xr:uid="{00000000-0005-0000-0000-0000E0000000}"/>
    <cellStyle name="Millares 2 2 4 2" xfId="258" xr:uid="{00000000-0005-0000-0000-0000E1000000}"/>
    <cellStyle name="Millares 2 2 5" xfId="259" xr:uid="{00000000-0005-0000-0000-0000E2000000}"/>
    <cellStyle name="Millares 2 2 5 2" xfId="260" xr:uid="{00000000-0005-0000-0000-0000E3000000}"/>
    <cellStyle name="Millares 2 2 5 2 2" xfId="1980" xr:uid="{9C003B9E-31D3-4372-9B86-5DBCB0BA6228}"/>
    <cellStyle name="Millares 2 2 5 2 3" xfId="1870" xr:uid="{C0ADFCB2-385C-4B05-AA3A-45C44C8D4532}"/>
    <cellStyle name="Millares 2 2 5 3" xfId="1979" xr:uid="{353EB70B-F284-4CDF-AA80-6FA1D81F4D50}"/>
    <cellStyle name="Millares 2 2 5 4" xfId="1869" xr:uid="{84C65E95-CA09-407C-B9FA-58F2B71EA38F}"/>
    <cellStyle name="Millares 2 2 6" xfId="261" xr:uid="{00000000-0005-0000-0000-0000E4000000}"/>
    <cellStyle name="Millares 2 2 6 2" xfId="262" xr:uid="{00000000-0005-0000-0000-0000E5000000}"/>
    <cellStyle name="Millares 2 2 6 2 2" xfId="1982" xr:uid="{2A32622A-CFF4-4771-8030-B97244FDAF41}"/>
    <cellStyle name="Millares 2 2 6 2 3" xfId="1872" xr:uid="{1C676FD2-6788-4192-9E8C-72F8F5BC2418}"/>
    <cellStyle name="Millares 2 2 6 3" xfId="1981" xr:uid="{BC939A1C-81EC-45CB-B160-484B2AB36FE9}"/>
    <cellStyle name="Millares 2 2 6 4" xfId="1871" xr:uid="{C1F74B03-4BFF-4912-A518-23A05BB22E54}"/>
    <cellStyle name="Millares 2 2 7" xfId="263" xr:uid="{00000000-0005-0000-0000-0000E6000000}"/>
    <cellStyle name="Millares 2 2 7 2" xfId="264" xr:uid="{00000000-0005-0000-0000-0000E7000000}"/>
    <cellStyle name="Millares 2 2 7 2 2" xfId="1984" xr:uid="{B0F7B705-F7EA-4982-8BC6-15AD902EA864}"/>
    <cellStyle name="Millares 2 2 7 2 3" xfId="1874" xr:uid="{E18DCC79-9C7E-4466-8EEE-51A72F74BD65}"/>
    <cellStyle name="Millares 2 2 7 3" xfId="1983" xr:uid="{55789849-505B-4180-8ABB-E97667A19E04}"/>
    <cellStyle name="Millares 2 2 7 4" xfId="1873" xr:uid="{632F45A3-E45E-4D30-9927-3A2761CFB88E}"/>
    <cellStyle name="Millares 2 2 8" xfId="265" xr:uid="{00000000-0005-0000-0000-0000E8000000}"/>
    <cellStyle name="Millares 2 2 8 2" xfId="266" xr:uid="{00000000-0005-0000-0000-0000E9000000}"/>
    <cellStyle name="Millares 2 2 8 2 2" xfId="1986" xr:uid="{A82905B5-5CF1-43EF-B32B-CBFFF8FB3AAF}"/>
    <cellStyle name="Millares 2 2 8 2 3" xfId="1876" xr:uid="{1D1EE0B1-7F66-4770-9B18-FE9349497006}"/>
    <cellStyle name="Millares 2 2 8 3" xfId="1985" xr:uid="{108337D8-93E2-40F7-BAFF-110D92F23EC1}"/>
    <cellStyle name="Millares 2 2 8 4" xfId="1875" xr:uid="{8EC41B6F-6A5E-49B7-B438-FB3960044EFF}"/>
    <cellStyle name="Millares 2 2 9" xfId="267" xr:uid="{00000000-0005-0000-0000-0000EA000000}"/>
    <cellStyle name="Millares 2 2 9 2" xfId="268" xr:uid="{00000000-0005-0000-0000-0000EB000000}"/>
    <cellStyle name="Millares 2 2 9 2 2" xfId="1988" xr:uid="{85674498-E75B-46C2-B1D2-17D6319D012F}"/>
    <cellStyle name="Millares 2 2 9 2 3" xfId="1878" xr:uid="{F12B8F6B-97AE-4EF6-A26F-9E44DF1BFC20}"/>
    <cellStyle name="Millares 2 2 9 3" xfId="1987" xr:uid="{6C898717-95FE-4FB3-A7CD-0EB73E6B7724}"/>
    <cellStyle name="Millares 2 2 9 4" xfId="1877" xr:uid="{7CA50AA2-561D-4ECB-97BD-4CA504773A52}"/>
    <cellStyle name="Millares 2 20" xfId="269" xr:uid="{00000000-0005-0000-0000-0000EC000000}"/>
    <cellStyle name="Millares 2 20 2" xfId="270" xr:uid="{00000000-0005-0000-0000-0000ED000000}"/>
    <cellStyle name="Millares 2 21" xfId="271" xr:uid="{00000000-0005-0000-0000-0000EE000000}"/>
    <cellStyle name="Millares 2 21 2" xfId="272" xr:uid="{00000000-0005-0000-0000-0000EF000000}"/>
    <cellStyle name="Millares 2 22" xfId="273" xr:uid="{00000000-0005-0000-0000-0000F0000000}"/>
    <cellStyle name="Millares 2 22 2" xfId="274" xr:uid="{00000000-0005-0000-0000-0000F1000000}"/>
    <cellStyle name="Millares 2 23" xfId="275" xr:uid="{00000000-0005-0000-0000-0000F2000000}"/>
    <cellStyle name="Millares 2 23 2" xfId="276" xr:uid="{00000000-0005-0000-0000-0000F3000000}"/>
    <cellStyle name="Millares 2 24" xfId="277" xr:uid="{00000000-0005-0000-0000-0000F4000000}"/>
    <cellStyle name="Millares 2 24 2" xfId="278" xr:uid="{00000000-0005-0000-0000-0000F5000000}"/>
    <cellStyle name="Millares 2 25" xfId="279" xr:uid="{00000000-0005-0000-0000-0000F6000000}"/>
    <cellStyle name="Millares 2 25 2" xfId="280" xr:uid="{00000000-0005-0000-0000-0000F7000000}"/>
    <cellStyle name="Millares 2 26" xfId="281" xr:uid="{00000000-0005-0000-0000-0000F8000000}"/>
    <cellStyle name="Millares 2 26 2" xfId="282" xr:uid="{00000000-0005-0000-0000-0000F9000000}"/>
    <cellStyle name="Millares 2 27" xfId="283" xr:uid="{00000000-0005-0000-0000-0000FA000000}"/>
    <cellStyle name="Millares 2 27 2" xfId="284" xr:uid="{00000000-0005-0000-0000-0000FB000000}"/>
    <cellStyle name="Millares 2 28" xfId="285" xr:uid="{00000000-0005-0000-0000-0000FC000000}"/>
    <cellStyle name="Millares 2 28 2" xfId="286" xr:uid="{00000000-0005-0000-0000-0000FD000000}"/>
    <cellStyle name="Millares 2 29" xfId="287" xr:uid="{00000000-0005-0000-0000-0000FE000000}"/>
    <cellStyle name="Millares 2 29 2" xfId="288" xr:uid="{00000000-0005-0000-0000-0000FF000000}"/>
    <cellStyle name="Millares 2 29 2 2" xfId="1989" xr:uid="{AF636691-5524-4740-830B-129758FD3261}"/>
    <cellStyle name="Millares 2 29 2 3" xfId="1879" xr:uid="{5E58D95E-A9A5-410A-81CA-D3FD573E985B}"/>
    <cellStyle name="Millares 2 3" xfId="289" xr:uid="{00000000-0005-0000-0000-000000010000}"/>
    <cellStyle name="Millares 2 3 2" xfId="290" xr:uid="{00000000-0005-0000-0000-000001010000}"/>
    <cellStyle name="Millares 2 3 2 2" xfId="291" xr:uid="{00000000-0005-0000-0000-000002010000}"/>
    <cellStyle name="Millares 2 3 3" xfId="292" xr:uid="{00000000-0005-0000-0000-000003010000}"/>
    <cellStyle name="Millares 2 3 4" xfId="293" xr:uid="{00000000-0005-0000-0000-000004010000}"/>
    <cellStyle name="Millares 2 30" xfId="294" xr:uid="{00000000-0005-0000-0000-000005010000}"/>
    <cellStyle name="Millares 2 30 2" xfId="1990" xr:uid="{A5E82E30-1B81-43AD-913C-41CBCFE83CA6}"/>
    <cellStyle name="Millares 2 30 3" xfId="1880" xr:uid="{22E84557-1981-4370-8AD5-1CB372A7857F}"/>
    <cellStyle name="Millares 2 31" xfId="295" xr:uid="{00000000-0005-0000-0000-000006010000}"/>
    <cellStyle name="Millares 2 31 2" xfId="1991" xr:uid="{91DECC4F-B922-47FA-B82C-1C79FE674FA2}"/>
    <cellStyle name="Millares 2 31 3" xfId="1881" xr:uid="{A3D8EF6B-DBDF-4684-ABD2-E5E0277D1AE2}"/>
    <cellStyle name="Millares 2 32" xfId="296" xr:uid="{00000000-0005-0000-0000-000007010000}"/>
    <cellStyle name="Millares 2 33" xfId="155" xr:uid="{00000000-0005-0000-0000-000008010000}"/>
    <cellStyle name="Millares 2 33 2" xfId="1945" xr:uid="{BD87F4AE-5C32-4671-BB8D-68334070D3AC}"/>
    <cellStyle name="Millares 2 33 3" xfId="1835" xr:uid="{224B463F-40AF-448A-B926-5B8D30022AF1}"/>
    <cellStyle name="Millares 2 34" xfId="1915" xr:uid="{980E0C9E-D97A-4F28-B608-6EE1C1B74A2D}"/>
    <cellStyle name="Millares 2 35" xfId="1805" xr:uid="{97F18E04-D2D2-47E0-9EB6-EFBF31F45079}"/>
    <cellStyle name="Millares 2 4" xfId="297" xr:uid="{00000000-0005-0000-0000-000009010000}"/>
    <cellStyle name="Millares 2 4 2" xfId="298" xr:uid="{00000000-0005-0000-0000-00000A010000}"/>
    <cellStyle name="Millares 2 4 2 2" xfId="299" xr:uid="{00000000-0005-0000-0000-00000B010000}"/>
    <cellStyle name="Millares 2 4 3" xfId="300" xr:uid="{00000000-0005-0000-0000-00000C010000}"/>
    <cellStyle name="Millares 2 4 4" xfId="301" xr:uid="{00000000-0005-0000-0000-00000D010000}"/>
    <cellStyle name="Millares 2 5" xfId="302" xr:uid="{00000000-0005-0000-0000-00000E010000}"/>
    <cellStyle name="Millares 2 5 2" xfId="303" xr:uid="{00000000-0005-0000-0000-00000F010000}"/>
    <cellStyle name="Millares 2 5 2 2" xfId="304" xr:uid="{00000000-0005-0000-0000-000010010000}"/>
    <cellStyle name="Millares 2 5 2 3" xfId="1992" xr:uid="{5ECF2905-2AF5-42EE-A228-AC6465B9E865}"/>
    <cellStyle name="Millares 2 5 2 4" xfId="1882" xr:uid="{7FEAEEE4-4C64-4B30-8C50-4E3400BD11AD}"/>
    <cellStyle name="Millares 2 5 3" xfId="305" xr:uid="{00000000-0005-0000-0000-000011010000}"/>
    <cellStyle name="Millares 2 6" xfId="306" xr:uid="{00000000-0005-0000-0000-000012010000}"/>
    <cellStyle name="Millares 2 6 2" xfId="307" xr:uid="{00000000-0005-0000-0000-000013010000}"/>
    <cellStyle name="Millares 2 7" xfId="308" xr:uid="{00000000-0005-0000-0000-000014010000}"/>
    <cellStyle name="Millares 2 7 2" xfId="309" xr:uid="{00000000-0005-0000-0000-000015010000}"/>
    <cellStyle name="Millares 2 8" xfId="310" xr:uid="{00000000-0005-0000-0000-000016010000}"/>
    <cellStyle name="Millares 2 8 2" xfId="311" xr:uid="{00000000-0005-0000-0000-000017010000}"/>
    <cellStyle name="Millares 2 8 2 2" xfId="1994" xr:uid="{5427FFB8-3DA8-4D8F-B889-C18D64926A80}"/>
    <cellStyle name="Millares 2 8 2 3" xfId="1884" xr:uid="{C7AB5FC7-BFF1-4E0E-BE78-F00D8C908723}"/>
    <cellStyle name="Millares 2 8 3" xfId="1993" xr:uid="{C6CCD230-3166-4295-9256-DF6E77CB4005}"/>
    <cellStyle name="Millares 2 8 4" xfId="1883" xr:uid="{2B721A3E-69C8-4B76-8D00-F886CB651146}"/>
    <cellStyle name="Millares 2 9" xfId="312" xr:uid="{00000000-0005-0000-0000-000018010000}"/>
    <cellStyle name="Millares 2 9 2" xfId="313" xr:uid="{00000000-0005-0000-0000-000019010000}"/>
    <cellStyle name="Millares 2 9 2 2" xfId="1996" xr:uid="{8ED9ED6C-DC77-4F0C-980D-01D26CD77F18}"/>
    <cellStyle name="Millares 2 9 2 3" xfId="1886" xr:uid="{990BDA96-9B59-489B-884E-D4F545C18838}"/>
    <cellStyle name="Millares 2 9 3" xfId="1995" xr:uid="{0BED64E3-3513-4578-B857-06ECB87A2EF1}"/>
    <cellStyle name="Millares 2 9 4" xfId="1885" xr:uid="{89D05DE6-61D8-43D2-A2FE-C659719FA551}"/>
    <cellStyle name="Millares 20" xfId="314" xr:uid="{00000000-0005-0000-0000-00001A010000}"/>
    <cellStyle name="Millares 21" xfId="315" xr:uid="{00000000-0005-0000-0000-00001B010000}"/>
    <cellStyle name="Millares 22" xfId="316" xr:uid="{00000000-0005-0000-0000-00001C010000}"/>
    <cellStyle name="Millares 23" xfId="317" xr:uid="{00000000-0005-0000-0000-00001D010000}"/>
    <cellStyle name="Millares 24" xfId="318" xr:uid="{00000000-0005-0000-0000-00001E010000}"/>
    <cellStyle name="Millares 25" xfId="319" xr:uid="{00000000-0005-0000-0000-00001F010000}"/>
    <cellStyle name="Millares 25 2" xfId="320" xr:uid="{00000000-0005-0000-0000-000020010000}"/>
    <cellStyle name="Millares 26" xfId="71" xr:uid="{00000000-0005-0000-0000-000021010000}"/>
    <cellStyle name="Millares 26 2" xfId="1922" xr:uid="{AA697B72-D561-4724-9AFA-AC6B266AD249}"/>
    <cellStyle name="Millares 26 3" xfId="1812" xr:uid="{635B62A9-E018-4988-9E7C-8AD38B38FAE9}"/>
    <cellStyle name="Millares 27" xfId="1801" xr:uid="{C718B6DA-5847-490B-A45A-6547A8AEF38D}"/>
    <cellStyle name="Millares 28" xfId="321" xr:uid="{00000000-0005-0000-0000-000022010000}"/>
    <cellStyle name="Millares 3" xfId="60" xr:uid="{00000000-0005-0000-0000-000023010000}"/>
    <cellStyle name="Millares 3 2" xfId="323" xr:uid="{00000000-0005-0000-0000-000024010000}"/>
    <cellStyle name="Millares 3 3" xfId="322" xr:uid="{00000000-0005-0000-0000-000025010000}"/>
    <cellStyle name="Millares 3 3 2" xfId="1997" xr:uid="{B8FDA81A-8334-4E2E-8995-DEAA960E3FEF}"/>
    <cellStyle name="Millares 3 3 3" xfId="1887" xr:uid="{7D8D4BF3-DDBC-47E9-9C8D-055B1BF72D84}"/>
    <cellStyle name="Millares 32" xfId="324" xr:uid="{00000000-0005-0000-0000-000026010000}"/>
    <cellStyle name="Millares 4" xfId="61" xr:uid="{00000000-0005-0000-0000-000027010000}"/>
    <cellStyle name="Millares 4 2" xfId="326" xr:uid="{00000000-0005-0000-0000-000028010000}"/>
    <cellStyle name="Millares 4 2 2" xfId="327" xr:uid="{00000000-0005-0000-0000-000029010000}"/>
    <cellStyle name="Millares 4 2 3" xfId="1999" xr:uid="{44B9B658-EF88-4713-A632-45BF173B017B}"/>
    <cellStyle name="Millares 4 2 4" xfId="1889" xr:uid="{1352CADE-138D-4CBB-9379-68A0B3DDF216}"/>
    <cellStyle name="Millares 4 3" xfId="325" xr:uid="{00000000-0005-0000-0000-00002A010000}"/>
    <cellStyle name="Millares 4 3 2" xfId="1998" xr:uid="{A02EC6E6-59B6-4958-B24C-78AE14F33EF3}"/>
    <cellStyle name="Millares 4 3 3" xfId="1888" xr:uid="{229CE781-6DB2-4107-ACC7-EF1948111BD0}"/>
    <cellStyle name="Millares 4 4" xfId="1920" xr:uid="{D4CF5300-A2B0-4B9B-9BB4-4181B59302BE}"/>
    <cellStyle name="Millares 4 5" xfId="1810" xr:uid="{7446111F-DBA2-4824-BEFC-65A3AFF1CB8C}"/>
    <cellStyle name="Millares 5" xfId="62" xr:uid="{00000000-0005-0000-0000-00002B010000}"/>
    <cellStyle name="Millares 5 2" xfId="329" xr:uid="{00000000-0005-0000-0000-00002C010000}"/>
    <cellStyle name="Millares 5 2 2" xfId="330" xr:uid="{00000000-0005-0000-0000-00002D010000}"/>
    <cellStyle name="Millares 5 3" xfId="331" xr:uid="{00000000-0005-0000-0000-00002E010000}"/>
    <cellStyle name="Millares 5 4" xfId="328" xr:uid="{00000000-0005-0000-0000-00002F010000}"/>
    <cellStyle name="Millares 5 4 2" xfId="2000" xr:uid="{F8926771-E25E-4539-B240-E6E5996F6B4A}"/>
    <cellStyle name="Millares 5 4 3" xfId="1890" xr:uid="{2D7F6845-2D36-4522-A3BB-44D52F904008}"/>
    <cellStyle name="Millares 6" xfId="69" xr:uid="{00000000-0005-0000-0000-000030010000}"/>
    <cellStyle name="Millares 6 2" xfId="333" xr:uid="{00000000-0005-0000-0000-000031010000}"/>
    <cellStyle name="Millares 6 2 2" xfId="334" xr:uid="{00000000-0005-0000-0000-000032010000}"/>
    <cellStyle name="Millares 6 3" xfId="335" xr:uid="{00000000-0005-0000-0000-000033010000}"/>
    <cellStyle name="Millares 6 4" xfId="332" xr:uid="{00000000-0005-0000-0000-000034010000}"/>
    <cellStyle name="Millares 6 5" xfId="1921" xr:uid="{6F08161E-4DC1-402A-86E9-403A8E3C962B}"/>
    <cellStyle name="Millares 6 6" xfId="1811" xr:uid="{5DC3896C-B6AD-440A-B296-57C7DE2E0020}"/>
    <cellStyle name="Millares 7" xfId="336" xr:uid="{00000000-0005-0000-0000-000035010000}"/>
    <cellStyle name="Millares 7 2" xfId="337" xr:uid="{00000000-0005-0000-0000-000036010000}"/>
    <cellStyle name="Millares 7 2 2" xfId="338" xr:uid="{00000000-0005-0000-0000-000037010000}"/>
    <cellStyle name="Millares 7 2 2 2" xfId="2001" xr:uid="{54BFA651-C939-45DB-8E08-E345308494DB}"/>
    <cellStyle name="Millares 7 2 2 3" xfId="1891" xr:uid="{F2FDA856-1F8D-4C4C-B3B7-7F5E67ABFDB2}"/>
    <cellStyle name="Millares 7 3" xfId="339" xr:uid="{00000000-0005-0000-0000-000038010000}"/>
    <cellStyle name="Millares 7 4" xfId="340" xr:uid="{00000000-0005-0000-0000-000039010000}"/>
    <cellStyle name="Millares 7 4 2" xfId="2002" xr:uid="{46573F2E-789C-4334-BFBC-BC17BCDD29BA}"/>
    <cellStyle name="Millares 7 4 3" xfId="1892" xr:uid="{70E82A2C-F849-4722-9156-75AED55E45F8}"/>
    <cellStyle name="Millares 8" xfId="341" xr:uid="{00000000-0005-0000-0000-00003A010000}"/>
    <cellStyle name="Millares 8 2" xfId="342" xr:uid="{00000000-0005-0000-0000-00003B010000}"/>
    <cellStyle name="Millares 8 2 2" xfId="343" xr:uid="{00000000-0005-0000-0000-00003C010000}"/>
    <cellStyle name="Millares 8 2 2 2" xfId="2003" xr:uid="{6F9AA47C-7C88-4665-B035-60EE9E571F09}"/>
    <cellStyle name="Millares 8 2 2 3" xfId="1893" xr:uid="{6BBFCC09-A3FF-4401-90B3-FA9279D1656F}"/>
    <cellStyle name="Millares 8 3" xfId="344" xr:uid="{00000000-0005-0000-0000-00003D010000}"/>
    <cellStyle name="Millares 8 3 2" xfId="2004" xr:uid="{6110BE7F-672C-41DD-AEB6-8183DCAC4741}"/>
    <cellStyle name="Millares 8 3 3" xfId="1894" xr:uid="{C864D6F2-B58D-4063-AAD3-02A2A135A2BD}"/>
    <cellStyle name="Millares 8 4" xfId="345" xr:uid="{00000000-0005-0000-0000-00003E010000}"/>
    <cellStyle name="Millares 9" xfId="346" xr:uid="{00000000-0005-0000-0000-00003F010000}"/>
    <cellStyle name="Millares 9 2" xfId="347" xr:uid="{00000000-0005-0000-0000-000040010000}"/>
    <cellStyle name="Millares 9 2 2" xfId="348" xr:uid="{00000000-0005-0000-0000-000041010000}"/>
    <cellStyle name="Millares 9 2 2 2" xfId="2005" xr:uid="{3F269E4F-2425-4479-AECA-9263B4914BB8}"/>
    <cellStyle name="Millares 9 2 2 3" xfId="1895" xr:uid="{3E6C91AF-9EDF-413C-8154-EBC5721AB8C5}"/>
    <cellStyle name="Millares 9 3" xfId="349" xr:uid="{00000000-0005-0000-0000-000042010000}"/>
    <cellStyle name="Millares 9 3 2" xfId="2006" xr:uid="{A5CEAAA4-5363-41E1-94AE-DF42344D8217}"/>
    <cellStyle name="Millares 9 3 3" xfId="1896" xr:uid="{551D7D0C-B1ED-42DC-8FCE-BC45F3E73576}"/>
    <cellStyle name="Millares 9 4" xfId="350" xr:uid="{00000000-0005-0000-0000-000043010000}"/>
    <cellStyle name="Moneda" xfId="8" builtinId="4"/>
    <cellStyle name="Moneda [0]" xfId="1803" builtinId="7"/>
    <cellStyle name="Moneda [0] 2" xfId="2024" xr:uid="{2105DF79-5E1D-49FB-9078-774DD77CEE53}"/>
    <cellStyle name="Moneda [0] 3" xfId="1914" xr:uid="{DAEBD3C1-C003-45DE-A69A-D5A724E91868}"/>
    <cellStyle name="Moneda 2" xfId="5" xr:uid="{00000000-0005-0000-0000-000045010000}"/>
    <cellStyle name="Moneda 2 10" xfId="352" xr:uid="{00000000-0005-0000-0000-000046010000}"/>
    <cellStyle name="Moneda 2 11" xfId="353" xr:uid="{00000000-0005-0000-0000-000047010000}"/>
    <cellStyle name="Moneda 2 12" xfId="354" xr:uid="{00000000-0005-0000-0000-000048010000}"/>
    <cellStyle name="Moneda 2 13" xfId="355" xr:uid="{00000000-0005-0000-0000-000049010000}"/>
    <cellStyle name="Moneda 2 14" xfId="356" xr:uid="{00000000-0005-0000-0000-00004A010000}"/>
    <cellStyle name="Moneda 2 15" xfId="357" xr:uid="{00000000-0005-0000-0000-00004B010000}"/>
    <cellStyle name="Moneda 2 16" xfId="358" xr:uid="{00000000-0005-0000-0000-00004C010000}"/>
    <cellStyle name="Moneda 2 17" xfId="359" xr:uid="{00000000-0005-0000-0000-00004D010000}"/>
    <cellStyle name="Moneda 2 18" xfId="360" xr:uid="{00000000-0005-0000-0000-00004E010000}"/>
    <cellStyle name="Moneda 2 19" xfId="361" xr:uid="{00000000-0005-0000-0000-00004F010000}"/>
    <cellStyle name="Moneda 2 2" xfId="56" xr:uid="{00000000-0005-0000-0000-000050010000}"/>
    <cellStyle name="Moneda 2 2 10" xfId="363" xr:uid="{00000000-0005-0000-0000-000051010000}"/>
    <cellStyle name="Moneda 2 2 11" xfId="364" xr:uid="{00000000-0005-0000-0000-000052010000}"/>
    <cellStyle name="Moneda 2 2 12" xfId="365" xr:uid="{00000000-0005-0000-0000-000053010000}"/>
    <cellStyle name="Moneda 2 2 13" xfId="366" xr:uid="{00000000-0005-0000-0000-000054010000}"/>
    <cellStyle name="Moneda 2 2 14" xfId="367" xr:uid="{00000000-0005-0000-0000-000055010000}"/>
    <cellStyle name="Moneda 2 2 15" xfId="368" xr:uid="{00000000-0005-0000-0000-000056010000}"/>
    <cellStyle name="Moneda 2 2 16" xfId="369" xr:uid="{00000000-0005-0000-0000-000057010000}"/>
    <cellStyle name="Moneda 2 2 17" xfId="370" xr:uid="{00000000-0005-0000-0000-000058010000}"/>
    <cellStyle name="Moneda 2 2 18" xfId="371" xr:uid="{00000000-0005-0000-0000-000059010000}"/>
    <cellStyle name="Moneda 2 2 19" xfId="372" xr:uid="{00000000-0005-0000-0000-00005A010000}"/>
    <cellStyle name="Moneda 2 2 2" xfId="373" xr:uid="{00000000-0005-0000-0000-00005B010000}"/>
    <cellStyle name="Moneda 2 2 2 10" xfId="374" xr:uid="{00000000-0005-0000-0000-00005C010000}"/>
    <cellStyle name="Moneda 2 2 2 11" xfId="375" xr:uid="{00000000-0005-0000-0000-00005D010000}"/>
    <cellStyle name="Moneda 2 2 2 12" xfId="376" xr:uid="{00000000-0005-0000-0000-00005E010000}"/>
    <cellStyle name="Moneda 2 2 2 13" xfId="377" xr:uid="{00000000-0005-0000-0000-00005F010000}"/>
    <cellStyle name="Moneda 2 2 2 2" xfId="378" xr:uid="{00000000-0005-0000-0000-000060010000}"/>
    <cellStyle name="Moneda 2 2 2 2 10" xfId="379" xr:uid="{00000000-0005-0000-0000-000061010000}"/>
    <cellStyle name="Moneda 2 2 2 2 11" xfId="380" xr:uid="{00000000-0005-0000-0000-000062010000}"/>
    <cellStyle name="Moneda 2 2 2 2 12" xfId="381" xr:uid="{00000000-0005-0000-0000-000063010000}"/>
    <cellStyle name="Moneda 2 2 2 2 13" xfId="382" xr:uid="{00000000-0005-0000-0000-000064010000}"/>
    <cellStyle name="Moneda 2 2 2 2 2" xfId="383" xr:uid="{00000000-0005-0000-0000-000065010000}"/>
    <cellStyle name="Moneda 2 2 2 2 3" xfId="384" xr:uid="{00000000-0005-0000-0000-000066010000}"/>
    <cellStyle name="Moneda 2 2 2 2 4" xfId="385" xr:uid="{00000000-0005-0000-0000-000067010000}"/>
    <cellStyle name="Moneda 2 2 2 2 5" xfId="386" xr:uid="{00000000-0005-0000-0000-000068010000}"/>
    <cellStyle name="Moneda 2 2 2 2 6" xfId="387" xr:uid="{00000000-0005-0000-0000-000069010000}"/>
    <cellStyle name="Moneda 2 2 2 2 7" xfId="388" xr:uid="{00000000-0005-0000-0000-00006A010000}"/>
    <cellStyle name="Moneda 2 2 2 2 8" xfId="389" xr:uid="{00000000-0005-0000-0000-00006B010000}"/>
    <cellStyle name="Moneda 2 2 2 2 9" xfId="390" xr:uid="{00000000-0005-0000-0000-00006C010000}"/>
    <cellStyle name="Moneda 2 2 2 3" xfId="391" xr:uid="{00000000-0005-0000-0000-00006D010000}"/>
    <cellStyle name="Moneda 2 2 2 4" xfId="392" xr:uid="{00000000-0005-0000-0000-00006E010000}"/>
    <cellStyle name="Moneda 2 2 2 5" xfId="393" xr:uid="{00000000-0005-0000-0000-00006F010000}"/>
    <cellStyle name="Moneda 2 2 2 6" xfId="394" xr:uid="{00000000-0005-0000-0000-000070010000}"/>
    <cellStyle name="Moneda 2 2 2 7" xfId="395" xr:uid="{00000000-0005-0000-0000-000071010000}"/>
    <cellStyle name="Moneda 2 2 2 8" xfId="396" xr:uid="{00000000-0005-0000-0000-000072010000}"/>
    <cellStyle name="Moneda 2 2 2 9" xfId="397" xr:uid="{00000000-0005-0000-0000-000073010000}"/>
    <cellStyle name="Moneda 2 2 20" xfId="398" xr:uid="{00000000-0005-0000-0000-000074010000}"/>
    <cellStyle name="Moneda 2 2 21" xfId="399" xr:uid="{00000000-0005-0000-0000-000075010000}"/>
    <cellStyle name="Moneda 2 2 22" xfId="400" xr:uid="{00000000-0005-0000-0000-000076010000}"/>
    <cellStyle name="Moneda 2 2 23" xfId="401" xr:uid="{00000000-0005-0000-0000-000077010000}"/>
    <cellStyle name="Moneda 2 2 24" xfId="402" xr:uid="{00000000-0005-0000-0000-000078010000}"/>
    <cellStyle name="Moneda 2 2 25" xfId="403" xr:uid="{00000000-0005-0000-0000-000079010000}"/>
    <cellStyle name="Moneda 2 2 26" xfId="404" xr:uid="{00000000-0005-0000-0000-00007A010000}"/>
    <cellStyle name="Moneda 2 2 27" xfId="405" xr:uid="{00000000-0005-0000-0000-00007B010000}"/>
    <cellStyle name="Moneda 2 2 28" xfId="406" xr:uid="{00000000-0005-0000-0000-00007C010000}"/>
    <cellStyle name="Moneda 2 2 29" xfId="407" xr:uid="{00000000-0005-0000-0000-00007D010000}"/>
    <cellStyle name="Moneda 2 2 3" xfId="408" xr:uid="{00000000-0005-0000-0000-00007E010000}"/>
    <cellStyle name="Moneda 2 2 30" xfId="409" xr:uid="{00000000-0005-0000-0000-00007F010000}"/>
    <cellStyle name="Moneda 2 2 31" xfId="410" xr:uid="{00000000-0005-0000-0000-000080010000}"/>
    <cellStyle name="Moneda 2 2 32" xfId="411" xr:uid="{00000000-0005-0000-0000-000081010000}"/>
    <cellStyle name="Moneda 2 2 33" xfId="362" xr:uid="{00000000-0005-0000-0000-000082010000}"/>
    <cellStyle name="Moneda 2 2 34" xfId="1919" xr:uid="{DBEBD7FB-2736-464F-8F68-BC4FA37396DE}"/>
    <cellStyle name="Moneda 2 2 35" xfId="1809" xr:uid="{61935C8D-DF83-4B7A-96A8-A04AE6E1CAE4}"/>
    <cellStyle name="Moneda 2 2 4" xfId="412" xr:uid="{00000000-0005-0000-0000-000083010000}"/>
    <cellStyle name="Moneda 2 2 5" xfId="413" xr:uid="{00000000-0005-0000-0000-000084010000}"/>
    <cellStyle name="Moneda 2 2 6" xfId="414" xr:uid="{00000000-0005-0000-0000-000085010000}"/>
    <cellStyle name="Moneda 2 2 7" xfId="415" xr:uid="{00000000-0005-0000-0000-000086010000}"/>
    <cellStyle name="Moneda 2 2 8" xfId="416" xr:uid="{00000000-0005-0000-0000-000087010000}"/>
    <cellStyle name="Moneda 2 2 9" xfId="417" xr:uid="{00000000-0005-0000-0000-000088010000}"/>
    <cellStyle name="Moneda 2 20" xfId="418" xr:uid="{00000000-0005-0000-0000-000089010000}"/>
    <cellStyle name="Moneda 2 21" xfId="419" xr:uid="{00000000-0005-0000-0000-00008A010000}"/>
    <cellStyle name="Moneda 2 22" xfId="420" xr:uid="{00000000-0005-0000-0000-00008B010000}"/>
    <cellStyle name="Moneda 2 23" xfId="421" xr:uid="{00000000-0005-0000-0000-00008C010000}"/>
    <cellStyle name="Moneda 2 24" xfId="422" xr:uid="{00000000-0005-0000-0000-00008D010000}"/>
    <cellStyle name="Moneda 2 25" xfId="423" xr:uid="{00000000-0005-0000-0000-00008E010000}"/>
    <cellStyle name="Moneda 2 26" xfId="424" xr:uid="{00000000-0005-0000-0000-00008F010000}"/>
    <cellStyle name="Moneda 2 27" xfId="425" xr:uid="{00000000-0005-0000-0000-000090010000}"/>
    <cellStyle name="Moneda 2 28" xfId="426" xr:uid="{00000000-0005-0000-0000-000091010000}"/>
    <cellStyle name="Moneda 2 29" xfId="427" xr:uid="{00000000-0005-0000-0000-000092010000}"/>
    <cellStyle name="Moneda 2 3" xfId="55" xr:uid="{00000000-0005-0000-0000-000093010000}"/>
    <cellStyle name="Moneda 2 3 2" xfId="429" xr:uid="{00000000-0005-0000-0000-000094010000}"/>
    <cellStyle name="Moneda 2 3 3" xfId="428" xr:uid="{00000000-0005-0000-0000-000095010000}"/>
    <cellStyle name="Moneda 2 3 4" xfId="1918" xr:uid="{507D5BED-6497-4C1B-A1C0-3A5A9A06CAAB}"/>
    <cellStyle name="Moneda 2 3 5" xfId="1808" xr:uid="{90F5C381-380A-43AE-98EA-3DDFF103FA99}"/>
    <cellStyle name="Moneda 2 30" xfId="430" xr:uid="{00000000-0005-0000-0000-000096010000}"/>
    <cellStyle name="Moneda 2 31" xfId="431" xr:uid="{00000000-0005-0000-0000-000097010000}"/>
    <cellStyle name="Moneda 2 32" xfId="432" xr:uid="{00000000-0005-0000-0000-000098010000}"/>
    <cellStyle name="Moneda 2 33" xfId="433" xr:uid="{00000000-0005-0000-0000-000099010000}"/>
    <cellStyle name="Moneda 2 34" xfId="351" xr:uid="{00000000-0005-0000-0000-00009A010000}"/>
    <cellStyle name="Moneda 2 35" xfId="1916" xr:uid="{101938D8-1544-4D23-9CEC-34BBEE76A183}"/>
    <cellStyle name="Moneda 2 36" xfId="1806" xr:uid="{CE667263-632E-47E8-BA0C-9E4B06B98DD2}"/>
    <cellStyle name="Moneda 2 4" xfId="434" xr:uid="{00000000-0005-0000-0000-00009B010000}"/>
    <cellStyle name="Moneda 2 4 10" xfId="435" xr:uid="{00000000-0005-0000-0000-00009C010000}"/>
    <cellStyle name="Moneda 2 4 11" xfId="436" xr:uid="{00000000-0005-0000-0000-00009D010000}"/>
    <cellStyle name="Moneda 2 4 12" xfId="437" xr:uid="{00000000-0005-0000-0000-00009E010000}"/>
    <cellStyle name="Moneda 2 4 13" xfId="438" xr:uid="{00000000-0005-0000-0000-00009F010000}"/>
    <cellStyle name="Moneda 2 4 2" xfId="439" xr:uid="{00000000-0005-0000-0000-0000A0010000}"/>
    <cellStyle name="Moneda 2 4 2 10" xfId="440" xr:uid="{00000000-0005-0000-0000-0000A1010000}"/>
    <cellStyle name="Moneda 2 4 2 11" xfId="441" xr:uid="{00000000-0005-0000-0000-0000A2010000}"/>
    <cellStyle name="Moneda 2 4 2 12" xfId="442" xr:uid="{00000000-0005-0000-0000-0000A3010000}"/>
    <cellStyle name="Moneda 2 4 2 13" xfId="443" xr:uid="{00000000-0005-0000-0000-0000A4010000}"/>
    <cellStyle name="Moneda 2 4 2 2" xfId="444" xr:uid="{00000000-0005-0000-0000-0000A5010000}"/>
    <cellStyle name="Moneda 2 4 2 3" xfId="445" xr:uid="{00000000-0005-0000-0000-0000A6010000}"/>
    <cellStyle name="Moneda 2 4 2 4" xfId="446" xr:uid="{00000000-0005-0000-0000-0000A7010000}"/>
    <cellStyle name="Moneda 2 4 2 5" xfId="447" xr:uid="{00000000-0005-0000-0000-0000A8010000}"/>
    <cellStyle name="Moneda 2 4 2 6" xfId="448" xr:uid="{00000000-0005-0000-0000-0000A9010000}"/>
    <cellStyle name="Moneda 2 4 2 7" xfId="449" xr:uid="{00000000-0005-0000-0000-0000AA010000}"/>
    <cellStyle name="Moneda 2 4 2 8" xfId="450" xr:uid="{00000000-0005-0000-0000-0000AB010000}"/>
    <cellStyle name="Moneda 2 4 2 9" xfId="451" xr:uid="{00000000-0005-0000-0000-0000AC010000}"/>
    <cellStyle name="Moneda 2 4 3" xfId="452" xr:uid="{00000000-0005-0000-0000-0000AD010000}"/>
    <cellStyle name="Moneda 2 4 4" xfId="453" xr:uid="{00000000-0005-0000-0000-0000AE010000}"/>
    <cellStyle name="Moneda 2 4 5" xfId="454" xr:uid="{00000000-0005-0000-0000-0000AF010000}"/>
    <cellStyle name="Moneda 2 4 6" xfId="455" xr:uid="{00000000-0005-0000-0000-0000B0010000}"/>
    <cellStyle name="Moneda 2 4 7" xfId="456" xr:uid="{00000000-0005-0000-0000-0000B1010000}"/>
    <cellStyle name="Moneda 2 4 8" xfId="457" xr:uid="{00000000-0005-0000-0000-0000B2010000}"/>
    <cellStyle name="Moneda 2 4 9" xfId="458" xr:uid="{00000000-0005-0000-0000-0000B3010000}"/>
    <cellStyle name="Moneda 2 5" xfId="459" xr:uid="{00000000-0005-0000-0000-0000B4010000}"/>
    <cellStyle name="Moneda 2 6" xfId="460" xr:uid="{00000000-0005-0000-0000-0000B5010000}"/>
    <cellStyle name="Moneda 2 7" xfId="461" xr:uid="{00000000-0005-0000-0000-0000B6010000}"/>
    <cellStyle name="Moneda 2 8" xfId="462" xr:uid="{00000000-0005-0000-0000-0000B7010000}"/>
    <cellStyle name="Moneda 2 9" xfId="463" xr:uid="{00000000-0005-0000-0000-0000B8010000}"/>
    <cellStyle name="Moneda 3" xfId="54" xr:uid="{00000000-0005-0000-0000-0000B9010000}"/>
    <cellStyle name="Moneda 3 16" xfId="464" xr:uid="{00000000-0005-0000-0000-0000BA010000}"/>
    <cellStyle name="Moneda 3 2" xfId="1917" xr:uid="{19203E22-9DFE-4C1F-ABC0-2A253BFD6197}"/>
    <cellStyle name="Moneda 3 3" xfId="1807" xr:uid="{221979F1-DB76-43B9-886C-4072C9B02D9F}"/>
    <cellStyle name="Moneda 3 5" xfId="465" xr:uid="{00000000-0005-0000-0000-0000BB010000}"/>
    <cellStyle name="Moneda 4" xfId="466" xr:uid="{00000000-0005-0000-0000-0000BC010000}"/>
    <cellStyle name="Moneda 5" xfId="467" xr:uid="{00000000-0005-0000-0000-0000BD010000}"/>
    <cellStyle name="Moneda 5 2" xfId="468" xr:uid="{00000000-0005-0000-0000-0000BE010000}"/>
    <cellStyle name="Moneda 5 3" xfId="469" xr:uid="{00000000-0005-0000-0000-0000BF010000}"/>
    <cellStyle name="Moneda 6" xfId="1785" xr:uid="{00000000-0005-0000-0000-0000C0010000}"/>
    <cellStyle name="Neutral" xfId="14" builtinId="28" customBuiltin="1"/>
    <cellStyle name="Neutral 2" xfId="470" xr:uid="{00000000-0005-0000-0000-0000C2010000}"/>
    <cellStyle name="Nivel 1,2.3,5,6,9" xfId="1799" xr:uid="{14DEE182-41D8-43CC-9645-2B963444F1C9}"/>
    <cellStyle name="Nivel 7" xfId="1800" xr:uid="{789B339D-F20B-4ABC-8028-AD8FE08E6690}"/>
    <cellStyle name="Normal" xfId="0" builtinId="0"/>
    <cellStyle name="Normal 10" xfId="471" xr:uid="{00000000-0005-0000-0000-0000C4010000}"/>
    <cellStyle name="Normal 10 10" xfId="472" xr:uid="{00000000-0005-0000-0000-0000C5010000}"/>
    <cellStyle name="Normal 10 11" xfId="473" xr:uid="{00000000-0005-0000-0000-0000C6010000}"/>
    <cellStyle name="Normal 10 12" xfId="474" xr:uid="{00000000-0005-0000-0000-0000C7010000}"/>
    <cellStyle name="Normal 10 13" xfId="475" xr:uid="{00000000-0005-0000-0000-0000C8010000}"/>
    <cellStyle name="Normal 10 14" xfId="476" xr:uid="{00000000-0005-0000-0000-0000C9010000}"/>
    <cellStyle name="Normal 10 15" xfId="477" xr:uid="{00000000-0005-0000-0000-0000CA010000}"/>
    <cellStyle name="Normal 10 16" xfId="478" xr:uid="{00000000-0005-0000-0000-0000CB010000}"/>
    <cellStyle name="Normal 10 17" xfId="479" xr:uid="{00000000-0005-0000-0000-0000CC010000}"/>
    <cellStyle name="Normal 10 18" xfId="480" xr:uid="{00000000-0005-0000-0000-0000CD010000}"/>
    <cellStyle name="Normal 10 19" xfId="481" xr:uid="{00000000-0005-0000-0000-0000CE010000}"/>
    <cellStyle name="Normal 10 2" xfId="482" xr:uid="{00000000-0005-0000-0000-0000CF010000}"/>
    <cellStyle name="Normal 10 20" xfId="483" xr:uid="{00000000-0005-0000-0000-0000D0010000}"/>
    <cellStyle name="Normal 10 21" xfId="484" xr:uid="{00000000-0005-0000-0000-0000D1010000}"/>
    <cellStyle name="Normal 10 22" xfId="485" xr:uid="{00000000-0005-0000-0000-0000D2010000}"/>
    <cellStyle name="Normal 10 23" xfId="486" xr:uid="{00000000-0005-0000-0000-0000D3010000}"/>
    <cellStyle name="Normal 10 24" xfId="487" xr:uid="{00000000-0005-0000-0000-0000D4010000}"/>
    <cellStyle name="Normal 10 25" xfId="488" xr:uid="{00000000-0005-0000-0000-0000D5010000}"/>
    <cellStyle name="Normal 10 26" xfId="489" xr:uid="{00000000-0005-0000-0000-0000D6010000}"/>
    <cellStyle name="Normal 10 27" xfId="490" xr:uid="{00000000-0005-0000-0000-0000D7010000}"/>
    <cellStyle name="Normal 10 28" xfId="491" xr:uid="{00000000-0005-0000-0000-0000D8010000}"/>
    <cellStyle name="Normal 10 29" xfId="492" xr:uid="{00000000-0005-0000-0000-0000D9010000}"/>
    <cellStyle name="Normal 10 3" xfId="493" xr:uid="{00000000-0005-0000-0000-0000DA010000}"/>
    <cellStyle name="Normal 10 30" xfId="494" xr:uid="{00000000-0005-0000-0000-0000DB010000}"/>
    <cellStyle name="Normal 10 31" xfId="495" xr:uid="{00000000-0005-0000-0000-0000DC010000}"/>
    <cellStyle name="Normal 10 32" xfId="496" xr:uid="{00000000-0005-0000-0000-0000DD010000}"/>
    <cellStyle name="Normal 10 4" xfId="497" xr:uid="{00000000-0005-0000-0000-0000DE010000}"/>
    <cellStyle name="Normal 10 5" xfId="498" xr:uid="{00000000-0005-0000-0000-0000DF010000}"/>
    <cellStyle name="Normal 10 6" xfId="499" xr:uid="{00000000-0005-0000-0000-0000E0010000}"/>
    <cellStyle name="Normal 10 7" xfId="500" xr:uid="{00000000-0005-0000-0000-0000E1010000}"/>
    <cellStyle name="Normal 10 8" xfId="501" xr:uid="{00000000-0005-0000-0000-0000E2010000}"/>
    <cellStyle name="Normal 10 9" xfId="502" xr:uid="{00000000-0005-0000-0000-0000E3010000}"/>
    <cellStyle name="Normal 11" xfId="503" xr:uid="{00000000-0005-0000-0000-0000E4010000}"/>
    <cellStyle name="Normal 11 10" xfId="504" xr:uid="{00000000-0005-0000-0000-0000E5010000}"/>
    <cellStyle name="Normal 11 11" xfId="505" xr:uid="{00000000-0005-0000-0000-0000E6010000}"/>
    <cellStyle name="Normal 11 12" xfId="506" xr:uid="{00000000-0005-0000-0000-0000E7010000}"/>
    <cellStyle name="Normal 11 13" xfId="507" xr:uid="{00000000-0005-0000-0000-0000E8010000}"/>
    <cellStyle name="Normal 11 14" xfId="508" xr:uid="{00000000-0005-0000-0000-0000E9010000}"/>
    <cellStyle name="Normal 11 14 10" xfId="509" xr:uid="{00000000-0005-0000-0000-0000EA010000}"/>
    <cellStyle name="Normal 11 14 11" xfId="510" xr:uid="{00000000-0005-0000-0000-0000EB010000}"/>
    <cellStyle name="Normal 11 14 12" xfId="511" xr:uid="{00000000-0005-0000-0000-0000EC010000}"/>
    <cellStyle name="Normal 11 14 13" xfId="512" xr:uid="{00000000-0005-0000-0000-0000ED010000}"/>
    <cellStyle name="Normal 11 14 14" xfId="513" xr:uid="{00000000-0005-0000-0000-0000EE010000}"/>
    <cellStyle name="Normal 11 14 15" xfId="514" xr:uid="{00000000-0005-0000-0000-0000EF010000}"/>
    <cellStyle name="Normal 11 14 16" xfId="515" xr:uid="{00000000-0005-0000-0000-0000F0010000}"/>
    <cellStyle name="Normal 11 14 17" xfId="516" xr:uid="{00000000-0005-0000-0000-0000F1010000}"/>
    <cellStyle name="Normal 11 14 18" xfId="517" xr:uid="{00000000-0005-0000-0000-0000F2010000}"/>
    <cellStyle name="Normal 11 14 19" xfId="518" xr:uid="{00000000-0005-0000-0000-0000F3010000}"/>
    <cellStyle name="Normal 11 14 2" xfId="519" xr:uid="{00000000-0005-0000-0000-0000F4010000}"/>
    <cellStyle name="Normal 11 14 2 10" xfId="520" xr:uid="{00000000-0005-0000-0000-0000F5010000}"/>
    <cellStyle name="Normal 11 14 2 11" xfId="521" xr:uid="{00000000-0005-0000-0000-0000F6010000}"/>
    <cellStyle name="Normal 11 14 2 12" xfId="522" xr:uid="{00000000-0005-0000-0000-0000F7010000}"/>
    <cellStyle name="Normal 11 14 2 13" xfId="523" xr:uid="{00000000-0005-0000-0000-0000F8010000}"/>
    <cellStyle name="Normal 11 14 2 14" xfId="524" xr:uid="{00000000-0005-0000-0000-0000F9010000}"/>
    <cellStyle name="Normal 11 14 2 15" xfId="525" xr:uid="{00000000-0005-0000-0000-0000FA010000}"/>
    <cellStyle name="Normal 11 14 2 16" xfId="526" xr:uid="{00000000-0005-0000-0000-0000FB010000}"/>
    <cellStyle name="Normal 11 14 2 17" xfId="527" xr:uid="{00000000-0005-0000-0000-0000FC010000}"/>
    <cellStyle name="Normal 11 14 2 18" xfId="528" xr:uid="{00000000-0005-0000-0000-0000FD010000}"/>
    <cellStyle name="Normal 11 14 2 19" xfId="529" xr:uid="{00000000-0005-0000-0000-0000FE010000}"/>
    <cellStyle name="Normal 11 14 2 2" xfId="530" xr:uid="{00000000-0005-0000-0000-0000FF010000}"/>
    <cellStyle name="Normal 11 14 2 2 10" xfId="531" xr:uid="{00000000-0005-0000-0000-000000020000}"/>
    <cellStyle name="Normal 11 14 2 2 11" xfId="532" xr:uid="{00000000-0005-0000-0000-000001020000}"/>
    <cellStyle name="Normal 11 14 2 2 12" xfId="533" xr:uid="{00000000-0005-0000-0000-000002020000}"/>
    <cellStyle name="Normal 11 14 2 2 13" xfId="534" xr:uid="{00000000-0005-0000-0000-000003020000}"/>
    <cellStyle name="Normal 11 14 2 2 14" xfId="535" xr:uid="{00000000-0005-0000-0000-000004020000}"/>
    <cellStyle name="Normal 11 14 2 2 15" xfId="536" xr:uid="{00000000-0005-0000-0000-000005020000}"/>
    <cellStyle name="Normal 11 14 2 2 16" xfId="537" xr:uid="{00000000-0005-0000-0000-000006020000}"/>
    <cellStyle name="Normal 11 14 2 2 17" xfId="538" xr:uid="{00000000-0005-0000-0000-000007020000}"/>
    <cellStyle name="Normal 11 14 2 2 18" xfId="539" xr:uid="{00000000-0005-0000-0000-000008020000}"/>
    <cellStyle name="Normal 11 14 2 2 2" xfId="540" xr:uid="{00000000-0005-0000-0000-000009020000}"/>
    <cellStyle name="Normal 11 14 2 2 3" xfId="541" xr:uid="{00000000-0005-0000-0000-00000A020000}"/>
    <cellStyle name="Normal 11 14 2 2 4" xfId="542" xr:uid="{00000000-0005-0000-0000-00000B020000}"/>
    <cellStyle name="Normal 11 14 2 2 5" xfId="543" xr:uid="{00000000-0005-0000-0000-00000C020000}"/>
    <cellStyle name="Normal 11 14 2 2 6" xfId="544" xr:uid="{00000000-0005-0000-0000-00000D020000}"/>
    <cellStyle name="Normal 11 14 2 2 7" xfId="545" xr:uid="{00000000-0005-0000-0000-00000E020000}"/>
    <cellStyle name="Normal 11 14 2 2 8" xfId="546" xr:uid="{00000000-0005-0000-0000-00000F020000}"/>
    <cellStyle name="Normal 11 14 2 2 9" xfId="547" xr:uid="{00000000-0005-0000-0000-000010020000}"/>
    <cellStyle name="Normal 11 14 2 20" xfId="548" xr:uid="{00000000-0005-0000-0000-000011020000}"/>
    <cellStyle name="Normal 11 14 2 21" xfId="549" xr:uid="{00000000-0005-0000-0000-000012020000}"/>
    <cellStyle name="Normal 11 14 2 22" xfId="550" xr:uid="{00000000-0005-0000-0000-000013020000}"/>
    <cellStyle name="Normal 11 14 2 23" xfId="551" xr:uid="{00000000-0005-0000-0000-000014020000}"/>
    <cellStyle name="Normal 11 14 2 24" xfId="552" xr:uid="{00000000-0005-0000-0000-000015020000}"/>
    <cellStyle name="Normal 11 14 2 25" xfId="553" xr:uid="{00000000-0005-0000-0000-000016020000}"/>
    <cellStyle name="Normal 11 14 2 3" xfId="554" xr:uid="{00000000-0005-0000-0000-000017020000}"/>
    <cellStyle name="Normal 11 14 2 3 10" xfId="555" xr:uid="{00000000-0005-0000-0000-000018020000}"/>
    <cellStyle name="Normal 11 14 2 3 11" xfId="556" xr:uid="{00000000-0005-0000-0000-000019020000}"/>
    <cellStyle name="Normal 11 14 2 3 12" xfId="557" xr:uid="{00000000-0005-0000-0000-00001A020000}"/>
    <cellStyle name="Normal 11 14 2 3 13" xfId="558" xr:uid="{00000000-0005-0000-0000-00001B020000}"/>
    <cellStyle name="Normal 11 14 2 3 14" xfId="559" xr:uid="{00000000-0005-0000-0000-00001C020000}"/>
    <cellStyle name="Normal 11 14 2 3 15" xfId="560" xr:uid="{00000000-0005-0000-0000-00001D020000}"/>
    <cellStyle name="Normal 11 14 2 3 16" xfId="561" xr:uid="{00000000-0005-0000-0000-00001E020000}"/>
    <cellStyle name="Normal 11 14 2 3 17" xfId="562" xr:uid="{00000000-0005-0000-0000-00001F020000}"/>
    <cellStyle name="Normal 11 14 2 3 18" xfId="563" xr:uid="{00000000-0005-0000-0000-000020020000}"/>
    <cellStyle name="Normal 11 14 2 3 2" xfId="564" xr:uid="{00000000-0005-0000-0000-000021020000}"/>
    <cellStyle name="Normal 11 14 2 3 3" xfId="565" xr:uid="{00000000-0005-0000-0000-000022020000}"/>
    <cellStyle name="Normal 11 14 2 3 4" xfId="566" xr:uid="{00000000-0005-0000-0000-000023020000}"/>
    <cellStyle name="Normal 11 14 2 3 5" xfId="567" xr:uid="{00000000-0005-0000-0000-000024020000}"/>
    <cellStyle name="Normal 11 14 2 3 6" xfId="568" xr:uid="{00000000-0005-0000-0000-000025020000}"/>
    <cellStyle name="Normal 11 14 2 3 7" xfId="569" xr:uid="{00000000-0005-0000-0000-000026020000}"/>
    <cellStyle name="Normal 11 14 2 3 8" xfId="570" xr:uid="{00000000-0005-0000-0000-000027020000}"/>
    <cellStyle name="Normal 11 14 2 3 9" xfId="571" xr:uid="{00000000-0005-0000-0000-000028020000}"/>
    <cellStyle name="Normal 11 14 2 4" xfId="572" xr:uid="{00000000-0005-0000-0000-000029020000}"/>
    <cellStyle name="Normal 11 14 2 4 10" xfId="573" xr:uid="{00000000-0005-0000-0000-00002A020000}"/>
    <cellStyle name="Normal 11 14 2 4 11" xfId="574" xr:uid="{00000000-0005-0000-0000-00002B020000}"/>
    <cellStyle name="Normal 11 14 2 4 12" xfId="575" xr:uid="{00000000-0005-0000-0000-00002C020000}"/>
    <cellStyle name="Normal 11 14 2 4 13" xfId="576" xr:uid="{00000000-0005-0000-0000-00002D020000}"/>
    <cellStyle name="Normal 11 14 2 4 14" xfId="577" xr:uid="{00000000-0005-0000-0000-00002E020000}"/>
    <cellStyle name="Normal 11 14 2 4 15" xfId="578" xr:uid="{00000000-0005-0000-0000-00002F020000}"/>
    <cellStyle name="Normal 11 14 2 4 16" xfId="579" xr:uid="{00000000-0005-0000-0000-000030020000}"/>
    <cellStyle name="Normal 11 14 2 4 17" xfId="580" xr:uid="{00000000-0005-0000-0000-000031020000}"/>
    <cellStyle name="Normal 11 14 2 4 18" xfId="581" xr:uid="{00000000-0005-0000-0000-000032020000}"/>
    <cellStyle name="Normal 11 14 2 4 2" xfId="582" xr:uid="{00000000-0005-0000-0000-000033020000}"/>
    <cellStyle name="Normal 11 14 2 4 3" xfId="583" xr:uid="{00000000-0005-0000-0000-000034020000}"/>
    <cellStyle name="Normal 11 14 2 4 4" xfId="584" xr:uid="{00000000-0005-0000-0000-000035020000}"/>
    <cellStyle name="Normal 11 14 2 4 5" xfId="585" xr:uid="{00000000-0005-0000-0000-000036020000}"/>
    <cellStyle name="Normal 11 14 2 4 6" xfId="586" xr:uid="{00000000-0005-0000-0000-000037020000}"/>
    <cellStyle name="Normal 11 14 2 4 7" xfId="587" xr:uid="{00000000-0005-0000-0000-000038020000}"/>
    <cellStyle name="Normal 11 14 2 4 8" xfId="588" xr:uid="{00000000-0005-0000-0000-000039020000}"/>
    <cellStyle name="Normal 11 14 2 4 9" xfId="589" xr:uid="{00000000-0005-0000-0000-00003A020000}"/>
    <cellStyle name="Normal 11 14 2 5" xfId="590" xr:uid="{00000000-0005-0000-0000-00003B020000}"/>
    <cellStyle name="Normal 11 14 2 5 10" xfId="591" xr:uid="{00000000-0005-0000-0000-00003C020000}"/>
    <cellStyle name="Normal 11 14 2 5 11" xfId="592" xr:uid="{00000000-0005-0000-0000-00003D020000}"/>
    <cellStyle name="Normal 11 14 2 5 12" xfId="593" xr:uid="{00000000-0005-0000-0000-00003E020000}"/>
    <cellStyle name="Normal 11 14 2 5 13" xfId="594" xr:uid="{00000000-0005-0000-0000-00003F020000}"/>
    <cellStyle name="Normal 11 14 2 5 14" xfId="595" xr:uid="{00000000-0005-0000-0000-000040020000}"/>
    <cellStyle name="Normal 11 14 2 5 15" xfId="596" xr:uid="{00000000-0005-0000-0000-000041020000}"/>
    <cellStyle name="Normal 11 14 2 5 16" xfId="597" xr:uid="{00000000-0005-0000-0000-000042020000}"/>
    <cellStyle name="Normal 11 14 2 5 17" xfId="598" xr:uid="{00000000-0005-0000-0000-000043020000}"/>
    <cellStyle name="Normal 11 14 2 5 18" xfId="599" xr:uid="{00000000-0005-0000-0000-000044020000}"/>
    <cellStyle name="Normal 11 14 2 5 2" xfId="600" xr:uid="{00000000-0005-0000-0000-000045020000}"/>
    <cellStyle name="Normal 11 14 2 5 3" xfId="601" xr:uid="{00000000-0005-0000-0000-000046020000}"/>
    <cellStyle name="Normal 11 14 2 5 4" xfId="602" xr:uid="{00000000-0005-0000-0000-000047020000}"/>
    <cellStyle name="Normal 11 14 2 5 5" xfId="603" xr:uid="{00000000-0005-0000-0000-000048020000}"/>
    <cellStyle name="Normal 11 14 2 5 6" xfId="604" xr:uid="{00000000-0005-0000-0000-000049020000}"/>
    <cellStyle name="Normal 11 14 2 5 7" xfId="605" xr:uid="{00000000-0005-0000-0000-00004A020000}"/>
    <cellStyle name="Normal 11 14 2 5 8" xfId="606" xr:uid="{00000000-0005-0000-0000-00004B020000}"/>
    <cellStyle name="Normal 11 14 2 5 9" xfId="607" xr:uid="{00000000-0005-0000-0000-00004C020000}"/>
    <cellStyle name="Normal 11 14 2 6" xfId="608" xr:uid="{00000000-0005-0000-0000-00004D020000}"/>
    <cellStyle name="Normal 11 14 2 6 10" xfId="609" xr:uid="{00000000-0005-0000-0000-00004E020000}"/>
    <cellStyle name="Normal 11 14 2 6 11" xfId="610" xr:uid="{00000000-0005-0000-0000-00004F020000}"/>
    <cellStyle name="Normal 11 14 2 6 12" xfId="611" xr:uid="{00000000-0005-0000-0000-000050020000}"/>
    <cellStyle name="Normal 11 14 2 6 13" xfId="612" xr:uid="{00000000-0005-0000-0000-000051020000}"/>
    <cellStyle name="Normal 11 14 2 6 14" xfId="613" xr:uid="{00000000-0005-0000-0000-000052020000}"/>
    <cellStyle name="Normal 11 14 2 6 15" xfId="614" xr:uid="{00000000-0005-0000-0000-000053020000}"/>
    <cellStyle name="Normal 11 14 2 6 16" xfId="615" xr:uid="{00000000-0005-0000-0000-000054020000}"/>
    <cellStyle name="Normal 11 14 2 6 17" xfId="616" xr:uid="{00000000-0005-0000-0000-000055020000}"/>
    <cellStyle name="Normal 11 14 2 6 18" xfId="617" xr:uid="{00000000-0005-0000-0000-000056020000}"/>
    <cellStyle name="Normal 11 14 2 6 2" xfId="618" xr:uid="{00000000-0005-0000-0000-000057020000}"/>
    <cellStyle name="Normal 11 14 2 6 3" xfId="619" xr:uid="{00000000-0005-0000-0000-000058020000}"/>
    <cellStyle name="Normal 11 14 2 6 4" xfId="620" xr:uid="{00000000-0005-0000-0000-000059020000}"/>
    <cellStyle name="Normal 11 14 2 6 5" xfId="621" xr:uid="{00000000-0005-0000-0000-00005A020000}"/>
    <cellStyle name="Normal 11 14 2 6 6" xfId="622" xr:uid="{00000000-0005-0000-0000-00005B020000}"/>
    <cellStyle name="Normal 11 14 2 6 7" xfId="623" xr:uid="{00000000-0005-0000-0000-00005C020000}"/>
    <cellStyle name="Normal 11 14 2 6 8" xfId="624" xr:uid="{00000000-0005-0000-0000-00005D020000}"/>
    <cellStyle name="Normal 11 14 2 6 9" xfId="625" xr:uid="{00000000-0005-0000-0000-00005E020000}"/>
    <cellStyle name="Normal 11 14 2 7" xfId="626" xr:uid="{00000000-0005-0000-0000-00005F020000}"/>
    <cellStyle name="Normal 11 14 2 7 10" xfId="627" xr:uid="{00000000-0005-0000-0000-000060020000}"/>
    <cellStyle name="Normal 11 14 2 7 11" xfId="628" xr:uid="{00000000-0005-0000-0000-000061020000}"/>
    <cellStyle name="Normal 11 14 2 7 12" xfId="629" xr:uid="{00000000-0005-0000-0000-000062020000}"/>
    <cellStyle name="Normal 11 14 2 7 13" xfId="630" xr:uid="{00000000-0005-0000-0000-000063020000}"/>
    <cellStyle name="Normal 11 14 2 7 14" xfId="631" xr:uid="{00000000-0005-0000-0000-000064020000}"/>
    <cellStyle name="Normal 11 14 2 7 15" xfId="632" xr:uid="{00000000-0005-0000-0000-000065020000}"/>
    <cellStyle name="Normal 11 14 2 7 16" xfId="633" xr:uid="{00000000-0005-0000-0000-000066020000}"/>
    <cellStyle name="Normal 11 14 2 7 17" xfId="634" xr:uid="{00000000-0005-0000-0000-000067020000}"/>
    <cellStyle name="Normal 11 14 2 7 18" xfId="635" xr:uid="{00000000-0005-0000-0000-000068020000}"/>
    <cellStyle name="Normal 11 14 2 7 2" xfId="636" xr:uid="{00000000-0005-0000-0000-000069020000}"/>
    <cellStyle name="Normal 11 14 2 7 3" xfId="637" xr:uid="{00000000-0005-0000-0000-00006A020000}"/>
    <cellStyle name="Normal 11 14 2 7 4" xfId="638" xr:uid="{00000000-0005-0000-0000-00006B020000}"/>
    <cellStyle name="Normal 11 14 2 7 5" xfId="639" xr:uid="{00000000-0005-0000-0000-00006C020000}"/>
    <cellStyle name="Normal 11 14 2 7 6" xfId="640" xr:uid="{00000000-0005-0000-0000-00006D020000}"/>
    <cellStyle name="Normal 11 14 2 7 7" xfId="641" xr:uid="{00000000-0005-0000-0000-00006E020000}"/>
    <cellStyle name="Normal 11 14 2 7 8" xfId="642" xr:uid="{00000000-0005-0000-0000-00006F020000}"/>
    <cellStyle name="Normal 11 14 2 7 9" xfId="643" xr:uid="{00000000-0005-0000-0000-000070020000}"/>
    <cellStyle name="Normal 11 14 2 8" xfId="644" xr:uid="{00000000-0005-0000-0000-000071020000}"/>
    <cellStyle name="Normal 11 14 2 8 10" xfId="645" xr:uid="{00000000-0005-0000-0000-000072020000}"/>
    <cellStyle name="Normal 11 14 2 8 11" xfId="646" xr:uid="{00000000-0005-0000-0000-000073020000}"/>
    <cellStyle name="Normal 11 14 2 8 12" xfId="647" xr:uid="{00000000-0005-0000-0000-000074020000}"/>
    <cellStyle name="Normal 11 14 2 8 13" xfId="648" xr:uid="{00000000-0005-0000-0000-000075020000}"/>
    <cellStyle name="Normal 11 14 2 8 14" xfId="649" xr:uid="{00000000-0005-0000-0000-000076020000}"/>
    <cellStyle name="Normal 11 14 2 8 15" xfId="650" xr:uid="{00000000-0005-0000-0000-000077020000}"/>
    <cellStyle name="Normal 11 14 2 8 16" xfId="651" xr:uid="{00000000-0005-0000-0000-000078020000}"/>
    <cellStyle name="Normal 11 14 2 8 17" xfId="652" xr:uid="{00000000-0005-0000-0000-000079020000}"/>
    <cellStyle name="Normal 11 14 2 8 18" xfId="653" xr:uid="{00000000-0005-0000-0000-00007A020000}"/>
    <cellStyle name="Normal 11 14 2 8 2" xfId="654" xr:uid="{00000000-0005-0000-0000-00007B020000}"/>
    <cellStyle name="Normal 11 14 2 8 3" xfId="655" xr:uid="{00000000-0005-0000-0000-00007C020000}"/>
    <cellStyle name="Normal 11 14 2 8 4" xfId="656" xr:uid="{00000000-0005-0000-0000-00007D020000}"/>
    <cellStyle name="Normal 11 14 2 8 5" xfId="657" xr:uid="{00000000-0005-0000-0000-00007E020000}"/>
    <cellStyle name="Normal 11 14 2 8 6" xfId="658" xr:uid="{00000000-0005-0000-0000-00007F020000}"/>
    <cellStyle name="Normal 11 14 2 8 7" xfId="659" xr:uid="{00000000-0005-0000-0000-000080020000}"/>
    <cellStyle name="Normal 11 14 2 8 8" xfId="660" xr:uid="{00000000-0005-0000-0000-000081020000}"/>
    <cellStyle name="Normal 11 14 2 8 9" xfId="661" xr:uid="{00000000-0005-0000-0000-000082020000}"/>
    <cellStyle name="Normal 11 14 2 9" xfId="662" xr:uid="{00000000-0005-0000-0000-000083020000}"/>
    <cellStyle name="Normal 11 14 20" xfId="663" xr:uid="{00000000-0005-0000-0000-000084020000}"/>
    <cellStyle name="Normal 11 14 21" xfId="664" xr:uid="{00000000-0005-0000-0000-000085020000}"/>
    <cellStyle name="Normal 11 14 22" xfId="665" xr:uid="{00000000-0005-0000-0000-000086020000}"/>
    <cellStyle name="Normal 11 14 23" xfId="666" xr:uid="{00000000-0005-0000-0000-000087020000}"/>
    <cellStyle name="Normal 11 14 24" xfId="667" xr:uid="{00000000-0005-0000-0000-000088020000}"/>
    <cellStyle name="Normal 11 14 25" xfId="668" xr:uid="{00000000-0005-0000-0000-000089020000}"/>
    <cellStyle name="Normal 11 14 26" xfId="669" xr:uid="{00000000-0005-0000-0000-00008A020000}"/>
    <cellStyle name="Normal 11 14 3" xfId="670" xr:uid="{00000000-0005-0000-0000-00008B020000}"/>
    <cellStyle name="Normal 11 14 3 10" xfId="671" xr:uid="{00000000-0005-0000-0000-00008C020000}"/>
    <cellStyle name="Normal 11 14 3 11" xfId="672" xr:uid="{00000000-0005-0000-0000-00008D020000}"/>
    <cellStyle name="Normal 11 14 3 12" xfId="673" xr:uid="{00000000-0005-0000-0000-00008E020000}"/>
    <cellStyle name="Normal 11 14 3 13" xfId="674" xr:uid="{00000000-0005-0000-0000-00008F020000}"/>
    <cellStyle name="Normal 11 14 3 14" xfId="675" xr:uid="{00000000-0005-0000-0000-000090020000}"/>
    <cellStyle name="Normal 11 14 3 15" xfId="676" xr:uid="{00000000-0005-0000-0000-000091020000}"/>
    <cellStyle name="Normal 11 14 3 16" xfId="677" xr:uid="{00000000-0005-0000-0000-000092020000}"/>
    <cellStyle name="Normal 11 14 3 17" xfId="678" xr:uid="{00000000-0005-0000-0000-000093020000}"/>
    <cellStyle name="Normal 11 14 3 18" xfId="679" xr:uid="{00000000-0005-0000-0000-000094020000}"/>
    <cellStyle name="Normal 11 14 3 2" xfId="680" xr:uid="{00000000-0005-0000-0000-000095020000}"/>
    <cellStyle name="Normal 11 14 3 3" xfId="681" xr:uid="{00000000-0005-0000-0000-000096020000}"/>
    <cellStyle name="Normal 11 14 3 4" xfId="682" xr:uid="{00000000-0005-0000-0000-000097020000}"/>
    <cellStyle name="Normal 11 14 3 5" xfId="683" xr:uid="{00000000-0005-0000-0000-000098020000}"/>
    <cellStyle name="Normal 11 14 3 6" xfId="684" xr:uid="{00000000-0005-0000-0000-000099020000}"/>
    <cellStyle name="Normal 11 14 3 7" xfId="685" xr:uid="{00000000-0005-0000-0000-00009A020000}"/>
    <cellStyle name="Normal 11 14 3 8" xfId="686" xr:uid="{00000000-0005-0000-0000-00009B020000}"/>
    <cellStyle name="Normal 11 14 3 9" xfId="687" xr:uid="{00000000-0005-0000-0000-00009C020000}"/>
    <cellStyle name="Normal 11 14 4" xfId="688" xr:uid="{00000000-0005-0000-0000-00009D020000}"/>
    <cellStyle name="Normal 11 14 4 10" xfId="689" xr:uid="{00000000-0005-0000-0000-00009E020000}"/>
    <cellStyle name="Normal 11 14 4 11" xfId="690" xr:uid="{00000000-0005-0000-0000-00009F020000}"/>
    <cellStyle name="Normal 11 14 4 12" xfId="691" xr:uid="{00000000-0005-0000-0000-0000A0020000}"/>
    <cellStyle name="Normal 11 14 4 13" xfId="692" xr:uid="{00000000-0005-0000-0000-0000A1020000}"/>
    <cellStyle name="Normal 11 14 4 14" xfId="693" xr:uid="{00000000-0005-0000-0000-0000A2020000}"/>
    <cellStyle name="Normal 11 14 4 15" xfId="694" xr:uid="{00000000-0005-0000-0000-0000A3020000}"/>
    <cellStyle name="Normal 11 14 4 16" xfId="695" xr:uid="{00000000-0005-0000-0000-0000A4020000}"/>
    <cellStyle name="Normal 11 14 4 17" xfId="696" xr:uid="{00000000-0005-0000-0000-0000A5020000}"/>
    <cellStyle name="Normal 11 14 4 18" xfId="697" xr:uid="{00000000-0005-0000-0000-0000A6020000}"/>
    <cellStyle name="Normal 11 14 4 2" xfId="698" xr:uid="{00000000-0005-0000-0000-0000A7020000}"/>
    <cellStyle name="Normal 11 14 4 3" xfId="699" xr:uid="{00000000-0005-0000-0000-0000A8020000}"/>
    <cellStyle name="Normal 11 14 4 4" xfId="700" xr:uid="{00000000-0005-0000-0000-0000A9020000}"/>
    <cellStyle name="Normal 11 14 4 5" xfId="701" xr:uid="{00000000-0005-0000-0000-0000AA020000}"/>
    <cellStyle name="Normal 11 14 4 6" xfId="702" xr:uid="{00000000-0005-0000-0000-0000AB020000}"/>
    <cellStyle name="Normal 11 14 4 7" xfId="703" xr:uid="{00000000-0005-0000-0000-0000AC020000}"/>
    <cellStyle name="Normal 11 14 4 8" xfId="704" xr:uid="{00000000-0005-0000-0000-0000AD020000}"/>
    <cellStyle name="Normal 11 14 4 9" xfId="705" xr:uid="{00000000-0005-0000-0000-0000AE020000}"/>
    <cellStyle name="Normal 11 14 5" xfId="706" xr:uid="{00000000-0005-0000-0000-0000AF020000}"/>
    <cellStyle name="Normal 11 14 5 10" xfId="707" xr:uid="{00000000-0005-0000-0000-0000B0020000}"/>
    <cellStyle name="Normal 11 14 5 11" xfId="708" xr:uid="{00000000-0005-0000-0000-0000B1020000}"/>
    <cellStyle name="Normal 11 14 5 12" xfId="709" xr:uid="{00000000-0005-0000-0000-0000B2020000}"/>
    <cellStyle name="Normal 11 14 5 13" xfId="710" xr:uid="{00000000-0005-0000-0000-0000B3020000}"/>
    <cellStyle name="Normal 11 14 5 14" xfId="711" xr:uid="{00000000-0005-0000-0000-0000B4020000}"/>
    <cellStyle name="Normal 11 14 5 15" xfId="712" xr:uid="{00000000-0005-0000-0000-0000B5020000}"/>
    <cellStyle name="Normal 11 14 5 16" xfId="713" xr:uid="{00000000-0005-0000-0000-0000B6020000}"/>
    <cellStyle name="Normal 11 14 5 17" xfId="714" xr:uid="{00000000-0005-0000-0000-0000B7020000}"/>
    <cellStyle name="Normal 11 14 5 18" xfId="715" xr:uid="{00000000-0005-0000-0000-0000B8020000}"/>
    <cellStyle name="Normal 11 14 5 2" xfId="716" xr:uid="{00000000-0005-0000-0000-0000B9020000}"/>
    <cellStyle name="Normal 11 14 5 3" xfId="717" xr:uid="{00000000-0005-0000-0000-0000BA020000}"/>
    <cellStyle name="Normal 11 14 5 4" xfId="718" xr:uid="{00000000-0005-0000-0000-0000BB020000}"/>
    <cellStyle name="Normal 11 14 5 5" xfId="719" xr:uid="{00000000-0005-0000-0000-0000BC020000}"/>
    <cellStyle name="Normal 11 14 5 6" xfId="720" xr:uid="{00000000-0005-0000-0000-0000BD020000}"/>
    <cellStyle name="Normal 11 14 5 7" xfId="721" xr:uid="{00000000-0005-0000-0000-0000BE020000}"/>
    <cellStyle name="Normal 11 14 5 8" xfId="722" xr:uid="{00000000-0005-0000-0000-0000BF020000}"/>
    <cellStyle name="Normal 11 14 5 9" xfId="723" xr:uid="{00000000-0005-0000-0000-0000C0020000}"/>
    <cellStyle name="Normal 11 14 6" xfId="724" xr:uid="{00000000-0005-0000-0000-0000C1020000}"/>
    <cellStyle name="Normal 11 14 6 10" xfId="725" xr:uid="{00000000-0005-0000-0000-0000C2020000}"/>
    <cellStyle name="Normal 11 14 6 11" xfId="726" xr:uid="{00000000-0005-0000-0000-0000C3020000}"/>
    <cellStyle name="Normal 11 14 6 12" xfId="727" xr:uid="{00000000-0005-0000-0000-0000C4020000}"/>
    <cellStyle name="Normal 11 14 6 13" xfId="728" xr:uid="{00000000-0005-0000-0000-0000C5020000}"/>
    <cellStyle name="Normal 11 14 6 14" xfId="729" xr:uid="{00000000-0005-0000-0000-0000C6020000}"/>
    <cellStyle name="Normal 11 14 6 15" xfId="730" xr:uid="{00000000-0005-0000-0000-0000C7020000}"/>
    <cellStyle name="Normal 11 14 6 16" xfId="731" xr:uid="{00000000-0005-0000-0000-0000C8020000}"/>
    <cellStyle name="Normal 11 14 6 17" xfId="732" xr:uid="{00000000-0005-0000-0000-0000C9020000}"/>
    <cellStyle name="Normal 11 14 6 18" xfId="733" xr:uid="{00000000-0005-0000-0000-0000CA020000}"/>
    <cellStyle name="Normal 11 14 6 2" xfId="734" xr:uid="{00000000-0005-0000-0000-0000CB020000}"/>
    <cellStyle name="Normal 11 14 6 3" xfId="735" xr:uid="{00000000-0005-0000-0000-0000CC020000}"/>
    <cellStyle name="Normal 11 14 6 4" xfId="736" xr:uid="{00000000-0005-0000-0000-0000CD020000}"/>
    <cellStyle name="Normal 11 14 6 5" xfId="737" xr:uid="{00000000-0005-0000-0000-0000CE020000}"/>
    <cellStyle name="Normal 11 14 6 6" xfId="738" xr:uid="{00000000-0005-0000-0000-0000CF020000}"/>
    <cellStyle name="Normal 11 14 6 7" xfId="739" xr:uid="{00000000-0005-0000-0000-0000D0020000}"/>
    <cellStyle name="Normal 11 14 6 8" xfId="740" xr:uid="{00000000-0005-0000-0000-0000D1020000}"/>
    <cellStyle name="Normal 11 14 6 9" xfId="741" xr:uid="{00000000-0005-0000-0000-0000D2020000}"/>
    <cellStyle name="Normal 11 14 7" xfId="742" xr:uid="{00000000-0005-0000-0000-0000D3020000}"/>
    <cellStyle name="Normal 11 14 7 10" xfId="743" xr:uid="{00000000-0005-0000-0000-0000D4020000}"/>
    <cellStyle name="Normal 11 14 7 11" xfId="744" xr:uid="{00000000-0005-0000-0000-0000D5020000}"/>
    <cellStyle name="Normal 11 14 7 12" xfId="745" xr:uid="{00000000-0005-0000-0000-0000D6020000}"/>
    <cellStyle name="Normal 11 14 7 13" xfId="746" xr:uid="{00000000-0005-0000-0000-0000D7020000}"/>
    <cellStyle name="Normal 11 14 7 14" xfId="747" xr:uid="{00000000-0005-0000-0000-0000D8020000}"/>
    <cellStyle name="Normal 11 14 7 15" xfId="748" xr:uid="{00000000-0005-0000-0000-0000D9020000}"/>
    <cellStyle name="Normal 11 14 7 16" xfId="749" xr:uid="{00000000-0005-0000-0000-0000DA020000}"/>
    <cellStyle name="Normal 11 14 7 17" xfId="750" xr:uid="{00000000-0005-0000-0000-0000DB020000}"/>
    <cellStyle name="Normal 11 14 7 18" xfId="751" xr:uid="{00000000-0005-0000-0000-0000DC020000}"/>
    <cellStyle name="Normal 11 14 7 2" xfId="752" xr:uid="{00000000-0005-0000-0000-0000DD020000}"/>
    <cellStyle name="Normal 11 14 7 3" xfId="753" xr:uid="{00000000-0005-0000-0000-0000DE020000}"/>
    <cellStyle name="Normal 11 14 7 4" xfId="754" xr:uid="{00000000-0005-0000-0000-0000DF020000}"/>
    <cellStyle name="Normal 11 14 7 5" xfId="755" xr:uid="{00000000-0005-0000-0000-0000E0020000}"/>
    <cellStyle name="Normal 11 14 7 6" xfId="756" xr:uid="{00000000-0005-0000-0000-0000E1020000}"/>
    <cellStyle name="Normal 11 14 7 7" xfId="757" xr:uid="{00000000-0005-0000-0000-0000E2020000}"/>
    <cellStyle name="Normal 11 14 7 8" xfId="758" xr:uid="{00000000-0005-0000-0000-0000E3020000}"/>
    <cellStyle name="Normal 11 14 7 9" xfId="759" xr:uid="{00000000-0005-0000-0000-0000E4020000}"/>
    <cellStyle name="Normal 11 14 8" xfId="760" xr:uid="{00000000-0005-0000-0000-0000E5020000}"/>
    <cellStyle name="Normal 11 14 8 10" xfId="761" xr:uid="{00000000-0005-0000-0000-0000E6020000}"/>
    <cellStyle name="Normal 11 14 8 11" xfId="762" xr:uid="{00000000-0005-0000-0000-0000E7020000}"/>
    <cellStyle name="Normal 11 14 8 12" xfId="763" xr:uid="{00000000-0005-0000-0000-0000E8020000}"/>
    <cellStyle name="Normal 11 14 8 13" xfId="764" xr:uid="{00000000-0005-0000-0000-0000E9020000}"/>
    <cellStyle name="Normal 11 14 8 14" xfId="765" xr:uid="{00000000-0005-0000-0000-0000EA020000}"/>
    <cellStyle name="Normal 11 14 8 15" xfId="766" xr:uid="{00000000-0005-0000-0000-0000EB020000}"/>
    <cellStyle name="Normal 11 14 8 16" xfId="767" xr:uid="{00000000-0005-0000-0000-0000EC020000}"/>
    <cellStyle name="Normal 11 14 8 17" xfId="768" xr:uid="{00000000-0005-0000-0000-0000ED020000}"/>
    <cellStyle name="Normal 11 14 8 18" xfId="769" xr:uid="{00000000-0005-0000-0000-0000EE020000}"/>
    <cellStyle name="Normal 11 14 8 2" xfId="770" xr:uid="{00000000-0005-0000-0000-0000EF020000}"/>
    <cellStyle name="Normal 11 14 8 3" xfId="771" xr:uid="{00000000-0005-0000-0000-0000F0020000}"/>
    <cellStyle name="Normal 11 14 8 4" xfId="772" xr:uid="{00000000-0005-0000-0000-0000F1020000}"/>
    <cellStyle name="Normal 11 14 8 5" xfId="773" xr:uid="{00000000-0005-0000-0000-0000F2020000}"/>
    <cellStyle name="Normal 11 14 8 6" xfId="774" xr:uid="{00000000-0005-0000-0000-0000F3020000}"/>
    <cellStyle name="Normal 11 14 8 7" xfId="775" xr:uid="{00000000-0005-0000-0000-0000F4020000}"/>
    <cellStyle name="Normal 11 14 8 8" xfId="776" xr:uid="{00000000-0005-0000-0000-0000F5020000}"/>
    <cellStyle name="Normal 11 14 8 9" xfId="777" xr:uid="{00000000-0005-0000-0000-0000F6020000}"/>
    <cellStyle name="Normal 11 14 9" xfId="778" xr:uid="{00000000-0005-0000-0000-0000F7020000}"/>
    <cellStyle name="Normal 11 14 9 10" xfId="779" xr:uid="{00000000-0005-0000-0000-0000F8020000}"/>
    <cellStyle name="Normal 11 14 9 11" xfId="780" xr:uid="{00000000-0005-0000-0000-0000F9020000}"/>
    <cellStyle name="Normal 11 14 9 12" xfId="781" xr:uid="{00000000-0005-0000-0000-0000FA020000}"/>
    <cellStyle name="Normal 11 14 9 13" xfId="782" xr:uid="{00000000-0005-0000-0000-0000FB020000}"/>
    <cellStyle name="Normal 11 14 9 14" xfId="783" xr:uid="{00000000-0005-0000-0000-0000FC020000}"/>
    <cellStyle name="Normal 11 14 9 15" xfId="784" xr:uid="{00000000-0005-0000-0000-0000FD020000}"/>
    <cellStyle name="Normal 11 14 9 16" xfId="785" xr:uid="{00000000-0005-0000-0000-0000FE020000}"/>
    <cellStyle name="Normal 11 14 9 17" xfId="786" xr:uid="{00000000-0005-0000-0000-0000FF020000}"/>
    <cellStyle name="Normal 11 14 9 18" xfId="787" xr:uid="{00000000-0005-0000-0000-000000030000}"/>
    <cellStyle name="Normal 11 14 9 2" xfId="788" xr:uid="{00000000-0005-0000-0000-000001030000}"/>
    <cellStyle name="Normal 11 14 9 3" xfId="789" xr:uid="{00000000-0005-0000-0000-000002030000}"/>
    <cellStyle name="Normal 11 14 9 4" xfId="790" xr:uid="{00000000-0005-0000-0000-000003030000}"/>
    <cellStyle name="Normal 11 14 9 5" xfId="791" xr:uid="{00000000-0005-0000-0000-000004030000}"/>
    <cellStyle name="Normal 11 14 9 6" xfId="792" xr:uid="{00000000-0005-0000-0000-000005030000}"/>
    <cellStyle name="Normal 11 14 9 7" xfId="793" xr:uid="{00000000-0005-0000-0000-000006030000}"/>
    <cellStyle name="Normal 11 14 9 8" xfId="794" xr:uid="{00000000-0005-0000-0000-000007030000}"/>
    <cellStyle name="Normal 11 14 9 9" xfId="795" xr:uid="{00000000-0005-0000-0000-000008030000}"/>
    <cellStyle name="Normal 11 2" xfId="796" xr:uid="{00000000-0005-0000-0000-000009030000}"/>
    <cellStyle name="Normal 11 3" xfId="797" xr:uid="{00000000-0005-0000-0000-00000A030000}"/>
    <cellStyle name="Normal 11 4" xfId="798" xr:uid="{00000000-0005-0000-0000-00000B030000}"/>
    <cellStyle name="Normal 11 5" xfId="799" xr:uid="{00000000-0005-0000-0000-00000C030000}"/>
    <cellStyle name="Normal 11 6" xfId="800" xr:uid="{00000000-0005-0000-0000-00000D030000}"/>
    <cellStyle name="Normal 11 7" xfId="801" xr:uid="{00000000-0005-0000-0000-00000E030000}"/>
    <cellStyle name="Normal 11 8" xfId="802" xr:uid="{00000000-0005-0000-0000-00000F030000}"/>
    <cellStyle name="Normal 11 9" xfId="803" xr:uid="{00000000-0005-0000-0000-000010030000}"/>
    <cellStyle name="Normal 12" xfId="804" xr:uid="{00000000-0005-0000-0000-000011030000}"/>
    <cellStyle name="Normal 13" xfId="805" xr:uid="{00000000-0005-0000-0000-000012030000}"/>
    <cellStyle name="Normal 14" xfId="806" xr:uid="{00000000-0005-0000-0000-000013030000}"/>
    <cellStyle name="Normal 15" xfId="807" xr:uid="{00000000-0005-0000-0000-000014030000}"/>
    <cellStyle name="Normal 15 10" xfId="808" xr:uid="{00000000-0005-0000-0000-000015030000}"/>
    <cellStyle name="Normal 15 11" xfId="809" xr:uid="{00000000-0005-0000-0000-000016030000}"/>
    <cellStyle name="Normal 15 12" xfId="810" xr:uid="{00000000-0005-0000-0000-000017030000}"/>
    <cellStyle name="Normal 15 13" xfId="811" xr:uid="{00000000-0005-0000-0000-000018030000}"/>
    <cellStyle name="Normal 15 14" xfId="812" xr:uid="{00000000-0005-0000-0000-000019030000}"/>
    <cellStyle name="Normal 15 15" xfId="813" xr:uid="{00000000-0005-0000-0000-00001A030000}"/>
    <cellStyle name="Normal 15 16" xfId="814" xr:uid="{00000000-0005-0000-0000-00001B030000}"/>
    <cellStyle name="Normal 15 17" xfId="815" xr:uid="{00000000-0005-0000-0000-00001C030000}"/>
    <cellStyle name="Normal 15 18" xfId="816" xr:uid="{00000000-0005-0000-0000-00001D030000}"/>
    <cellStyle name="Normal 15 19" xfId="817" xr:uid="{00000000-0005-0000-0000-00001E030000}"/>
    <cellStyle name="Normal 15 2" xfId="818" xr:uid="{00000000-0005-0000-0000-00001F030000}"/>
    <cellStyle name="Normal 15 2 10" xfId="819" xr:uid="{00000000-0005-0000-0000-000020030000}"/>
    <cellStyle name="Normal 15 2 11" xfId="820" xr:uid="{00000000-0005-0000-0000-000021030000}"/>
    <cellStyle name="Normal 15 2 12" xfId="821" xr:uid="{00000000-0005-0000-0000-000022030000}"/>
    <cellStyle name="Normal 15 2 13" xfId="822" xr:uid="{00000000-0005-0000-0000-000023030000}"/>
    <cellStyle name="Normal 15 2 14" xfId="823" xr:uid="{00000000-0005-0000-0000-000024030000}"/>
    <cellStyle name="Normal 15 2 15" xfId="824" xr:uid="{00000000-0005-0000-0000-000025030000}"/>
    <cellStyle name="Normal 15 2 16" xfId="825" xr:uid="{00000000-0005-0000-0000-000026030000}"/>
    <cellStyle name="Normal 15 2 17" xfId="826" xr:uid="{00000000-0005-0000-0000-000027030000}"/>
    <cellStyle name="Normal 15 2 18" xfId="827" xr:uid="{00000000-0005-0000-0000-000028030000}"/>
    <cellStyle name="Normal 15 2 2" xfId="828" xr:uid="{00000000-0005-0000-0000-000029030000}"/>
    <cellStyle name="Normal 15 2 3" xfId="829" xr:uid="{00000000-0005-0000-0000-00002A030000}"/>
    <cellStyle name="Normal 15 2 4" xfId="830" xr:uid="{00000000-0005-0000-0000-00002B030000}"/>
    <cellStyle name="Normal 15 2 5" xfId="831" xr:uid="{00000000-0005-0000-0000-00002C030000}"/>
    <cellStyle name="Normal 15 2 6" xfId="832" xr:uid="{00000000-0005-0000-0000-00002D030000}"/>
    <cellStyle name="Normal 15 2 7" xfId="833" xr:uid="{00000000-0005-0000-0000-00002E030000}"/>
    <cellStyle name="Normal 15 2 8" xfId="834" xr:uid="{00000000-0005-0000-0000-00002F030000}"/>
    <cellStyle name="Normal 15 2 9" xfId="835" xr:uid="{00000000-0005-0000-0000-000030030000}"/>
    <cellStyle name="Normal 15 20" xfId="836" xr:uid="{00000000-0005-0000-0000-000031030000}"/>
    <cellStyle name="Normal 15 21" xfId="837" xr:uid="{00000000-0005-0000-0000-000032030000}"/>
    <cellStyle name="Normal 15 22" xfId="838" xr:uid="{00000000-0005-0000-0000-000033030000}"/>
    <cellStyle name="Normal 15 23" xfId="839" xr:uid="{00000000-0005-0000-0000-000034030000}"/>
    <cellStyle name="Normal 15 24" xfId="840" xr:uid="{00000000-0005-0000-0000-000035030000}"/>
    <cellStyle name="Normal 15 25" xfId="841" xr:uid="{00000000-0005-0000-0000-000036030000}"/>
    <cellStyle name="Normal 15 3" xfId="842" xr:uid="{00000000-0005-0000-0000-000037030000}"/>
    <cellStyle name="Normal 15 3 10" xfId="843" xr:uid="{00000000-0005-0000-0000-000038030000}"/>
    <cellStyle name="Normal 15 3 11" xfId="844" xr:uid="{00000000-0005-0000-0000-000039030000}"/>
    <cellStyle name="Normal 15 3 12" xfId="845" xr:uid="{00000000-0005-0000-0000-00003A030000}"/>
    <cellStyle name="Normal 15 3 13" xfId="846" xr:uid="{00000000-0005-0000-0000-00003B030000}"/>
    <cellStyle name="Normal 15 3 14" xfId="847" xr:uid="{00000000-0005-0000-0000-00003C030000}"/>
    <cellStyle name="Normal 15 3 15" xfId="848" xr:uid="{00000000-0005-0000-0000-00003D030000}"/>
    <cellStyle name="Normal 15 3 16" xfId="849" xr:uid="{00000000-0005-0000-0000-00003E030000}"/>
    <cellStyle name="Normal 15 3 17" xfId="850" xr:uid="{00000000-0005-0000-0000-00003F030000}"/>
    <cellStyle name="Normal 15 3 18" xfId="851" xr:uid="{00000000-0005-0000-0000-000040030000}"/>
    <cellStyle name="Normal 15 3 2" xfId="852" xr:uid="{00000000-0005-0000-0000-000041030000}"/>
    <cellStyle name="Normal 15 3 3" xfId="853" xr:uid="{00000000-0005-0000-0000-000042030000}"/>
    <cellStyle name="Normal 15 3 4" xfId="854" xr:uid="{00000000-0005-0000-0000-000043030000}"/>
    <cellStyle name="Normal 15 3 5" xfId="855" xr:uid="{00000000-0005-0000-0000-000044030000}"/>
    <cellStyle name="Normal 15 3 6" xfId="856" xr:uid="{00000000-0005-0000-0000-000045030000}"/>
    <cellStyle name="Normal 15 3 7" xfId="857" xr:uid="{00000000-0005-0000-0000-000046030000}"/>
    <cellStyle name="Normal 15 3 8" xfId="858" xr:uid="{00000000-0005-0000-0000-000047030000}"/>
    <cellStyle name="Normal 15 3 9" xfId="859" xr:uid="{00000000-0005-0000-0000-000048030000}"/>
    <cellStyle name="Normal 15 4" xfId="860" xr:uid="{00000000-0005-0000-0000-000049030000}"/>
    <cellStyle name="Normal 15 4 10" xfId="861" xr:uid="{00000000-0005-0000-0000-00004A030000}"/>
    <cellStyle name="Normal 15 4 11" xfId="862" xr:uid="{00000000-0005-0000-0000-00004B030000}"/>
    <cellStyle name="Normal 15 4 12" xfId="863" xr:uid="{00000000-0005-0000-0000-00004C030000}"/>
    <cellStyle name="Normal 15 4 13" xfId="864" xr:uid="{00000000-0005-0000-0000-00004D030000}"/>
    <cellStyle name="Normal 15 4 14" xfId="865" xr:uid="{00000000-0005-0000-0000-00004E030000}"/>
    <cellStyle name="Normal 15 4 15" xfId="866" xr:uid="{00000000-0005-0000-0000-00004F030000}"/>
    <cellStyle name="Normal 15 4 16" xfId="867" xr:uid="{00000000-0005-0000-0000-000050030000}"/>
    <cellStyle name="Normal 15 4 17" xfId="868" xr:uid="{00000000-0005-0000-0000-000051030000}"/>
    <cellStyle name="Normal 15 4 18" xfId="869" xr:uid="{00000000-0005-0000-0000-000052030000}"/>
    <cellStyle name="Normal 15 4 2" xfId="870" xr:uid="{00000000-0005-0000-0000-000053030000}"/>
    <cellStyle name="Normal 15 4 3" xfId="871" xr:uid="{00000000-0005-0000-0000-000054030000}"/>
    <cellStyle name="Normal 15 4 4" xfId="872" xr:uid="{00000000-0005-0000-0000-000055030000}"/>
    <cellStyle name="Normal 15 4 5" xfId="873" xr:uid="{00000000-0005-0000-0000-000056030000}"/>
    <cellStyle name="Normal 15 4 6" xfId="874" xr:uid="{00000000-0005-0000-0000-000057030000}"/>
    <cellStyle name="Normal 15 4 7" xfId="875" xr:uid="{00000000-0005-0000-0000-000058030000}"/>
    <cellStyle name="Normal 15 4 8" xfId="876" xr:uid="{00000000-0005-0000-0000-000059030000}"/>
    <cellStyle name="Normal 15 4 9" xfId="877" xr:uid="{00000000-0005-0000-0000-00005A030000}"/>
    <cellStyle name="Normal 15 5" xfId="878" xr:uid="{00000000-0005-0000-0000-00005B030000}"/>
    <cellStyle name="Normal 15 5 10" xfId="879" xr:uid="{00000000-0005-0000-0000-00005C030000}"/>
    <cellStyle name="Normal 15 5 11" xfId="880" xr:uid="{00000000-0005-0000-0000-00005D030000}"/>
    <cellStyle name="Normal 15 5 12" xfId="881" xr:uid="{00000000-0005-0000-0000-00005E030000}"/>
    <cellStyle name="Normal 15 5 13" xfId="882" xr:uid="{00000000-0005-0000-0000-00005F030000}"/>
    <cellStyle name="Normal 15 5 14" xfId="883" xr:uid="{00000000-0005-0000-0000-000060030000}"/>
    <cellStyle name="Normal 15 5 15" xfId="884" xr:uid="{00000000-0005-0000-0000-000061030000}"/>
    <cellStyle name="Normal 15 5 16" xfId="885" xr:uid="{00000000-0005-0000-0000-000062030000}"/>
    <cellStyle name="Normal 15 5 17" xfId="886" xr:uid="{00000000-0005-0000-0000-000063030000}"/>
    <cellStyle name="Normal 15 5 18" xfId="887" xr:uid="{00000000-0005-0000-0000-000064030000}"/>
    <cellStyle name="Normal 15 5 2" xfId="888" xr:uid="{00000000-0005-0000-0000-000065030000}"/>
    <cellStyle name="Normal 15 5 3" xfId="889" xr:uid="{00000000-0005-0000-0000-000066030000}"/>
    <cellStyle name="Normal 15 5 4" xfId="890" xr:uid="{00000000-0005-0000-0000-000067030000}"/>
    <cellStyle name="Normal 15 5 5" xfId="891" xr:uid="{00000000-0005-0000-0000-000068030000}"/>
    <cellStyle name="Normal 15 5 6" xfId="892" xr:uid="{00000000-0005-0000-0000-000069030000}"/>
    <cellStyle name="Normal 15 5 7" xfId="893" xr:uid="{00000000-0005-0000-0000-00006A030000}"/>
    <cellStyle name="Normal 15 5 8" xfId="894" xr:uid="{00000000-0005-0000-0000-00006B030000}"/>
    <cellStyle name="Normal 15 5 9" xfId="895" xr:uid="{00000000-0005-0000-0000-00006C030000}"/>
    <cellStyle name="Normal 15 6" xfId="896" xr:uid="{00000000-0005-0000-0000-00006D030000}"/>
    <cellStyle name="Normal 15 6 10" xfId="897" xr:uid="{00000000-0005-0000-0000-00006E030000}"/>
    <cellStyle name="Normal 15 6 11" xfId="898" xr:uid="{00000000-0005-0000-0000-00006F030000}"/>
    <cellStyle name="Normal 15 6 12" xfId="899" xr:uid="{00000000-0005-0000-0000-000070030000}"/>
    <cellStyle name="Normal 15 6 13" xfId="900" xr:uid="{00000000-0005-0000-0000-000071030000}"/>
    <cellStyle name="Normal 15 6 14" xfId="901" xr:uid="{00000000-0005-0000-0000-000072030000}"/>
    <cellStyle name="Normal 15 6 15" xfId="902" xr:uid="{00000000-0005-0000-0000-000073030000}"/>
    <cellStyle name="Normal 15 6 16" xfId="903" xr:uid="{00000000-0005-0000-0000-000074030000}"/>
    <cellStyle name="Normal 15 6 17" xfId="904" xr:uid="{00000000-0005-0000-0000-000075030000}"/>
    <cellStyle name="Normal 15 6 18" xfId="905" xr:uid="{00000000-0005-0000-0000-000076030000}"/>
    <cellStyle name="Normal 15 6 2" xfId="906" xr:uid="{00000000-0005-0000-0000-000077030000}"/>
    <cellStyle name="Normal 15 6 3" xfId="907" xr:uid="{00000000-0005-0000-0000-000078030000}"/>
    <cellStyle name="Normal 15 6 4" xfId="908" xr:uid="{00000000-0005-0000-0000-000079030000}"/>
    <cellStyle name="Normal 15 6 5" xfId="909" xr:uid="{00000000-0005-0000-0000-00007A030000}"/>
    <cellStyle name="Normal 15 6 6" xfId="910" xr:uid="{00000000-0005-0000-0000-00007B030000}"/>
    <cellStyle name="Normal 15 6 7" xfId="911" xr:uid="{00000000-0005-0000-0000-00007C030000}"/>
    <cellStyle name="Normal 15 6 8" xfId="912" xr:uid="{00000000-0005-0000-0000-00007D030000}"/>
    <cellStyle name="Normal 15 6 9" xfId="913" xr:uid="{00000000-0005-0000-0000-00007E030000}"/>
    <cellStyle name="Normal 15 7" xfId="914" xr:uid="{00000000-0005-0000-0000-00007F030000}"/>
    <cellStyle name="Normal 15 7 10" xfId="915" xr:uid="{00000000-0005-0000-0000-000080030000}"/>
    <cellStyle name="Normal 15 7 11" xfId="916" xr:uid="{00000000-0005-0000-0000-000081030000}"/>
    <cellStyle name="Normal 15 7 12" xfId="917" xr:uid="{00000000-0005-0000-0000-000082030000}"/>
    <cellStyle name="Normal 15 7 13" xfId="918" xr:uid="{00000000-0005-0000-0000-000083030000}"/>
    <cellStyle name="Normal 15 7 14" xfId="919" xr:uid="{00000000-0005-0000-0000-000084030000}"/>
    <cellStyle name="Normal 15 7 15" xfId="920" xr:uid="{00000000-0005-0000-0000-000085030000}"/>
    <cellStyle name="Normal 15 7 16" xfId="921" xr:uid="{00000000-0005-0000-0000-000086030000}"/>
    <cellStyle name="Normal 15 7 17" xfId="922" xr:uid="{00000000-0005-0000-0000-000087030000}"/>
    <cellStyle name="Normal 15 7 18" xfId="923" xr:uid="{00000000-0005-0000-0000-000088030000}"/>
    <cellStyle name="Normal 15 7 2" xfId="924" xr:uid="{00000000-0005-0000-0000-000089030000}"/>
    <cellStyle name="Normal 15 7 3" xfId="925" xr:uid="{00000000-0005-0000-0000-00008A030000}"/>
    <cellStyle name="Normal 15 7 4" xfId="926" xr:uid="{00000000-0005-0000-0000-00008B030000}"/>
    <cellStyle name="Normal 15 7 5" xfId="927" xr:uid="{00000000-0005-0000-0000-00008C030000}"/>
    <cellStyle name="Normal 15 7 6" xfId="928" xr:uid="{00000000-0005-0000-0000-00008D030000}"/>
    <cellStyle name="Normal 15 7 7" xfId="929" xr:uid="{00000000-0005-0000-0000-00008E030000}"/>
    <cellStyle name="Normal 15 7 8" xfId="930" xr:uid="{00000000-0005-0000-0000-00008F030000}"/>
    <cellStyle name="Normal 15 7 9" xfId="931" xr:uid="{00000000-0005-0000-0000-000090030000}"/>
    <cellStyle name="Normal 15 8" xfId="932" xr:uid="{00000000-0005-0000-0000-000091030000}"/>
    <cellStyle name="Normal 15 8 10" xfId="933" xr:uid="{00000000-0005-0000-0000-000092030000}"/>
    <cellStyle name="Normal 15 8 11" xfId="934" xr:uid="{00000000-0005-0000-0000-000093030000}"/>
    <cellStyle name="Normal 15 8 12" xfId="935" xr:uid="{00000000-0005-0000-0000-000094030000}"/>
    <cellStyle name="Normal 15 8 13" xfId="936" xr:uid="{00000000-0005-0000-0000-000095030000}"/>
    <cellStyle name="Normal 15 8 14" xfId="937" xr:uid="{00000000-0005-0000-0000-000096030000}"/>
    <cellStyle name="Normal 15 8 15" xfId="938" xr:uid="{00000000-0005-0000-0000-000097030000}"/>
    <cellStyle name="Normal 15 8 16" xfId="939" xr:uid="{00000000-0005-0000-0000-000098030000}"/>
    <cellStyle name="Normal 15 8 17" xfId="940" xr:uid="{00000000-0005-0000-0000-000099030000}"/>
    <cellStyle name="Normal 15 8 18" xfId="941" xr:uid="{00000000-0005-0000-0000-00009A030000}"/>
    <cellStyle name="Normal 15 8 2" xfId="942" xr:uid="{00000000-0005-0000-0000-00009B030000}"/>
    <cellStyle name="Normal 15 8 3" xfId="943" xr:uid="{00000000-0005-0000-0000-00009C030000}"/>
    <cellStyle name="Normal 15 8 4" xfId="944" xr:uid="{00000000-0005-0000-0000-00009D030000}"/>
    <cellStyle name="Normal 15 8 5" xfId="945" xr:uid="{00000000-0005-0000-0000-00009E030000}"/>
    <cellStyle name="Normal 15 8 6" xfId="946" xr:uid="{00000000-0005-0000-0000-00009F030000}"/>
    <cellStyle name="Normal 15 8 7" xfId="947" xr:uid="{00000000-0005-0000-0000-0000A0030000}"/>
    <cellStyle name="Normal 15 8 8" xfId="948" xr:uid="{00000000-0005-0000-0000-0000A1030000}"/>
    <cellStyle name="Normal 15 8 9" xfId="949" xr:uid="{00000000-0005-0000-0000-0000A2030000}"/>
    <cellStyle name="Normal 15 9" xfId="950" xr:uid="{00000000-0005-0000-0000-0000A3030000}"/>
    <cellStyle name="Normal 16" xfId="951" xr:uid="{00000000-0005-0000-0000-0000A4030000}"/>
    <cellStyle name="Normal 16 10" xfId="952" xr:uid="{00000000-0005-0000-0000-0000A5030000}"/>
    <cellStyle name="Normal 16 11" xfId="953" xr:uid="{00000000-0005-0000-0000-0000A6030000}"/>
    <cellStyle name="Normal 16 12" xfId="954" xr:uid="{00000000-0005-0000-0000-0000A7030000}"/>
    <cellStyle name="Normal 16 13" xfId="955" xr:uid="{00000000-0005-0000-0000-0000A8030000}"/>
    <cellStyle name="Normal 16 14" xfId="956" xr:uid="{00000000-0005-0000-0000-0000A9030000}"/>
    <cellStyle name="Normal 16 15" xfId="957" xr:uid="{00000000-0005-0000-0000-0000AA030000}"/>
    <cellStyle name="Normal 16 16" xfId="958" xr:uid="{00000000-0005-0000-0000-0000AB030000}"/>
    <cellStyle name="Normal 16 17" xfId="959" xr:uid="{00000000-0005-0000-0000-0000AC030000}"/>
    <cellStyle name="Normal 16 18" xfId="960" xr:uid="{00000000-0005-0000-0000-0000AD030000}"/>
    <cellStyle name="Normal 16 19" xfId="961" xr:uid="{00000000-0005-0000-0000-0000AE030000}"/>
    <cellStyle name="Normal 16 2" xfId="962" xr:uid="{00000000-0005-0000-0000-0000AF030000}"/>
    <cellStyle name="Normal 16 20" xfId="963" xr:uid="{00000000-0005-0000-0000-0000B0030000}"/>
    <cellStyle name="Normal 16 21" xfId="964" xr:uid="{00000000-0005-0000-0000-0000B1030000}"/>
    <cellStyle name="Normal 16 22" xfId="965" xr:uid="{00000000-0005-0000-0000-0000B2030000}"/>
    <cellStyle name="Normal 16 23" xfId="966" xr:uid="{00000000-0005-0000-0000-0000B3030000}"/>
    <cellStyle name="Normal 16 24" xfId="967" xr:uid="{00000000-0005-0000-0000-0000B4030000}"/>
    <cellStyle name="Normal 16 25" xfId="968" xr:uid="{00000000-0005-0000-0000-0000B5030000}"/>
    <cellStyle name="Normal 16 3" xfId="969" xr:uid="{00000000-0005-0000-0000-0000B6030000}"/>
    <cellStyle name="Normal 16 4" xfId="970" xr:uid="{00000000-0005-0000-0000-0000B7030000}"/>
    <cellStyle name="Normal 16 5" xfId="971" xr:uid="{00000000-0005-0000-0000-0000B8030000}"/>
    <cellStyle name="Normal 16 6" xfId="972" xr:uid="{00000000-0005-0000-0000-0000B9030000}"/>
    <cellStyle name="Normal 16 7" xfId="973" xr:uid="{00000000-0005-0000-0000-0000BA030000}"/>
    <cellStyle name="Normal 16 8" xfId="974" xr:uid="{00000000-0005-0000-0000-0000BB030000}"/>
    <cellStyle name="Normal 16 9" xfId="975" xr:uid="{00000000-0005-0000-0000-0000BC030000}"/>
    <cellStyle name="Normal 17" xfId="976" xr:uid="{00000000-0005-0000-0000-0000BD030000}"/>
    <cellStyle name="Normal 17 10" xfId="977" xr:uid="{00000000-0005-0000-0000-0000BE030000}"/>
    <cellStyle name="Normal 17 11" xfId="978" xr:uid="{00000000-0005-0000-0000-0000BF030000}"/>
    <cellStyle name="Normal 17 12" xfId="979" xr:uid="{00000000-0005-0000-0000-0000C0030000}"/>
    <cellStyle name="Normal 17 13" xfId="980" xr:uid="{00000000-0005-0000-0000-0000C1030000}"/>
    <cellStyle name="Normal 17 14" xfId="981" xr:uid="{00000000-0005-0000-0000-0000C2030000}"/>
    <cellStyle name="Normal 17 15" xfId="982" xr:uid="{00000000-0005-0000-0000-0000C3030000}"/>
    <cellStyle name="Normal 17 16" xfId="983" xr:uid="{00000000-0005-0000-0000-0000C4030000}"/>
    <cellStyle name="Normal 17 17" xfId="984" xr:uid="{00000000-0005-0000-0000-0000C5030000}"/>
    <cellStyle name="Normal 17 18" xfId="985" xr:uid="{00000000-0005-0000-0000-0000C6030000}"/>
    <cellStyle name="Normal 17 19" xfId="986" xr:uid="{00000000-0005-0000-0000-0000C7030000}"/>
    <cellStyle name="Normal 17 2" xfId="987" xr:uid="{00000000-0005-0000-0000-0000C8030000}"/>
    <cellStyle name="Normal 17 3" xfId="988" xr:uid="{00000000-0005-0000-0000-0000C9030000}"/>
    <cellStyle name="Normal 17 4" xfId="989" xr:uid="{00000000-0005-0000-0000-0000CA030000}"/>
    <cellStyle name="Normal 17 5" xfId="990" xr:uid="{00000000-0005-0000-0000-0000CB030000}"/>
    <cellStyle name="Normal 17 6" xfId="991" xr:uid="{00000000-0005-0000-0000-0000CC030000}"/>
    <cellStyle name="Normal 17 7" xfId="992" xr:uid="{00000000-0005-0000-0000-0000CD030000}"/>
    <cellStyle name="Normal 17 8" xfId="993" xr:uid="{00000000-0005-0000-0000-0000CE030000}"/>
    <cellStyle name="Normal 17 9" xfId="994" xr:uid="{00000000-0005-0000-0000-0000CF030000}"/>
    <cellStyle name="Normal 18" xfId="995" xr:uid="{00000000-0005-0000-0000-0000D0030000}"/>
    <cellStyle name="Normal 19" xfId="996" xr:uid="{00000000-0005-0000-0000-0000D1030000}"/>
    <cellStyle name="Normal 2" xfId="3" xr:uid="{00000000-0005-0000-0000-0000D2030000}"/>
    <cellStyle name="Normal 2 10" xfId="998" xr:uid="{00000000-0005-0000-0000-0000D3030000}"/>
    <cellStyle name="Normal 2 10 2" xfId="999" xr:uid="{00000000-0005-0000-0000-0000D4030000}"/>
    <cellStyle name="Normal 2 11" xfId="1000" xr:uid="{00000000-0005-0000-0000-0000D5030000}"/>
    <cellStyle name="Normal 2 12" xfId="1001" xr:uid="{00000000-0005-0000-0000-0000D6030000}"/>
    <cellStyle name="Normal 2 13" xfId="1002" xr:uid="{00000000-0005-0000-0000-0000D7030000}"/>
    <cellStyle name="Normal 2 14" xfId="1003" xr:uid="{00000000-0005-0000-0000-0000D8030000}"/>
    <cellStyle name="Normal 2 14 2" xfId="1004" xr:uid="{00000000-0005-0000-0000-0000D9030000}"/>
    <cellStyle name="Normal 2 15" xfId="1005" xr:uid="{00000000-0005-0000-0000-0000DA030000}"/>
    <cellStyle name="Normal 2 16" xfId="1006" xr:uid="{00000000-0005-0000-0000-0000DB030000}"/>
    <cellStyle name="Normal 2 17" xfId="1007" xr:uid="{00000000-0005-0000-0000-0000DC030000}"/>
    <cellStyle name="Normal 2 18" xfId="1008" xr:uid="{00000000-0005-0000-0000-0000DD030000}"/>
    <cellStyle name="Normal 2 19" xfId="1009" xr:uid="{00000000-0005-0000-0000-0000DE030000}"/>
    <cellStyle name="Normal 2 2" xfId="7" xr:uid="{00000000-0005-0000-0000-0000DF030000}"/>
    <cellStyle name="Normal 2 2 2" xfId="1011" xr:uid="{00000000-0005-0000-0000-0000E0030000}"/>
    <cellStyle name="Normal 2 2 2 2" xfId="1012" xr:uid="{00000000-0005-0000-0000-0000E1030000}"/>
    <cellStyle name="Normal 2 2 3" xfId="1013" xr:uid="{00000000-0005-0000-0000-0000E2030000}"/>
    <cellStyle name="Normal 2 2 3 2" xfId="1014" xr:uid="{00000000-0005-0000-0000-0000E3030000}"/>
    <cellStyle name="Normal 2 2 4" xfId="1010" xr:uid="{00000000-0005-0000-0000-0000E4030000}"/>
    <cellStyle name="Normal 2 20" xfId="1015" xr:uid="{00000000-0005-0000-0000-0000E5030000}"/>
    <cellStyle name="Normal 2 21" xfId="1016" xr:uid="{00000000-0005-0000-0000-0000E6030000}"/>
    <cellStyle name="Normal 2 22" xfId="1017" xr:uid="{00000000-0005-0000-0000-0000E7030000}"/>
    <cellStyle name="Normal 2 23" xfId="1018" xr:uid="{00000000-0005-0000-0000-0000E8030000}"/>
    <cellStyle name="Normal 2 24" xfId="1019" xr:uid="{00000000-0005-0000-0000-0000E9030000}"/>
    <cellStyle name="Normal 2 25" xfId="1020" xr:uid="{00000000-0005-0000-0000-0000EA030000}"/>
    <cellStyle name="Normal 2 26" xfId="1021" xr:uid="{00000000-0005-0000-0000-0000EB030000}"/>
    <cellStyle name="Normal 2 27" xfId="1022" xr:uid="{00000000-0005-0000-0000-0000EC030000}"/>
    <cellStyle name="Normal 2 28" xfId="1023" xr:uid="{00000000-0005-0000-0000-0000ED030000}"/>
    <cellStyle name="Normal 2 29" xfId="1024" xr:uid="{00000000-0005-0000-0000-0000EE030000}"/>
    <cellStyle name="Normal 2 3" xfId="48" xr:uid="{00000000-0005-0000-0000-0000EF030000}"/>
    <cellStyle name="Normal 2 3 10" xfId="1026" xr:uid="{00000000-0005-0000-0000-0000F0030000}"/>
    <cellStyle name="Normal 2 3 11" xfId="1027" xr:uid="{00000000-0005-0000-0000-0000F1030000}"/>
    <cellStyle name="Normal 2 3 12" xfId="1028" xr:uid="{00000000-0005-0000-0000-0000F2030000}"/>
    <cellStyle name="Normal 2 3 13" xfId="1029" xr:uid="{00000000-0005-0000-0000-0000F3030000}"/>
    <cellStyle name="Normal 2 3 14" xfId="1030" xr:uid="{00000000-0005-0000-0000-0000F4030000}"/>
    <cellStyle name="Normal 2 3 15" xfId="1031" xr:uid="{00000000-0005-0000-0000-0000F5030000}"/>
    <cellStyle name="Normal 2 3 16" xfId="1032" xr:uid="{00000000-0005-0000-0000-0000F6030000}"/>
    <cellStyle name="Normal 2 3 17" xfId="1033" xr:uid="{00000000-0005-0000-0000-0000F7030000}"/>
    <cellStyle name="Normal 2 3 18" xfId="1034" xr:uid="{00000000-0005-0000-0000-0000F8030000}"/>
    <cellStyle name="Normal 2 3 19" xfId="1035" xr:uid="{00000000-0005-0000-0000-0000F9030000}"/>
    <cellStyle name="Normal 2 3 2" xfId="1036" xr:uid="{00000000-0005-0000-0000-0000FA030000}"/>
    <cellStyle name="Normal 2 3 2 10" xfId="1037" xr:uid="{00000000-0005-0000-0000-0000FB030000}"/>
    <cellStyle name="Normal 2 3 2 11" xfId="1038" xr:uid="{00000000-0005-0000-0000-0000FC030000}"/>
    <cellStyle name="Normal 2 3 2 12" xfId="1039" xr:uid="{00000000-0005-0000-0000-0000FD030000}"/>
    <cellStyle name="Normal 2 3 2 13" xfId="1040" xr:uid="{00000000-0005-0000-0000-0000FE030000}"/>
    <cellStyle name="Normal 2 3 2 2" xfId="1041" xr:uid="{00000000-0005-0000-0000-0000FF030000}"/>
    <cellStyle name="Normal 2 3 2 2 10" xfId="1042" xr:uid="{00000000-0005-0000-0000-000000040000}"/>
    <cellStyle name="Normal 2 3 2 2 11" xfId="1043" xr:uid="{00000000-0005-0000-0000-000001040000}"/>
    <cellStyle name="Normal 2 3 2 2 12" xfId="1044" xr:uid="{00000000-0005-0000-0000-000002040000}"/>
    <cellStyle name="Normal 2 3 2 2 13" xfId="1045" xr:uid="{00000000-0005-0000-0000-000003040000}"/>
    <cellStyle name="Normal 2 3 2 2 2" xfId="1046" xr:uid="{00000000-0005-0000-0000-000004040000}"/>
    <cellStyle name="Normal 2 3 2 2 3" xfId="1047" xr:uid="{00000000-0005-0000-0000-000005040000}"/>
    <cellStyle name="Normal 2 3 2 2 4" xfId="1048" xr:uid="{00000000-0005-0000-0000-000006040000}"/>
    <cellStyle name="Normal 2 3 2 2 5" xfId="1049" xr:uid="{00000000-0005-0000-0000-000007040000}"/>
    <cellStyle name="Normal 2 3 2 2 6" xfId="1050" xr:uid="{00000000-0005-0000-0000-000008040000}"/>
    <cellStyle name="Normal 2 3 2 2 7" xfId="1051" xr:uid="{00000000-0005-0000-0000-000009040000}"/>
    <cellStyle name="Normal 2 3 2 2 8" xfId="1052" xr:uid="{00000000-0005-0000-0000-00000A040000}"/>
    <cellStyle name="Normal 2 3 2 2 9" xfId="1053" xr:uid="{00000000-0005-0000-0000-00000B040000}"/>
    <cellStyle name="Normal 2 3 2 3" xfId="1054" xr:uid="{00000000-0005-0000-0000-00000C040000}"/>
    <cellStyle name="Normal 2 3 2 4" xfId="1055" xr:uid="{00000000-0005-0000-0000-00000D040000}"/>
    <cellStyle name="Normal 2 3 2 5" xfId="1056" xr:uid="{00000000-0005-0000-0000-00000E040000}"/>
    <cellStyle name="Normal 2 3 2 6" xfId="1057" xr:uid="{00000000-0005-0000-0000-00000F040000}"/>
    <cellStyle name="Normal 2 3 2 7" xfId="1058" xr:uid="{00000000-0005-0000-0000-000010040000}"/>
    <cellStyle name="Normal 2 3 2 8" xfId="1059" xr:uid="{00000000-0005-0000-0000-000011040000}"/>
    <cellStyle name="Normal 2 3 2 9" xfId="1060" xr:uid="{00000000-0005-0000-0000-000012040000}"/>
    <cellStyle name="Normal 2 3 20" xfId="1061" xr:uid="{00000000-0005-0000-0000-000013040000}"/>
    <cellStyle name="Normal 2 3 21" xfId="1062" xr:uid="{00000000-0005-0000-0000-000014040000}"/>
    <cellStyle name="Normal 2 3 22" xfId="1063" xr:uid="{00000000-0005-0000-0000-000015040000}"/>
    <cellStyle name="Normal 2 3 23" xfId="1064" xr:uid="{00000000-0005-0000-0000-000016040000}"/>
    <cellStyle name="Normal 2 3 24" xfId="1065" xr:uid="{00000000-0005-0000-0000-000017040000}"/>
    <cellStyle name="Normal 2 3 25" xfId="1066" xr:uid="{00000000-0005-0000-0000-000018040000}"/>
    <cellStyle name="Normal 2 3 26" xfId="1067" xr:uid="{00000000-0005-0000-0000-000019040000}"/>
    <cellStyle name="Normal 2 3 27" xfId="1068" xr:uid="{00000000-0005-0000-0000-00001A040000}"/>
    <cellStyle name="Normal 2 3 28" xfId="1069" xr:uid="{00000000-0005-0000-0000-00001B040000}"/>
    <cellStyle name="Normal 2 3 29" xfId="1070" xr:uid="{00000000-0005-0000-0000-00001C040000}"/>
    <cellStyle name="Normal 2 3 3" xfId="1071" xr:uid="{00000000-0005-0000-0000-00001D040000}"/>
    <cellStyle name="Normal 2 3 30" xfId="1072" xr:uid="{00000000-0005-0000-0000-00001E040000}"/>
    <cellStyle name="Normal 2 3 31" xfId="1073" xr:uid="{00000000-0005-0000-0000-00001F040000}"/>
    <cellStyle name="Normal 2 3 32" xfId="1074" xr:uid="{00000000-0005-0000-0000-000020040000}"/>
    <cellStyle name="Normal 2 3 33" xfId="1075" xr:uid="{00000000-0005-0000-0000-000021040000}"/>
    <cellStyle name="Normal 2 3 34" xfId="1025" xr:uid="{00000000-0005-0000-0000-000022040000}"/>
    <cellStyle name="Normal 2 3 4" xfId="1076" xr:uid="{00000000-0005-0000-0000-000023040000}"/>
    <cellStyle name="Normal 2 3 5" xfId="1077" xr:uid="{00000000-0005-0000-0000-000024040000}"/>
    <cellStyle name="Normal 2 3 6" xfId="1078" xr:uid="{00000000-0005-0000-0000-000025040000}"/>
    <cellStyle name="Normal 2 3 7" xfId="1079" xr:uid="{00000000-0005-0000-0000-000026040000}"/>
    <cellStyle name="Normal 2 3 8" xfId="1080" xr:uid="{00000000-0005-0000-0000-000027040000}"/>
    <cellStyle name="Normal 2 3 9" xfId="1081" xr:uid="{00000000-0005-0000-0000-000028040000}"/>
    <cellStyle name="Normal 2 30" xfId="1082" xr:uid="{00000000-0005-0000-0000-000029040000}"/>
    <cellStyle name="Normal 2 31" xfId="1083" xr:uid="{00000000-0005-0000-0000-00002A040000}"/>
    <cellStyle name="Normal 2 32" xfId="1084" xr:uid="{00000000-0005-0000-0000-00002B040000}"/>
    <cellStyle name="Normal 2 33" xfId="1085" xr:uid="{00000000-0005-0000-0000-00002C040000}"/>
    <cellStyle name="Normal 2 34" xfId="997" xr:uid="{00000000-0005-0000-0000-00002D040000}"/>
    <cellStyle name="Normal 2 35" xfId="70" xr:uid="{00000000-0005-0000-0000-00002E040000}"/>
    <cellStyle name="Normal 2 35 2" xfId="1787" xr:uid="{00000000-0005-0000-0000-00002F040000}"/>
    <cellStyle name="Normal 2 4" xfId="50" xr:uid="{00000000-0005-0000-0000-000030040000}"/>
    <cellStyle name="Normal 2 4 10" xfId="1086" xr:uid="{00000000-0005-0000-0000-000031040000}"/>
    <cellStyle name="Normal 2 4 11" xfId="1087" xr:uid="{00000000-0005-0000-0000-000032040000}"/>
    <cellStyle name="Normal 2 4 12" xfId="1088" xr:uid="{00000000-0005-0000-0000-000033040000}"/>
    <cellStyle name="Normal 2 4 13" xfId="1089" xr:uid="{00000000-0005-0000-0000-000034040000}"/>
    <cellStyle name="Normal 2 4 2" xfId="1090" xr:uid="{00000000-0005-0000-0000-000035040000}"/>
    <cellStyle name="Normal 2 4 2 10" xfId="1091" xr:uid="{00000000-0005-0000-0000-000036040000}"/>
    <cellStyle name="Normal 2 4 2 11" xfId="1092" xr:uid="{00000000-0005-0000-0000-000037040000}"/>
    <cellStyle name="Normal 2 4 2 12" xfId="1093" xr:uid="{00000000-0005-0000-0000-000038040000}"/>
    <cellStyle name="Normal 2 4 2 13" xfId="1094" xr:uid="{00000000-0005-0000-0000-000039040000}"/>
    <cellStyle name="Normal 2 4 2 2" xfId="1095" xr:uid="{00000000-0005-0000-0000-00003A040000}"/>
    <cellStyle name="Normal 2 4 2 3" xfId="1096" xr:uid="{00000000-0005-0000-0000-00003B040000}"/>
    <cellStyle name="Normal 2 4 2 4" xfId="1097" xr:uid="{00000000-0005-0000-0000-00003C040000}"/>
    <cellStyle name="Normal 2 4 2 5" xfId="1098" xr:uid="{00000000-0005-0000-0000-00003D040000}"/>
    <cellStyle name="Normal 2 4 2 6" xfId="1099" xr:uid="{00000000-0005-0000-0000-00003E040000}"/>
    <cellStyle name="Normal 2 4 2 7" xfId="1100" xr:uid="{00000000-0005-0000-0000-00003F040000}"/>
    <cellStyle name="Normal 2 4 2 8" xfId="1101" xr:uid="{00000000-0005-0000-0000-000040040000}"/>
    <cellStyle name="Normal 2 4 2 9" xfId="1102" xr:uid="{00000000-0005-0000-0000-000041040000}"/>
    <cellStyle name="Normal 2 4 3" xfId="1103" xr:uid="{00000000-0005-0000-0000-000042040000}"/>
    <cellStyle name="Normal 2 4 4" xfId="1104" xr:uid="{00000000-0005-0000-0000-000043040000}"/>
    <cellStyle name="Normal 2 4 5" xfId="1105" xr:uid="{00000000-0005-0000-0000-000044040000}"/>
    <cellStyle name="Normal 2 4 6" xfId="1106" xr:uid="{00000000-0005-0000-0000-000045040000}"/>
    <cellStyle name="Normal 2 4 7" xfId="1107" xr:uid="{00000000-0005-0000-0000-000046040000}"/>
    <cellStyle name="Normal 2 4 8" xfId="1108" xr:uid="{00000000-0005-0000-0000-000047040000}"/>
    <cellStyle name="Normal 2 4 9" xfId="1109" xr:uid="{00000000-0005-0000-0000-000048040000}"/>
    <cellStyle name="Normal 2 5" xfId="68" xr:uid="{00000000-0005-0000-0000-000049040000}"/>
    <cellStyle name="Normal 2 5 2" xfId="1110" xr:uid="{00000000-0005-0000-0000-00004A040000}"/>
    <cellStyle name="Normal 2 6" xfId="1111" xr:uid="{00000000-0005-0000-0000-00004B040000}"/>
    <cellStyle name="Normal 2 7" xfId="1112" xr:uid="{00000000-0005-0000-0000-00004C040000}"/>
    <cellStyle name="Normal 2 8" xfId="1113" xr:uid="{00000000-0005-0000-0000-00004D040000}"/>
    <cellStyle name="Normal 2 9" xfId="1114" xr:uid="{00000000-0005-0000-0000-00004E040000}"/>
    <cellStyle name="Normal 20" xfId="1115" xr:uid="{00000000-0005-0000-0000-00004F040000}"/>
    <cellStyle name="Normal 21" xfId="1116" xr:uid="{00000000-0005-0000-0000-000050040000}"/>
    <cellStyle name="Normal 22" xfId="1117" xr:uid="{00000000-0005-0000-0000-000051040000}"/>
    <cellStyle name="Normal 23" xfId="1118" xr:uid="{00000000-0005-0000-0000-000052040000}"/>
    <cellStyle name="Normal 24" xfId="1119" xr:uid="{00000000-0005-0000-0000-000053040000}"/>
    <cellStyle name="Normal 25" xfId="1120" xr:uid="{00000000-0005-0000-0000-000054040000}"/>
    <cellStyle name="Normal 26" xfId="1121" xr:uid="{00000000-0005-0000-0000-000055040000}"/>
    <cellStyle name="Normal 27" xfId="1786" xr:uid="{00000000-0005-0000-0000-000056040000}"/>
    <cellStyle name="Normal 3" xfId="2" xr:uid="{00000000-0005-0000-0000-000057040000}"/>
    <cellStyle name="Normal 3 10" xfId="1122" xr:uid="{00000000-0005-0000-0000-000058040000}"/>
    <cellStyle name="Normal 3 11" xfId="1123" xr:uid="{00000000-0005-0000-0000-000059040000}"/>
    <cellStyle name="Normal 3 12" xfId="1124" xr:uid="{00000000-0005-0000-0000-00005A040000}"/>
    <cellStyle name="Normal 3 13" xfId="1125" xr:uid="{00000000-0005-0000-0000-00005B040000}"/>
    <cellStyle name="Normal 3 14" xfId="1126" xr:uid="{00000000-0005-0000-0000-00005C040000}"/>
    <cellStyle name="Normal 3 15" xfId="1127" xr:uid="{00000000-0005-0000-0000-00005D040000}"/>
    <cellStyle name="Normal 3 16" xfId="1128" xr:uid="{00000000-0005-0000-0000-00005E040000}"/>
    <cellStyle name="Normal 3 17" xfId="1129" xr:uid="{00000000-0005-0000-0000-00005F040000}"/>
    <cellStyle name="Normal 3 18" xfId="1130" xr:uid="{00000000-0005-0000-0000-000060040000}"/>
    <cellStyle name="Normal 3 19" xfId="1131" xr:uid="{00000000-0005-0000-0000-000061040000}"/>
    <cellStyle name="Normal 3 2" xfId="57" xr:uid="{00000000-0005-0000-0000-000062040000}"/>
    <cellStyle name="Normal 3 2 2" xfId="1132" xr:uid="{00000000-0005-0000-0000-000063040000}"/>
    <cellStyle name="Normal 3 20" xfId="1133" xr:uid="{00000000-0005-0000-0000-000064040000}"/>
    <cellStyle name="Normal 3 21" xfId="1134" xr:uid="{00000000-0005-0000-0000-000065040000}"/>
    <cellStyle name="Normal 3 22" xfId="1135" xr:uid="{00000000-0005-0000-0000-000066040000}"/>
    <cellStyle name="Normal 3 23" xfId="1136" xr:uid="{00000000-0005-0000-0000-000067040000}"/>
    <cellStyle name="Normal 3 24" xfId="1137" xr:uid="{00000000-0005-0000-0000-000068040000}"/>
    <cellStyle name="Normal 3 25" xfId="1138" xr:uid="{00000000-0005-0000-0000-000069040000}"/>
    <cellStyle name="Normal 3 26" xfId="1139" xr:uid="{00000000-0005-0000-0000-00006A040000}"/>
    <cellStyle name="Normal 3 27" xfId="1140" xr:uid="{00000000-0005-0000-0000-00006B040000}"/>
    <cellStyle name="Normal 3 28" xfId="1141" xr:uid="{00000000-0005-0000-0000-00006C040000}"/>
    <cellStyle name="Normal 3 29" xfId="1142" xr:uid="{00000000-0005-0000-0000-00006D040000}"/>
    <cellStyle name="Normal 3 3" xfId="51" xr:uid="{00000000-0005-0000-0000-00006E040000}"/>
    <cellStyle name="Normal 3 3 2" xfId="1143" xr:uid="{00000000-0005-0000-0000-00006F040000}"/>
    <cellStyle name="Normal 3 30" xfId="1144" xr:uid="{00000000-0005-0000-0000-000070040000}"/>
    <cellStyle name="Normal 3 31" xfId="1145" xr:uid="{00000000-0005-0000-0000-000071040000}"/>
    <cellStyle name="Normal 3 32" xfId="1146" xr:uid="{00000000-0005-0000-0000-000072040000}"/>
    <cellStyle name="Normal 3 33" xfId="1147" xr:uid="{00000000-0005-0000-0000-000073040000}"/>
    <cellStyle name="Normal 3 4" xfId="1148" xr:uid="{00000000-0005-0000-0000-000074040000}"/>
    <cellStyle name="Normal 3 5" xfId="1149" xr:uid="{00000000-0005-0000-0000-000075040000}"/>
    <cellStyle name="Normal 3 6" xfId="1150" xr:uid="{00000000-0005-0000-0000-000076040000}"/>
    <cellStyle name="Normal 3 7" xfId="1151" xr:uid="{00000000-0005-0000-0000-000077040000}"/>
    <cellStyle name="Normal 3 8" xfId="1152" xr:uid="{00000000-0005-0000-0000-000078040000}"/>
    <cellStyle name="Normal 3 9" xfId="1153" xr:uid="{00000000-0005-0000-0000-000079040000}"/>
    <cellStyle name="Normal 39" xfId="1154" xr:uid="{00000000-0005-0000-0000-00007A040000}"/>
    <cellStyle name="Normal 4" xfId="49" xr:uid="{00000000-0005-0000-0000-00007B040000}"/>
    <cellStyle name="Normal 4 10" xfId="1156" xr:uid="{00000000-0005-0000-0000-00007C040000}"/>
    <cellStyle name="Normal 4 11" xfId="1157" xr:uid="{00000000-0005-0000-0000-00007D040000}"/>
    <cellStyle name="Normal 4 12" xfId="1158" xr:uid="{00000000-0005-0000-0000-00007E040000}"/>
    <cellStyle name="Normal 4 13" xfId="1159" xr:uid="{00000000-0005-0000-0000-00007F040000}"/>
    <cellStyle name="Normal 4 14" xfId="1160" xr:uid="{00000000-0005-0000-0000-000080040000}"/>
    <cellStyle name="Normal 4 15" xfId="1161" xr:uid="{00000000-0005-0000-0000-000081040000}"/>
    <cellStyle name="Normal 4 16" xfId="1162" xr:uid="{00000000-0005-0000-0000-000082040000}"/>
    <cellStyle name="Normal 4 17" xfId="1163" xr:uid="{00000000-0005-0000-0000-000083040000}"/>
    <cellStyle name="Normal 4 18" xfId="1164" xr:uid="{00000000-0005-0000-0000-000084040000}"/>
    <cellStyle name="Normal 4 19" xfId="1165" xr:uid="{00000000-0005-0000-0000-000085040000}"/>
    <cellStyle name="Normal 4 2" xfId="1166" xr:uid="{00000000-0005-0000-0000-000086040000}"/>
    <cellStyle name="Normal 4 20" xfId="1167" xr:uid="{00000000-0005-0000-0000-000087040000}"/>
    <cellStyle name="Normal 4 21" xfId="1168" xr:uid="{00000000-0005-0000-0000-000088040000}"/>
    <cellStyle name="Normal 4 22" xfId="1169" xr:uid="{00000000-0005-0000-0000-000089040000}"/>
    <cellStyle name="Normal 4 23" xfId="1170" xr:uid="{00000000-0005-0000-0000-00008A040000}"/>
    <cellStyle name="Normal 4 24" xfId="1171" xr:uid="{00000000-0005-0000-0000-00008B040000}"/>
    <cellStyle name="Normal 4 25" xfId="1172" xr:uid="{00000000-0005-0000-0000-00008C040000}"/>
    <cellStyle name="Normal 4 26" xfId="1173" xr:uid="{00000000-0005-0000-0000-00008D040000}"/>
    <cellStyle name="Normal 4 27" xfId="1174" xr:uid="{00000000-0005-0000-0000-00008E040000}"/>
    <cellStyle name="Normal 4 28" xfId="1175" xr:uid="{00000000-0005-0000-0000-00008F040000}"/>
    <cellStyle name="Normal 4 29" xfId="1176" xr:uid="{00000000-0005-0000-0000-000090040000}"/>
    <cellStyle name="Normal 4 3" xfId="1177" xr:uid="{00000000-0005-0000-0000-000091040000}"/>
    <cellStyle name="Normal 4 3 2" xfId="1178" xr:uid="{00000000-0005-0000-0000-000092040000}"/>
    <cellStyle name="Normal 4 30" xfId="1179" xr:uid="{00000000-0005-0000-0000-000093040000}"/>
    <cellStyle name="Normal 4 31" xfId="1180" xr:uid="{00000000-0005-0000-0000-000094040000}"/>
    <cellStyle name="Normal 4 32" xfId="1181" xr:uid="{00000000-0005-0000-0000-000095040000}"/>
    <cellStyle name="Normal 4 33" xfId="1182" xr:uid="{00000000-0005-0000-0000-000096040000}"/>
    <cellStyle name="Normal 4 34" xfId="1155" xr:uid="{00000000-0005-0000-0000-000097040000}"/>
    <cellStyle name="Normal 4 4" xfId="1183" xr:uid="{00000000-0005-0000-0000-000098040000}"/>
    <cellStyle name="Normal 4 5" xfId="1184" xr:uid="{00000000-0005-0000-0000-000099040000}"/>
    <cellStyle name="Normal 4 6" xfId="1185" xr:uid="{00000000-0005-0000-0000-00009A040000}"/>
    <cellStyle name="Normal 4 7" xfId="1186" xr:uid="{00000000-0005-0000-0000-00009B040000}"/>
    <cellStyle name="Normal 4 8" xfId="1187" xr:uid="{00000000-0005-0000-0000-00009C040000}"/>
    <cellStyle name="Normal 4 9" xfId="1188" xr:uid="{00000000-0005-0000-0000-00009D040000}"/>
    <cellStyle name="Normal 5" xfId="58" xr:uid="{00000000-0005-0000-0000-00009E040000}"/>
    <cellStyle name="Normal 5 10" xfId="1190" xr:uid="{00000000-0005-0000-0000-00009F040000}"/>
    <cellStyle name="Normal 5 11" xfId="1191" xr:uid="{00000000-0005-0000-0000-0000A0040000}"/>
    <cellStyle name="Normal 5 12" xfId="1192" xr:uid="{00000000-0005-0000-0000-0000A1040000}"/>
    <cellStyle name="Normal 5 13" xfId="1193" xr:uid="{00000000-0005-0000-0000-0000A2040000}"/>
    <cellStyle name="Normal 5 14" xfId="1194" xr:uid="{00000000-0005-0000-0000-0000A3040000}"/>
    <cellStyle name="Normal 5 15" xfId="1195" xr:uid="{00000000-0005-0000-0000-0000A4040000}"/>
    <cellStyle name="Normal 5 16" xfId="1196" xr:uid="{00000000-0005-0000-0000-0000A5040000}"/>
    <cellStyle name="Normal 5 17" xfId="1197" xr:uid="{00000000-0005-0000-0000-0000A6040000}"/>
    <cellStyle name="Normal 5 18" xfId="1198" xr:uid="{00000000-0005-0000-0000-0000A7040000}"/>
    <cellStyle name="Normal 5 19" xfId="1199" xr:uid="{00000000-0005-0000-0000-0000A8040000}"/>
    <cellStyle name="Normal 5 2" xfId="1200" xr:uid="{00000000-0005-0000-0000-0000A9040000}"/>
    <cellStyle name="Normal 5 20" xfId="1201" xr:uid="{00000000-0005-0000-0000-0000AA040000}"/>
    <cellStyle name="Normal 5 21" xfId="1202" xr:uid="{00000000-0005-0000-0000-0000AB040000}"/>
    <cellStyle name="Normal 5 22" xfId="1203" xr:uid="{00000000-0005-0000-0000-0000AC040000}"/>
    <cellStyle name="Normal 5 23" xfId="1204" xr:uid="{00000000-0005-0000-0000-0000AD040000}"/>
    <cellStyle name="Normal 5 24" xfId="1205" xr:uid="{00000000-0005-0000-0000-0000AE040000}"/>
    <cellStyle name="Normal 5 25" xfId="1206" xr:uid="{00000000-0005-0000-0000-0000AF040000}"/>
    <cellStyle name="Normal 5 26" xfId="1207" xr:uid="{00000000-0005-0000-0000-0000B0040000}"/>
    <cellStyle name="Normal 5 27" xfId="1208" xr:uid="{00000000-0005-0000-0000-0000B1040000}"/>
    <cellStyle name="Normal 5 28" xfId="1209" xr:uid="{00000000-0005-0000-0000-0000B2040000}"/>
    <cellStyle name="Normal 5 29" xfId="1210" xr:uid="{00000000-0005-0000-0000-0000B3040000}"/>
    <cellStyle name="Normal 5 3" xfId="1211" xr:uid="{00000000-0005-0000-0000-0000B4040000}"/>
    <cellStyle name="Normal 5 30" xfId="1212" xr:uid="{00000000-0005-0000-0000-0000B5040000}"/>
    <cellStyle name="Normal 5 31" xfId="1213" xr:uid="{00000000-0005-0000-0000-0000B6040000}"/>
    <cellStyle name="Normal 5 32" xfId="1214" xr:uid="{00000000-0005-0000-0000-0000B7040000}"/>
    <cellStyle name="Normal 5 33" xfId="1215" xr:uid="{00000000-0005-0000-0000-0000B8040000}"/>
    <cellStyle name="Normal 5 33 10" xfId="1216" xr:uid="{00000000-0005-0000-0000-0000B9040000}"/>
    <cellStyle name="Normal 5 33 11" xfId="1217" xr:uid="{00000000-0005-0000-0000-0000BA040000}"/>
    <cellStyle name="Normal 5 33 12" xfId="1218" xr:uid="{00000000-0005-0000-0000-0000BB040000}"/>
    <cellStyle name="Normal 5 33 13" xfId="1219" xr:uid="{00000000-0005-0000-0000-0000BC040000}"/>
    <cellStyle name="Normal 5 33 14" xfId="1220" xr:uid="{00000000-0005-0000-0000-0000BD040000}"/>
    <cellStyle name="Normal 5 33 15" xfId="1221" xr:uid="{00000000-0005-0000-0000-0000BE040000}"/>
    <cellStyle name="Normal 5 33 16" xfId="1222" xr:uid="{00000000-0005-0000-0000-0000BF040000}"/>
    <cellStyle name="Normal 5 33 17" xfId="1223" xr:uid="{00000000-0005-0000-0000-0000C0040000}"/>
    <cellStyle name="Normal 5 33 18" xfId="1224" xr:uid="{00000000-0005-0000-0000-0000C1040000}"/>
    <cellStyle name="Normal 5 33 19" xfId="1225" xr:uid="{00000000-0005-0000-0000-0000C2040000}"/>
    <cellStyle name="Normal 5 33 2" xfId="1226" xr:uid="{00000000-0005-0000-0000-0000C3040000}"/>
    <cellStyle name="Normal 5 33 2 10" xfId="1227" xr:uid="{00000000-0005-0000-0000-0000C4040000}"/>
    <cellStyle name="Normal 5 33 2 11" xfId="1228" xr:uid="{00000000-0005-0000-0000-0000C5040000}"/>
    <cellStyle name="Normal 5 33 2 12" xfId="1229" xr:uid="{00000000-0005-0000-0000-0000C6040000}"/>
    <cellStyle name="Normal 5 33 2 13" xfId="1230" xr:uid="{00000000-0005-0000-0000-0000C7040000}"/>
    <cellStyle name="Normal 5 33 2 14" xfId="1231" xr:uid="{00000000-0005-0000-0000-0000C8040000}"/>
    <cellStyle name="Normal 5 33 2 15" xfId="1232" xr:uid="{00000000-0005-0000-0000-0000C9040000}"/>
    <cellStyle name="Normal 5 33 2 16" xfId="1233" xr:uid="{00000000-0005-0000-0000-0000CA040000}"/>
    <cellStyle name="Normal 5 33 2 17" xfId="1234" xr:uid="{00000000-0005-0000-0000-0000CB040000}"/>
    <cellStyle name="Normal 5 33 2 18" xfId="1235" xr:uid="{00000000-0005-0000-0000-0000CC040000}"/>
    <cellStyle name="Normal 5 33 2 2" xfId="1236" xr:uid="{00000000-0005-0000-0000-0000CD040000}"/>
    <cellStyle name="Normal 5 33 2 3" xfId="1237" xr:uid="{00000000-0005-0000-0000-0000CE040000}"/>
    <cellStyle name="Normal 5 33 2 4" xfId="1238" xr:uid="{00000000-0005-0000-0000-0000CF040000}"/>
    <cellStyle name="Normal 5 33 2 5" xfId="1239" xr:uid="{00000000-0005-0000-0000-0000D0040000}"/>
    <cellStyle name="Normal 5 33 2 6" xfId="1240" xr:uid="{00000000-0005-0000-0000-0000D1040000}"/>
    <cellStyle name="Normal 5 33 2 7" xfId="1241" xr:uid="{00000000-0005-0000-0000-0000D2040000}"/>
    <cellStyle name="Normal 5 33 2 8" xfId="1242" xr:uid="{00000000-0005-0000-0000-0000D3040000}"/>
    <cellStyle name="Normal 5 33 2 9" xfId="1243" xr:uid="{00000000-0005-0000-0000-0000D4040000}"/>
    <cellStyle name="Normal 5 33 20" xfId="1244" xr:uid="{00000000-0005-0000-0000-0000D5040000}"/>
    <cellStyle name="Normal 5 33 21" xfId="1245" xr:uid="{00000000-0005-0000-0000-0000D6040000}"/>
    <cellStyle name="Normal 5 33 22" xfId="1246" xr:uid="{00000000-0005-0000-0000-0000D7040000}"/>
    <cellStyle name="Normal 5 33 23" xfId="1247" xr:uid="{00000000-0005-0000-0000-0000D8040000}"/>
    <cellStyle name="Normal 5 33 24" xfId="1248" xr:uid="{00000000-0005-0000-0000-0000D9040000}"/>
    <cellStyle name="Normal 5 33 25" xfId="1249" xr:uid="{00000000-0005-0000-0000-0000DA040000}"/>
    <cellStyle name="Normal 5 33 3" xfId="1250" xr:uid="{00000000-0005-0000-0000-0000DB040000}"/>
    <cellStyle name="Normal 5 33 3 10" xfId="1251" xr:uid="{00000000-0005-0000-0000-0000DC040000}"/>
    <cellStyle name="Normal 5 33 3 11" xfId="1252" xr:uid="{00000000-0005-0000-0000-0000DD040000}"/>
    <cellStyle name="Normal 5 33 3 12" xfId="1253" xr:uid="{00000000-0005-0000-0000-0000DE040000}"/>
    <cellStyle name="Normal 5 33 3 13" xfId="1254" xr:uid="{00000000-0005-0000-0000-0000DF040000}"/>
    <cellStyle name="Normal 5 33 3 14" xfId="1255" xr:uid="{00000000-0005-0000-0000-0000E0040000}"/>
    <cellStyle name="Normal 5 33 3 15" xfId="1256" xr:uid="{00000000-0005-0000-0000-0000E1040000}"/>
    <cellStyle name="Normal 5 33 3 16" xfId="1257" xr:uid="{00000000-0005-0000-0000-0000E2040000}"/>
    <cellStyle name="Normal 5 33 3 17" xfId="1258" xr:uid="{00000000-0005-0000-0000-0000E3040000}"/>
    <cellStyle name="Normal 5 33 3 18" xfId="1259" xr:uid="{00000000-0005-0000-0000-0000E4040000}"/>
    <cellStyle name="Normal 5 33 3 2" xfId="1260" xr:uid="{00000000-0005-0000-0000-0000E5040000}"/>
    <cellStyle name="Normal 5 33 3 3" xfId="1261" xr:uid="{00000000-0005-0000-0000-0000E6040000}"/>
    <cellStyle name="Normal 5 33 3 4" xfId="1262" xr:uid="{00000000-0005-0000-0000-0000E7040000}"/>
    <cellStyle name="Normal 5 33 3 5" xfId="1263" xr:uid="{00000000-0005-0000-0000-0000E8040000}"/>
    <cellStyle name="Normal 5 33 3 6" xfId="1264" xr:uid="{00000000-0005-0000-0000-0000E9040000}"/>
    <cellStyle name="Normal 5 33 3 7" xfId="1265" xr:uid="{00000000-0005-0000-0000-0000EA040000}"/>
    <cellStyle name="Normal 5 33 3 8" xfId="1266" xr:uid="{00000000-0005-0000-0000-0000EB040000}"/>
    <cellStyle name="Normal 5 33 3 9" xfId="1267" xr:uid="{00000000-0005-0000-0000-0000EC040000}"/>
    <cellStyle name="Normal 5 33 4" xfId="1268" xr:uid="{00000000-0005-0000-0000-0000ED040000}"/>
    <cellStyle name="Normal 5 33 4 10" xfId="1269" xr:uid="{00000000-0005-0000-0000-0000EE040000}"/>
    <cellStyle name="Normal 5 33 4 11" xfId="1270" xr:uid="{00000000-0005-0000-0000-0000EF040000}"/>
    <cellStyle name="Normal 5 33 4 12" xfId="1271" xr:uid="{00000000-0005-0000-0000-0000F0040000}"/>
    <cellStyle name="Normal 5 33 4 13" xfId="1272" xr:uid="{00000000-0005-0000-0000-0000F1040000}"/>
    <cellStyle name="Normal 5 33 4 14" xfId="1273" xr:uid="{00000000-0005-0000-0000-0000F2040000}"/>
    <cellStyle name="Normal 5 33 4 15" xfId="1274" xr:uid="{00000000-0005-0000-0000-0000F3040000}"/>
    <cellStyle name="Normal 5 33 4 16" xfId="1275" xr:uid="{00000000-0005-0000-0000-0000F4040000}"/>
    <cellStyle name="Normal 5 33 4 17" xfId="1276" xr:uid="{00000000-0005-0000-0000-0000F5040000}"/>
    <cellStyle name="Normal 5 33 4 18" xfId="1277" xr:uid="{00000000-0005-0000-0000-0000F6040000}"/>
    <cellStyle name="Normal 5 33 4 2" xfId="1278" xr:uid="{00000000-0005-0000-0000-0000F7040000}"/>
    <cellStyle name="Normal 5 33 4 3" xfId="1279" xr:uid="{00000000-0005-0000-0000-0000F8040000}"/>
    <cellStyle name="Normal 5 33 4 4" xfId="1280" xr:uid="{00000000-0005-0000-0000-0000F9040000}"/>
    <cellStyle name="Normal 5 33 4 5" xfId="1281" xr:uid="{00000000-0005-0000-0000-0000FA040000}"/>
    <cellStyle name="Normal 5 33 4 6" xfId="1282" xr:uid="{00000000-0005-0000-0000-0000FB040000}"/>
    <cellStyle name="Normal 5 33 4 7" xfId="1283" xr:uid="{00000000-0005-0000-0000-0000FC040000}"/>
    <cellStyle name="Normal 5 33 4 8" xfId="1284" xr:uid="{00000000-0005-0000-0000-0000FD040000}"/>
    <cellStyle name="Normal 5 33 4 9" xfId="1285" xr:uid="{00000000-0005-0000-0000-0000FE040000}"/>
    <cellStyle name="Normal 5 33 5" xfId="1286" xr:uid="{00000000-0005-0000-0000-0000FF040000}"/>
    <cellStyle name="Normal 5 33 5 10" xfId="1287" xr:uid="{00000000-0005-0000-0000-000000050000}"/>
    <cellStyle name="Normal 5 33 5 11" xfId="1288" xr:uid="{00000000-0005-0000-0000-000001050000}"/>
    <cellStyle name="Normal 5 33 5 12" xfId="1289" xr:uid="{00000000-0005-0000-0000-000002050000}"/>
    <cellStyle name="Normal 5 33 5 13" xfId="1290" xr:uid="{00000000-0005-0000-0000-000003050000}"/>
    <cellStyle name="Normal 5 33 5 14" xfId="1291" xr:uid="{00000000-0005-0000-0000-000004050000}"/>
    <cellStyle name="Normal 5 33 5 15" xfId="1292" xr:uid="{00000000-0005-0000-0000-000005050000}"/>
    <cellStyle name="Normal 5 33 5 16" xfId="1293" xr:uid="{00000000-0005-0000-0000-000006050000}"/>
    <cellStyle name="Normal 5 33 5 17" xfId="1294" xr:uid="{00000000-0005-0000-0000-000007050000}"/>
    <cellStyle name="Normal 5 33 5 18" xfId="1295" xr:uid="{00000000-0005-0000-0000-000008050000}"/>
    <cellStyle name="Normal 5 33 5 2" xfId="1296" xr:uid="{00000000-0005-0000-0000-000009050000}"/>
    <cellStyle name="Normal 5 33 5 3" xfId="1297" xr:uid="{00000000-0005-0000-0000-00000A050000}"/>
    <cellStyle name="Normal 5 33 5 4" xfId="1298" xr:uid="{00000000-0005-0000-0000-00000B050000}"/>
    <cellStyle name="Normal 5 33 5 5" xfId="1299" xr:uid="{00000000-0005-0000-0000-00000C050000}"/>
    <cellStyle name="Normal 5 33 5 6" xfId="1300" xr:uid="{00000000-0005-0000-0000-00000D050000}"/>
    <cellStyle name="Normal 5 33 5 7" xfId="1301" xr:uid="{00000000-0005-0000-0000-00000E050000}"/>
    <cellStyle name="Normal 5 33 5 8" xfId="1302" xr:uid="{00000000-0005-0000-0000-00000F050000}"/>
    <cellStyle name="Normal 5 33 5 9" xfId="1303" xr:uid="{00000000-0005-0000-0000-000010050000}"/>
    <cellStyle name="Normal 5 33 6" xfId="1304" xr:uid="{00000000-0005-0000-0000-000011050000}"/>
    <cellStyle name="Normal 5 33 6 10" xfId="1305" xr:uid="{00000000-0005-0000-0000-000012050000}"/>
    <cellStyle name="Normal 5 33 6 11" xfId="1306" xr:uid="{00000000-0005-0000-0000-000013050000}"/>
    <cellStyle name="Normal 5 33 6 12" xfId="1307" xr:uid="{00000000-0005-0000-0000-000014050000}"/>
    <cellStyle name="Normal 5 33 6 13" xfId="1308" xr:uid="{00000000-0005-0000-0000-000015050000}"/>
    <cellStyle name="Normal 5 33 6 14" xfId="1309" xr:uid="{00000000-0005-0000-0000-000016050000}"/>
    <cellStyle name="Normal 5 33 6 15" xfId="1310" xr:uid="{00000000-0005-0000-0000-000017050000}"/>
    <cellStyle name="Normal 5 33 6 16" xfId="1311" xr:uid="{00000000-0005-0000-0000-000018050000}"/>
    <cellStyle name="Normal 5 33 6 17" xfId="1312" xr:uid="{00000000-0005-0000-0000-000019050000}"/>
    <cellStyle name="Normal 5 33 6 18" xfId="1313" xr:uid="{00000000-0005-0000-0000-00001A050000}"/>
    <cellStyle name="Normal 5 33 6 2" xfId="1314" xr:uid="{00000000-0005-0000-0000-00001B050000}"/>
    <cellStyle name="Normal 5 33 6 3" xfId="1315" xr:uid="{00000000-0005-0000-0000-00001C050000}"/>
    <cellStyle name="Normal 5 33 6 4" xfId="1316" xr:uid="{00000000-0005-0000-0000-00001D050000}"/>
    <cellStyle name="Normal 5 33 6 5" xfId="1317" xr:uid="{00000000-0005-0000-0000-00001E050000}"/>
    <cellStyle name="Normal 5 33 6 6" xfId="1318" xr:uid="{00000000-0005-0000-0000-00001F050000}"/>
    <cellStyle name="Normal 5 33 6 7" xfId="1319" xr:uid="{00000000-0005-0000-0000-000020050000}"/>
    <cellStyle name="Normal 5 33 6 8" xfId="1320" xr:uid="{00000000-0005-0000-0000-000021050000}"/>
    <cellStyle name="Normal 5 33 6 9" xfId="1321" xr:uid="{00000000-0005-0000-0000-000022050000}"/>
    <cellStyle name="Normal 5 33 7" xfId="1322" xr:uid="{00000000-0005-0000-0000-000023050000}"/>
    <cellStyle name="Normal 5 33 7 10" xfId="1323" xr:uid="{00000000-0005-0000-0000-000024050000}"/>
    <cellStyle name="Normal 5 33 7 11" xfId="1324" xr:uid="{00000000-0005-0000-0000-000025050000}"/>
    <cellStyle name="Normal 5 33 7 12" xfId="1325" xr:uid="{00000000-0005-0000-0000-000026050000}"/>
    <cellStyle name="Normal 5 33 7 13" xfId="1326" xr:uid="{00000000-0005-0000-0000-000027050000}"/>
    <cellStyle name="Normal 5 33 7 14" xfId="1327" xr:uid="{00000000-0005-0000-0000-000028050000}"/>
    <cellStyle name="Normal 5 33 7 15" xfId="1328" xr:uid="{00000000-0005-0000-0000-000029050000}"/>
    <cellStyle name="Normal 5 33 7 16" xfId="1329" xr:uid="{00000000-0005-0000-0000-00002A050000}"/>
    <cellStyle name="Normal 5 33 7 17" xfId="1330" xr:uid="{00000000-0005-0000-0000-00002B050000}"/>
    <cellStyle name="Normal 5 33 7 18" xfId="1331" xr:uid="{00000000-0005-0000-0000-00002C050000}"/>
    <cellStyle name="Normal 5 33 7 2" xfId="1332" xr:uid="{00000000-0005-0000-0000-00002D050000}"/>
    <cellStyle name="Normal 5 33 7 3" xfId="1333" xr:uid="{00000000-0005-0000-0000-00002E050000}"/>
    <cellStyle name="Normal 5 33 7 4" xfId="1334" xr:uid="{00000000-0005-0000-0000-00002F050000}"/>
    <cellStyle name="Normal 5 33 7 5" xfId="1335" xr:uid="{00000000-0005-0000-0000-000030050000}"/>
    <cellStyle name="Normal 5 33 7 6" xfId="1336" xr:uid="{00000000-0005-0000-0000-000031050000}"/>
    <cellStyle name="Normal 5 33 7 7" xfId="1337" xr:uid="{00000000-0005-0000-0000-000032050000}"/>
    <cellStyle name="Normal 5 33 7 8" xfId="1338" xr:uid="{00000000-0005-0000-0000-000033050000}"/>
    <cellStyle name="Normal 5 33 7 9" xfId="1339" xr:uid="{00000000-0005-0000-0000-000034050000}"/>
    <cellStyle name="Normal 5 33 8" xfId="1340" xr:uid="{00000000-0005-0000-0000-000035050000}"/>
    <cellStyle name="Normal 5 33 8 10" xfId="1341" xr:uid="{00000000-0005-0000-0000-000036050000}"/>
    <cellStyle name="Normal 5 33 8 11" xfId="1342" xr:uid="{00000000-0005-0000-0000-000037050000}"/>
    <cellStyle name="Normal 5 33 8 12" xfId="1343" xr:uid="{00000000-0005-0000-0000-000038050000}"/>
    <cellStyle name="Normal 5 33 8 13" xfId="1344" xr:uid="{00000000-0005-0000-0000-000039050000}"/>
    <cellStyle name="Normal 5 33 8 14" xfId="1345" xr:uid="{00000000-0005-0000-0000-00003A050000}"/>
    <cellStyle name="Normal 5 33 8 15" xfId="1346" xr:uid="{00000000-0005-0000-0000-00003B050000}"/>
    <cellStyle name="Normal 5 33 8 16" xfId="1347" xr:uid="{00000000-0005-0000-0000-00003C050000}"/>
    <cellStyle name="Normal 5 33 8 17" xfId="1348" xr:uid="{00000000-0005-0000-0000-00003D050000}"/>
    <cellStyle name="Normal 5 33 8 18" xfId="1349" xr:uid="{00000000-0005-0000-0000-00003E050000}"/>
    <cellStyle name="Normal 5 33 8 2" xfId="1350" xr:uid="{00000000-0005-0000-0000-00003F050000}"/>
    <cellStyle name="Normal 5 33 8 3" xfId="1351" xr:uid="{00000000-0005-0000-0000-000040050000}"/>
    <cellStyle name="Normal 5 33 8 4" xfId="1352" xr:uid="{00000000-0005-0000-0000-000041050000}"/>
    <cellStyle name="Normal 5 33 8 5" xfId="1353" xr:uid="{00000000-0005-0000-0000-000042050000}"/>
    <cellStyle name="Normal 5 33 8 6" xfId="1354" xr:uid="{00000000-0005-0000-0000-000043050000}"/>
    <cellStyle name="Normal 5 33 8 7" xfId="1355" xr:uid="{00000000-0005-0000-0000-000044050000}"/>
    <cellStyle name="Normal 5 33 8 8" xfId="1356" xr:uid="{00000000-0005-0000-0000-000045050000}"/>
    <cellStyle name="Normal 5 33 8 9" xfId="1357" xr:uid="{00000000-0005-0000-0000-000046050000}"/>
    <cellStyle name="Normal 5 33 9" xfId="1358" xr:uid="{00000000-0005-0000-0000-000047050000}"/>
    <cellStyle name="Normal 5 34" xfId="1359" xr:uid="{00000000-0005-0000-0000-000048050000}"/>
    <cellStyle name="Normal 5 34 10" xfId="1360" xr:uid="{00000000-0005-0000-0000-000049050000}"/>
    <cellStyle name="Normal 5 34 11" xfId="1361" xr:uid="{00000000-0005-0000-0000-00004A050000}"/>
    <cellStyle name="Normal 5 34 12" xfId="1362" xr:uid="{00000000-0005-0000-0000-00004B050000}"/>
    <cellStyle name="Normal 5 34 13" xfId="1363" xr:uid="{00000000-0005-0000-0000-00004C050000}"/>
    <cellStyle name="Normal 5 34 14" xfId="1364" xr:uid="{00000000-0005-0000-0000-00004D050000}"/>
    <cellStyle name="Normal 5 34 15" xfId="1365" xr:uid="{00000000-0005-0000-0000-00004E050000}"/>
    <cellStyle name="Normal 5 34 16" xfId="1366" xr:uid="{00000000-0005-0000-0000-00004F050000}"/>
    <cellStyle name="Normal 5 34 17" xfId="1367" xr:uid="{00000000-0005-0000-0000-000050050000}"/>
    <cellStyle name="Normal 5 34 18" xfId="1368" xr:uid="{00000000-0005-0000-0000-000051050000}"/>
    <cellStyle name="Normal 5 34 2" xfId="1369" xr:uid="{00000000-0005-0000-0000-000052050000}"/>
    <cellStyle name="Normal 5 34 3" xfId="1370" xr:uid="{00000000-0005-0000-0000-000053050000}"/>
    <cellStyle name="Normal 5 34 4" xfId="1371" xr:uid="{00000000-0005-0000-0000-000054050000}"/>
    <cellStyle name="Normal 5 34 5" xfId="1372" xr:uid="{00000000-0005-0000-0000-000055050000}"/>
    <cellStyle name="Normal 5 34 6" xfId="1373" xr:uid="{00000000-0005-0000-0000-000056050000}"/>
    <cellStyle name="Normal 5 34 7" xfId="1374" xr:uid="{00000000-0005-0000-0000-000057050000}"/>
    <cellStyle name="Normal 5 34 8" xfId="1375" xr:uid="{00000000-0005-0000-0000-000058050000}"/>
    <cellStyle name="Normal 5 34 9" xfId="1376" xr:uid="{00000000-0005-0000-0000-000059050000}"/>
    <cellStyle name="Normal 5 35" xfId="1377" xr:uid="{00000000-0005-0000-0000-00005A050000}"/>
    <cellStyle name="Normal 5 35 10" xfId="1378" xr:uid="{00000000-0005-0000-0000-00005B050000}"/>
    <cellStyle name="Normal 5 35 11" xfId="1379" xr:uid="{00000000-0005-0000-0000-00005C050000}"/>
    <cellStyle name="Normal 5 35 12" xfId="1380" xr:uid="{00000000-0005-0000-0000-00005D050000}"/>
    <cellStyle name="Normal 5 35 13" xfId="1381" xr:uid="{00000000-0005-0000-0000-00005E050000}"/>
    <cellStyle name="Normal 5 35 14" xfId="1382" xr:uid="{00000000-0005-0000-0000-00005F050000}"/>
    <cellStyle name="Normal 5 35 15" xfId="1383" xr:uid="{00000000-0005-0000-0000-000060050000}"/>
    <cellStyle name="Normal 5 35 16" xfId="1384" xr:uid="{00000000-0005-0000-0000-000061050000}"/>
    <cellStyle name="Normal 5 35 17" xfId="1385" xr:uid="{00000000-0005-0000-0000-000062050000}"/>
    <cellStyle name="Normal 5 35 18" xfId="1386" xr:uid="{00000000-0005-0000-0000-000063050000}"/>
    <cellStyle name="Normal 5 35 2" xfId="1387" xr:uid="{00000000-0005-0000-0000-000064050000}"/>
    <cellStyle name="Normal 5 35 3" xfId="1388" xr:uid="{00000000-0005-0000-0000-000065050000}"/>
    <cellStyle name="Normal 5 35 4" xfId="1389" xr:uid="{00000000-0005-0000-0000-000066050000}"/>
    <cellStyle name="Normal 5 35 5" xfId="1390" xr:uid="{00000000-0005-0000-0000-000067050000}"/>
    <cellStyle name="Normal 5 35 6" xfId="1391" xr:uid="{00000000-0005-0000-0000-000068050000}"/>
    <cellStyle name="Normal 5 35 7" xfId="1392" xr:uid="{00000000-0005-0000-0000-000069050000}"/>
    <cellStyle name="Normal 5 35 8" xfId="1393" xr:uid="{00000000-0005-0000-0000-00006A050000}"/>
    <cellStyle name="Normal 5 35 9" xfId="1394" xr:uid="{00000000-0005-0000-0000-00006B050000}"/>
    <cellStyle name="Normal 5 36" xfId="1395" xr:uid="{00000000-0005-0000-0000-00006C050000}"/>
    <cellStyle name="Normal 5 36 10" xfId="1396" xr:uid="{00000000-0005-0000-0000-00006D050000}"/>
    <cellStyle name="Normal 5 36 11" xfId="1397" xr:uid="{00000000-0005-0000-0000-00006E050000}"/>
    <cellStyle name="Normal 5 36 12" xfId="1398" xr:uid="{00000000-0005-0000-0000-00006F050000}"/>
    <cellStyle name="Normal 5 36 13" xfId="1399" xr:uid="{00000000-0005-0000-0000-000070050000}"/>
    <cellStyle name="Normal 5 36 14" xfId="1400" xr:uid="{00000000-0005-0000-0000-000071050000}"/>
    <cellStyle name="Normal 5 36 15" xfId="1401" xr:uid="{00000000-0005-0000-0000-000072050000}"/>
    <cellStyle name="Normal 5 36 16" xfId="1402" xr:uid="{00000000-0005-0000-0000-000073050000}"/>
    <cellStyle name="Normal 5 36 17" xfId="1403" xr:uid="{00000000-0005-0000-0000-000074050000}"/>
    <cellStyle name="Normal 5 36 18" xfId="1404" xr:uid="{00000000-0005-0000-0000-000075050000}"/>
    <cellStyle name="Normal 5 36 2" xfId="1405" xr:uid="{00000000-0005-0000-0000-000076050000}"/>
    <cellStyle name="Normal 5 36 3" xfId="1406" xr:uid="{00000000-0005-0000-0000-000077050000}"/>
    <cellStyle name="Normal 5 36 4" xfId="1407" xr:uid="{00000000-0005-0000-0000-000078050000}"/>
    <cellStyle name="Normal 5 36 5" xfId="1408" xr:uid="{00000000-0005-0000-0000-000079050000}"/>
    <cellStyle name="Normal 5 36 6" xfId="1409" xr:uid="{00000000-0005-0000-0000-00007A050000}"/>
    <cellStyle name="Normal 5 36 7" xfId="1410" xr:uid="{00000000-0005-0000-0000-00007B050000}"/>
    <cellStyle name="Normal 5 36 8" xfId="1411" xr:uid="{00000000-0005-0000-0000-00007C050000}"/>
    <cellStyle name="Normal 5 36 9" xfId="1412" xr:uid="{00000000-0005-0000-0000-00007D050000}"/>
    <cellStyle name="Normal 5 37" xfId="1413" xr:uid="{00000000-0005-0000-0000-00007E050000}"/>
    <cellStyle name="Normal 5 37 10" xfId="1414" xr:uid="{00000000-0005-0000-0000-00007F050000}"/>
    <cellStyle name="Normal 5 37 11" xfId="1415" xr:uid="{00000000-0005-0000-0000-000080050000}"/>
    <cellStyle name="Normal 5 37 12" xfId="1416" xr:uid="{00000000-0005-0000-0000-000081050000}"/>
    <cellStyle name="Normal 5 37 13" xfId="1417" xr:uid="{00000000-0005-0000-0000-000082050000}"/>
    <cellStyle name="Normal 5 37 14" xfId="1418" xr:uid="{00000000-0005-0000-0000-000083050000}"/>
    <cellStyle name="Normal 5 37 15" xfId="1419" xr:uid="{00000000-0005-0000-0000-000084050000}"/>
    <cellStyle name="Normal 5 37 16" xfId="1420" xr:uid="{00000000-0005-0000-0000-000085050000}"/>
    <cellStyle name="Normal 5 37 17" xfId="1421" xr:uid="{00000000-0005-0000-0000-000086050000}"/>
    <cellStyle name="Normal 5 37 18" xfId="1422" xr:uid="{00000000-0005-0000-0000-000087050000}"/>
    <cellStyle name="Normal 5 37 2" xfId="1423" xr:uid="{00000000-0005-0000-0000-000088050000}"/>
    <cellStyle name="Normal 5 37 3" xfId="1424" xr:uid="{00000000-0005-0000-0000-000089050000}"/>
    <cellStyle name="Normal 5 37 4" xfId="1425" xr:uid="{00000000-0005-0000-0000-00008A050000}"/>
    <cellStyle name="Normal 5 37 5" xfId="1426" xr:uid="{00000000-0005-0000-0000-00008B050000}"/>
    <cellStyle name="Normal 5 37 6" xfId="1427" xr:uid="{00000000-0005-0000-0000-00008C050000}"/>
    <cellStyle name="Normal 5 37 7" xfId="1428" xr:uid="{00000000-0005-0000-0000-00008D050000}"/>
    <cellStyle name="Normal 5 37 8" xfId="1429" xr:uid="{00000000-0005-0000-0000-00008E050000}"/>
    <cellStyle name="Normal 5 37 9" xfId="1430" xr:uid="{00000000-0005-0000-0000-00008F050000}"/>
    <cellStyle name="Normal 5 38" xfId="1431" xr:uid="{00000000-0005-0000-0000-000090050000}"/>
    <cellStyle name="Normal 5 38 10" xfId="1432" xr:uid="{00000000-0005-0000-0000-000091050000}"/>
    <cellStyle name="Normal 5 38 11" xfId="1433" xr:uid="{00000000-0005-0000-0000-000092050000}"/>
    <cellStyle name="Normal 5 38 12" xfId="1434" xr:uid="{00000000-0005-0000-0000-000093050000}"/>
    <cellStyle name="Normal 5 38 13" xfId="1435" xr:uid="{00000000-0005-0000-0000-000094050000}"/>
    <cellStyle name="Normal 5 38 14" xfId="1436" xr:uid="{00000000-0005-0000-0000-000095050000}"/>
    <cellStyle name="Normal 5 38 15" xfId="1437" xr:uid="{00000000-0005-0000-0000-000096050000}"/>
    <cellStyle name="Normal 5 38 16" xfId="1438" xr:uid="{00000000-0005-0000-0000-000097050000}"/>
    <cellStyle name="Normal 5 38 17" xfId="1439" xr:uid="{00000000-0005-0000-0000-000098050000}"/>
    <cellStyle name="Normal 5 38 18" xfId="1440" xr:uid="{00000000-0005-0000-0000-000099050000}"/>
    <cellStyle name="Normal 5 38 2" xfId="1441" xr:uid="{00000000-0005-0000-0000-00009A050000}"/>
    <cellStyle name="Normal 5 38 3" xfId="1442" xr:uid="{00000000-0005-0000-0000-00009B050000}"/>
    <cellStyle name="Normal 5 38 4" xfId="1443" xr:uid="{00000000-0005-0000-0000-00009C050000}"/>
    <cellStyle name="Normal 5 38 5" xfId="1444" xr:uid="{00000000-0005-0000-0000-00009D050000}"/>
    <cellStyle name="Normal 5 38 6" xfId="1445" xr:uid="{00000000-0005-0000-0000-00009E050000}"/>
    <cellStyle name="Normal 5 38 7" xfId="1446" xr:uid="{00000000-0005-0000-0000-00009F050000}"/>
    <cellStyle name="Normal 5 38 8" xfId="1447" xr:uid="{00000000-0005-0000-0000-0000A0050000}"/>
    <cellStyle name="Normal 5 38 9" xfId="1448" xr:uid="{00000000-0005-0000-0000-0000A1050000}"/>
    <cellStyle name="Normal 5 39" xfId="1449" xr:uid="{00000000-0005-0000-0000-0000A2050000}"/>
    <cellStyle name="Normal 5 39 10" xfId="1450" xr:uid="{00000000-0005-0000-0000-0000A3050000}"/>
    <cellStyle name="Normal 5 39 11" xfId="1451" xr:uid="{00000000-0005-0000-0000-0000A4050000}"/>
    <cellStyle name="Normal 5 39 12" xfId="1452" xr:uid="{00000000-0005-0000-0000-0000A5050000}"/>
    <cellStyle name="Normal 5 39 13" xfId="1453" xr:uid="{00000000-0005-0000-0000-0000A6050000}"/>
    <cellStyle name="Normal 5 39 14" xfId="1454" xr:uid="{00000000-0005-0000-0000-0000A7050000}"/>
    <cellStyle name="Normal 5 39 15" xfId="1455" xr:uid="{00000000-0005-0000-0000-0000A8050000}"/>
    <cellStyle name="Normal 5 39 16" xfId="1456" xr:uid="{00000000-0005-0000-0000-0000A9050000}"/>
    <cellStyle name="Normal 5 39 17" xfId="1457" xr:uid="{00000000-0005-0000-0000-0000AA050000}"/>
    <cellStyle name="Normal 5 39 18" xfId="1458" xr:uid="{00000000-0005-0000-0000-0000AB050000}"/>
    <cellStyle name="Normal 5 39 2" xfId="1459" xr:uid="{00000000-0005-0000-0000-0000AC050000}"/>
    <cellStyle name="Normal 5 39 3" xfId="1460" xr:uid="{00000000-0005-0000-0000-0000AD050000}"/>
    <cellStyle name="Normal 5 39 4" xfId="1461" xr:uid="{00000000-0005-0000-0000-0000AE050000}"/>
    <cellStyle name="Normal 5 39 5" xfId="1462" xr:uid="{00000000-0005-0000-0000-0000AF050000}"/>
    <cellStyle name="Normal 5 39 6" xfId="1463" xr:uid="{00000000-0005-0000-0000-0000B0050000}"/>
    <cellStyle name="Normal 5 39 7" xfId="1464" xr:uid="{00000000-0005-0000-0000-0000B1050000}"/>
    <cellStyle name="Normal 5 39 8" xfId="1465" xr:uid="{00000000-0005-0000-0000-0000B2050000}"/>
    <cellStyle name="Normal 5 39 9" xfId="1466" xr:uid="{00000000-0005-0000-0000-0000B3050000}"/>
    <cellStyle name="Normal 5 4" xfId="1467" xr:uid="{00000000-0005-0000-0000-0000B4050000}"/>
    <cellStyle name="Normal 5 40" xfId="1468" xr:uid="{00000000-0005-0000-0000-0000B5050000}"/>
    <cellStyle name="Normal 5 40 10" xfId="1469" xr:uid="{00000000-0005-0000-0000-0000B6050000}"/>
    <cellStyle name="Normal 5 40 11" xfId="1470" xr:uid="{00000000-0005-0000-0000-0000B7050000}"/>
    <cellStyle name="Normal 5 40 12" xfId="1471" xr:uid="{00000000-0005-0000-0000-0000B8050000}"/>
    <cellStyle name="Normal 5 40 13" xfId="1472" xr:uid="{00000000-0005-0000-0000-0000B9050000}"/>
    <cellStyle name="Normal 5 40 14" xfId="1473" xr:uid="{00000000-0005-0000-0000-0000BA050000}"/>
    <cellStyle name="Normal 5 40 15" xfId="1474" xr:uid="{00000000-0005-0000-0000-0000BB050000}"/>
    <cellStyle name="Normal 5 40 16" xfId="1475" xr:uid="{00000000-0005-0000-0000-0000BC050000}"/>
    <cellStyle name="Normal 5 40 17" xfId="1476" xr:uid="{00000000-0005-0000-0000-0000BD050000}"/>
    <cellStyle name="Normal 5 40 18" xfId="1477" xr:uid="{00000000-0005-0000-0000-0000BE050000}"/>
    <cellStyle name="Normal 5 40 2" xfId="1478" xr:uid="{00000000-0005-0000-0000-0000BF050000}"/>
    <cellStyle name="Normal 5 40 3" xfId="1479" xr:uid="{00000000-0005-0000-0000-0000C0050000}"/>
    <cellStyle name="Normal 5 40 4" xfId="1480" xr:uid="{00000000-0005-0000-0000-0000C1050000}"/>
    <cellStyle name="Normal 5 40 5" xfId="1481" xr:uid="{00000000-0005-0000-0000-0000C2050000}"/>
    <cellStyle name="Normal 5 40 6" xfId="1482" xr:uid="{00000000-0005-0000-0000-0000C3050000}"/>
    <cellStyle name="Normal 5 40 7" xfId="1483" xr:uid="{00000000-0005-0000-0000-0000C4050000}"/>
    <cellStyle name="Normal 5 40 8" xfId="1484" xr:uid="{00000000-0005-0000-0000-0000C5050000}"/>
    <cellStyle name="Normal 5 40 9" xfId="1485" xr:uid="{00000000-0005-0000-0000-0000C6050000}"/>
    <cellStyle name="Normal 5 41" xfId="1486" xr:uid="{00000000-0005-0000-0000-0000C7050000}"/>
    <cellStyle name="Normal 5 42" xfId="1487" xr:uid="{00000000-0005-0000-0000-0000C8050000}"/>
    <cellStyle name="Normal 5 43" xfId="1488" xr:uid="{00000000-0005-0000-0000-0000C9050000}"/>
    <cellStyle name="Normal 5 44" xfId="1489" xr:uid="{00000000-0005-0000-0000-0000CA050000}"/>
    <cellStyle name="Normal 5 45" xfId="1490" xr:uid="{00000000-0005-0000-0000-0000CB050000}"/>
    <cellStyle name="Normal 5 46" xfId="1491" xr:uid="{00000000-0005-0000-0000-0000CC050000}"/>
    <cellStyle name="Normal 5 47" xfId="1492" xr:uid="{00000000-0005-0000-0000-0000CD050000}"/>
    <cellStyle name="Normal 5 48" xfId="1493" xr:uid="{00000000-0005-0000-0000-0000CE050000}"/>
    <cellStyle name="Normal 5 49" xfId="1494" xr:uid="{00000000-0005-0000-0000-0000CF050000}"/>
    <cellStyle name="Normal 5 5" xfId="1495" xr:uid="{00000000-0005-0000-0000-0000D0050000}"/>
    <cellStyle name="Normal 5 50" xfId="1496" xr:uid="{00000000-0005-0000-0000-0000D1050000}"/>
    <cellStyle name="Normal 5 51" xfId="1497" xr:uid="{00000000-0005-0000-0000-0000D2050000}"/>
    <cellStyle name="Normal 5 52" xfId="1498" xr:uid="{00000000-0005-0000-0000-0000D3050000}"/>
    <cellStyle name="Normal 5 53" xfId="1499" xr:uid="{00000000-0005-0000-0000-0000D4050000}"/>
    <cellStyle name="Normal 5 54" xfId="1500" xr:uid="{00000000-0005-0000-0000-0000D5050000}"/>
    <cellStyle name="Normal 5 55" xfId="1501" xr:uid="{00000000-0005-0000-0000-0000D6050000}"/>
    <cellStyle name="Normal 5 56" xfId="1502" xr:uid="{00000000-0005-0000-0000-0000D7050000}"/>
    <cellStyle name="Normal 5 57" xfId="1503" xr:uid="{00000000-0005-0000-0000-0000D8050000}"/>
    <cellStyle name="Normal 5 58" xfId="1504" xr:uid="{00000000-0005-0000-0000-0000D9050000}"/>
    <cellStyle name="Normal 5 59" xfId="1189" xr:uid="{00000000-0005-0000-0000-0000DA050000}"/>
    <cellStyle name="Normal 5 6" xfId="1505" xr:uid="{00000000-0005-0000-0000-0000DB050000}"/>
    <cellStyle name="Normal 5 7" xfId="1506" xr:uid="{00000000-0005-0000-0000-0000DC050000}"/>
    <cellStyle name="Normal 5 8" xfId="1507" xr:uid="{00000000-0005-0000-0000-0000DD050000}"/>
    <cellStyle name="Normal 5 9" xfId="1508" xr:uid="{00000000-0005-0000-0000-0000DE050000}"/>
    <cellStyle name="Normal 52 2" xfId="1509" xr:uid="{00000000-0005-0000-0000-0000DF050000}"/>
    <cellStyle name="Normal 53" xfId="1510" xr:uid="{00000000-0005-0000-0000-0000E0050000}"/>
    <cellStyle name="Normal 54" xfId="1511" xr:uid="{00000000-0005-0000-0000-0000E1050000}"/>
    <cellStyle name="Normal 6" xfId="63" xr:uid="{00000000-0005-0000-0000-0000E2050000}"/>
    <cellStyle name="Normal 6 10" xfId="1513" xr:uid="{00000000-0005-0000-0000-0000E3050000}"/>
    <cellStyle name="Normal 6 11" xfId="1514" xr:uid="{00000000-0005-0000-0000-0000E4050000}"/>
    <cellStyle name="Normal 6 12" xfId="1515" xr:uid="{00000000-0005-0000-0000-0000E5050000}"/>
    <cellStyle name="Normal 6 13" xfId="1516" xr:uid="{00000000-0005-0000-0000-0000E6050000}"/>
    <cellStyle name="Normal 6 14" xfId="1517" xr:uid="{00000000-0005-0000-0000-0000E7050000}"/>
    <cellStyle name="Normal 6 15" xfId="1518" xr:uid="{00000000-0005-0000-0000-0000E8050000}"/>
    <cellStyle name="Normal 6 16" xfId="1519" xr:uid="{00000000-0005-0000-0000-0000E9050000}"/>
    <cellStyle name="Normal 6 17" xfId="1520" xr:uid="{00000000-0005-0000-0000-0000EA050000}"/>
    <cellStyle name="Normal 6 18" xfId="1521" xr:uid="{00000000-0005-0000-0000-0000EB050000}"/>
    <cellStyle name="Normal 6 19" xfId="1522" xr:uid="{00000000-0005-0000-0000-0000EC050000}"/>
    <cellStyle name="Normal 6 2" xfId="1523" xr:uid="{00000000-0005-0000-0000-0000ED050000}"/>
    <cellStyle name="Normal 6 2 2" xfId="1524" xr:uid="{00000000-0005-0000-0000-0000EE050000}"/>
    <cellStyle name="Normal 6 20" xfId="1525" xr:uid="{00000000-0005-0000-0000-0000EF050000}"/>
    <cellStyle name="Normal 6 21" xfId="1526" xr:uid="{00000000-0005-0000-0000-0000F0050000}"/>
    <cellStyle name="Normal 6 22" xfId="1527" xr:uid="{00000000-0005-0000-0000-0000F1050000}"/>
    <cellStyle name="Normal 6 23" xfId="1528" xr:uid="{00000000-0005-0000-0000-0000F2050000}"/>
    <cellStyle name="Normal 6 24" xfId="1529" xr:uid="{00000000-0005-0000-0000-0000F3050000}"/>
    <cellStyle name="Normal 6 25" xfId="1530" xr:uid="{00000000-0005-0000-0000-0000F4050000}"/>
    <cellStyle name="Normal 6 26" xfId="1531" xr:uid="{00000000-0005-0000-0000-0000F5050000}"/>
    <cellStyle name="Normal 6 27" xfId="1532" xr:uid="{00000000-0005-0000-0000-0000F6050000}"/>
    <cellStyle name="Normal 6 28" xfId="1533" xr:uid="{00000000-0005-0000-0000-0000F7050000}"/>
    <cellStyle name="Normal 6 29" xfId="1534" xr:uid="{00000000-0005-0000-0000-0000F8050000}"/>
    <cellStyle name="Normal 6 3" xfId="1535" xr:uid="{00000000-0005-0000-0000-0000F9050000}"/>
    <cellStyle name="Normal 6 30" xfId="1536" xr:uid="{00000000-0005-0000-0000-0000FA050000}"/>
    <cellStyle name="Normal 6 31" xfId="1537" xr:uid="{00000000-0005-0000-0000-0000FB050000}"/>
    <cellStyle name="Normal 6 32" xfId="1538" xr:uid="{00000000-0005-0000-0000-0000FC050000}"/>
    <cellStyle name="Normal 6 33" xfId="1539" xr:uid="{00000000-0005-0000-0000-0000FD050000}"/>
    <cellStyle name="Normal 6 34" xfId="1512" xr:uid="{00000000-0005-0000-0000-0000FE050000}"/>
    <cellStyle name="Normal 6 4" xfId="1540" xr:uid="{00000000-0005-0000-0000-0000FF050000}"/>
    <cellStyle name="Normal 6 5" xfId="1541" xr:uid="{00000000-0005-0000-0000-000000060000}"/>
    <cellStyle name="Normal 6 6" xfId="1542" xr:uid="{00000000-0005-0000-0000-000001060000}"/>
    <cellStyle name="Normal 6 7" xfId="1543" xr:uid="{00000000-0005-0000-0000-000002060000}"/>
    <cellStyle name="Normal 6 8" xfId="1544" xr:uid="{00000000-0005-0000-0000-000003060000}"/>
    <cellStyle name="Normal 6 9" xfId="1545" xr:uid="{00000000-0005-0000-0000-000004060000}"/>
    <cellStyle name="Normal 61" xfId="1546" xr:uid="{00000000-0005-0000-0000-000005060000}"/>
    <cellStyle name="Normal 61 2" xfId="1547" xr:uid="{00000000-0005-0000-0000-000006060000}"/>
    <cellStyle name="Normal 61 3" xfId="1548" xr:uid="{00000000-0005-0000-0000-000007060000}"/>
    <cellStyle name="Normal 62" xfId="1549" xr:uid="{00000000-0005-0000-0000-000008060000}"/>
    <cellStyle name="Normal 64" xfId="1550" xr:uid="{00000000-0005-0000-0000-000009060000}"/>
    <cellStyle name="Normal 7" xfId="1551" xr:uid="{00000000-0005-0000-0000-00000A060000}"/>
    <cellStyle name="Normal 7 10" xfId="1552" xr:uid="{00000000-0005-0000-0000-00000B060000}"/>
    <cellStyle name="Normal 7 11" xfId="1553" xr:uid="{00000000-0005-0000-0000-00000C060000}"/>
    <cellStyle name="Normal 7 12" xfId="1554" xr:uid="{00000000-0005-0000-0000-00000D060000}"/>
    <cellStyle name="Normal 7 13" xfId="1555" xr:uid="{00000000-0005-0000-0000-00000E060000}"/>
    <cellStyle name="Normal 7 14" xfId="1556" xr:uid="{00000000-0005-0000-0000-00000F060000}"/>
    <cellStyle name="Normal 7 15" xfId="1557" xr:uid="{00000000-0005-0000-0000-000010060000}"/>
    <cellStyle name="Normal 7 16" xfId="1558" xr:uid="{00000000-0005-0000-0000-000011060000}"/>
    <cellStyle name="Normal 7 17" xfId="1559" xr:uid="{00000000-0005-0000-0000-000012060000}"/>
    <cellStyle name="Normal 7 18" xfId="1560" xr:uid="{00000000-0005-0000-0000-000013060000}"/>
    <cellStyle name="Normal 7 19" xfId="1561" xr:uid="{00000000-0005-0000-0000-000014060000}"/>
    <cellStyle name="Normal 7 2" xfId="1562" xr:uid="{00000000-0005-0000-0000-000015060000}"/>
    <cellStyle name="Normal 7 20" xfId="1563" xr:uid="{00000000-0005-0000-0000-000016060000}"/>
    <cellStyle name="Normal 7 21" xfId="1564" xr:uid="{00000000-0005-0000-0000-000017060000}"/>
    <cellStyle name="Normal 7 22" xfId="1565" xr:uid="{00000000-0005-0000-0000-000018060000}"/>
    <cellStyle name="Normal 7 23" xfId="1566" xr:uid="{00000000-0005-0000-0000-000019060000}"/>
    <cellStyle name="Normal 7 24" xfId="1567" xr:uid="{00000000-0005-0000-0000-00001A060000}"/>
    <cellStyle name="Normal 7 25" xfId="1568" xr:uid="{00000000-0005-0000-0000-00001B060000}"/>
    <cellStyle name="Normal 7 26" xfId="1569" xr:uid="{00000000-0005-0000-0000-00001C060000}"/>
    <cellStyle name="Normal 7 27" xfId="1570" xr:uid="{00000000-0005-0000-0000-00001D060000}"/>
    <cellStyle name="Normal 7 28" xfId="1571" xr:uid="{00000000-0005-0000-0000-00001E060000}"/>
    <cellStyle name="Normal 7 29" xfId="1572" xr:uid="{00000000-0005-0000-0000-00001F060000}"/>
    <cellStyle name="Normal 7 3" xfId="1573" xr:uid="{00000000-0005-0000-0000-000020060000}"/>
    <cellStyle name="Normal 7 30" xfId="1574" xr:uid="{00000000-0005-0000-0000-000021060000}"/>
    <cellStyle name="Normal 7 31" xfId="1575" xr:uid="{00000000-0005-0000-0000-000022060000}"/>
    <cellStyle name="Normal 7 32" xfId="1576" xr:uid="{00000000-0005-0000-0000-000023060000}"/>
    <cellStyle name="Normal 7 33" xfId="1577" xr:uid="{00000000-0005-0000-0000-000024060000}"/>
    <cellStyle name="Normal 7 4" xfId="1578" xr:uid="{00000000-0005-0000-0000-000025060000}"/>
    <cellStyle name="Normal 7 5" xfId="1579" xr:uid="{00000000-0005-0000-0000-000026060000}"/>
    <cellStyle name="Normal 7 6" xfId="1580" xr:uid="{00000000-0005-0000-0000-000027060000}"/>
    <cellStyle name="Normal 7 7" xfId="1581" xr:uid="{00000000-0005-0000-0000-000028060000}"/>
    <cellStyle name="Normal 7 8" xfId="1582" xr:uid="{00000000-0005-0000-0000-000029060000}"/>
    <cellStyle name="Normal 7 9" xfId="1583" xr:uid="{00000000-0005-0000-0000-00002A060000}"/>
    <cellStyle name="Normal 8" xfId="1584" xr:uid="{00000000-0005-0000-0000-00002B060000}"/>
    <cellStyle name="Normal 8 10" xfId="1585" xr:uid="{00000000-0005-0000-0000-00002C060000}"/>
    <cellStyle name="Normal 8 11" xfId="1586" xr:uid="{00000000-0005-0000-0000-00002D060000}"/>
    <cellStyle name="Normal 8 12" xfId="1587" xr:uid="{00000000-0005-0000-0000-00002E060000}"/>
    <cellStyle name="Normal 8 13" xfId="1588" xr:uid="{00000000-0005-0000-0000-00002F060000}"/>
    <cellStyle name="Normal 8 14" xfId="1589" xr:uid="{00000000-0005-0000-0000-000030060000}"/>
    <cellStyle name="Normal 8 15" xfId="1590" xr:uid="{00000000-0005-0000-0000-000031060000}"/>
    <cellStyle name="Normal 8 16" xfId="1591" xr:uid="{00000000-0005-0000-0000-000032060000}"/>
    <cellStyle name="Normal 8 17" xfId="1592" xr:uid="{00000000-0005-0000-0000-000033060000}"/>
    <cellStyle name="Normal 8 18" xfId="1593" xr:uid="{00000000-0005-0000-0000-000034060000}"/>
    <cellStyle name="Normal 8 19" xfId="1594" xr:uid="{00000000-0005-0000-0000-000035060000}"/>
    <cellStyle name="Normal 8 2" xfId="1595" xr:uid="{00000000-0005-0000-0000-000036060000}"/>
    <cellStyle name="Normal 8 20" xfId="1596" xr:uid="{00000000-0005-0000-0000-000037060000}"/>
    <cellStyle name="Normal 8 21" xfId="1597" xr:uid="{00000000-0005-0000-0000-000038060000}"/>
    <cellStyle name="Normal 8 22" xfId="1598" xr:uid="{00000000-0005-0000-0000-000039060000}"/>
    <cellStyle name="Normal 8 23" xfId="1599" xr:uid="{00000000-0005-0000-0000-00003A060000}"/>
    <cellStyle name="Normal 8 24" xfId="1600" xr:uid="{00000000-0005-0000-0000-00003B060000}"/>
    <cellStyle name="Normal 8 25" xfId="1601" xr:uid="{00000000-0005-0000-0000-00003C060000}"/>
    <cellStyle name="Normal 8 26" xfId="1602" xr:uid="{00000000-0005-0000-0000-00003D060000}"/>
    <cellStyle name="Normal 8 27" xfId="1603" xr:uid="{00000000-0005-0000-0000-00003E060000}"/>
    <cellStyle name="Normal 8 28" xfId="1604" xr:uid="{00000000-0005-0000-0000-00003F060000}"/>
    <cellStyle name="Normal 8 29" xfId="1605" xr:uid="{00000000-0005-0000-0000-000040060000}"/>
    <cellStyle name="Normal 8 3" xfId="1606" xr:uid="{00000000-0005-0000-0000-000041060000}"/>
    <cellStyle name="Normal 8 30" xfId="1607" xr:uid="{00000000-0005-0000-0000-000042060000}"/>
    <cellStyle name="Normal 8 31" xfId="1608" xr:uid="{00000000-0005-0000-0000-000043060000}"/>
    <cellStyle name="Normal 8 32" xfId="1609" xr:uid="{00000000-0005-0000-0000-000044060000}"/>
    <cellStyle name="Normal 8 4" xfId="1610" xr:uid="{00000000-0005-0000-0000-000045060000}"/>
    <cellStyle name="Normal 8 5" xfId="1611" xr:uid="{00000000-0005-0000-0000-000046060000}"/>
    <cellStyle name="Normal 8 6" xfId="1612" xr:uid="{00000000-0005-0000-0000-000047060000}"/>
    <cellStyle name="Normal 8 7" xfId="1613" xr:uid="{00000000-0005-0000-0000-000048060000}"/>
    <cellStyle name="Normal 8 8" xfId="1614" xr:uid="{00000000-0005-0000-0000-000049060000}"/>
    <cellStyle name="Normal 8 9" xfId="1615" xr:uid="{00000000-0005-0000-0000-00004A060000}"/>
    <cellStyle name="Normal 9" xfId="1616" xr:uid="{00000000-0005-0000-0000-00004B060000}"/>
    <cellStyle name="Normal 9 2" xfId="1617" xr:uid="{00000000-0005-0000-0000-00004C060000}"/>
    <cellStyle name="Normal 9 2 2" xfId="1618" xr:uid="{00000000-0005-0000-0000-00004D060000}"/>
    <cellStyle name="Notas" xfId="21" builtinId="10" customBuiltin="1"/>
    <cellStyle name="Notas 2" xfId="1619" xr:uid="{00000000-0005-0000-0000-00004F060000}"/>
    <cellStyle name="Notas 2 2" xfId="1620" xr:uid="{00000000-0005-0000-0000-000050060000}"/>
    <cellStyle name="Notas 2 3" xfId="1621" xr:uid="{00000000-0005-0000-0000-000051060000}"/>
    <cellStyle name="Notas 2 3 2" xfId="1793" xr:uid="{00000000-0005-0000-0000-000052060000}"/>
    <cellStyle name="Notas 2 3 2 2" xfId="2018" xr:uid="{45BE79A8-F228-49FD-96CA-6B90F235F3C2}"/>
    <cellStyle name="Notas 2 3 2 2 2" xfId="2040" xr:uid="{4B9EE2BB-4163-4EFB-B276-529D11C9E42F}"/>
    <cellStyle name="Notas 2 3 2 3" xfId="1908" xr:uid="{356AFD6B-7FAC-4302-978E-D8CAC5E03129}"/>
    <cellStyle name="Notas 2 3 3" xfId="2008" xr:uid="{83FB2A7B-53B4-4FF1-B123-9F292B93E4BD}"/>
    <cellStyle name="Notas 2 3 3 2" xfId="2030" xr:uid="{E2DAC269-761B-43B5-96AF-4F3CFE9B22B1}"/>
    <cellStyle name="Notas 2 3 4" xfId="1898" xr:uid="{0C9D470F-CA94-4C70-87CB-39A75EDF3B29}"/>
    <cellStyle name="Notas 2 4" xfId="1792" xr:uid="{00000000-0005-0000-0000-000053060000}"/>
    <cellStyle name="Notas 2 4 2" xfId="2017" xr:uid="{4B753EC3-8BE2-45F8-A883-CB7ADEF5256C}"/>
    <cellStyle name="Notas 2 4 2 2" xfId="2039" xr:uid="{E1128A6C-134D-4480-95E2-5CFECB58630E}"/>
    <cellStyle name="Notas 2 4 3" xfId="1907" xr:uid="{6C8BEF63-233C-424B-B417-C263A3B7EAF0}"/>
    <cellStyle name="Notas 2 5" xfId="2007" xr:uid="{F44E058E-3BF7-4B5F-9372-0D6DCE0B1931}"/>
    <cellStyle name="Notas 2 5 2" xfId="2029" xr:uid="{2BC7699D-B851-46AF-AD99-88FC984BE3F7}"/>
    <cellStyle name="Notas 2 6" xfId="1897" xr:uid="{CE556F13-E1BD-4C36-8C7E-80F910F8CBD3}"/>
    <cellStyle name="Notas 3" xfId="1622" xr:uid="{00000000-0005-0000-0000-000054060000}"/>
    <cellStyle name="Notas 3 2" xfId="1623" xr:uid="{00000000-0005-0000-0000-000055060000}"/>
    <cellStyle name="Notas 4" xfId="1624" xr:uid="{00000000-0005-0000-0000-000056060000}"/>
    <cellStyle name="Notas 4 2" xfId="1625" xr:uid="{00000000-0005-0000-0000-000057060000}"/>
    <cellStyle name="Notas 5" xfId="1626" xr:uid="{00000000-0005-0000-0000-000058060000}"/>
    <cellStyle name="Notas 6" xfId="1627" xr:uid="{00000000-0005-0000-0000-000059060000}"/>
    <cellStyle name="Porcentaje" xfId="1804" builtinId="5"/>
    <cellStyle name="Porcentaje 2" xfId="6" xr:uid="{00000000-0005-0000-0000-00005B060000}"/>
    <cellStyle name="Porcentaje 2 10" xfId="1629" xr:uid="{00000000-0005-0000-0000-00005C060000}"/>
    <cellStyle name="Porcentaje 2 11" xfId="1630" xr:uid="{00000000-0005-0000-0000-00005D060000}"/>
    <cellStyle name="Porcentaje 2 12" xfId="1631" xr:uid="{00000000-0005-0000-0000-00005E060000}"/>
    <cellStyle name="Porcentaje 2 13" xfId="1632" xr:uid="{00000000-0005-0000-0000-00005F060000}"/>
    <cellStyle name="Porcentaje 2 14" xfId="1633" xr:uid="{00000000-0005-0000-0000-000060060000}"/>
    <cellStyle name="Porcentaje 2 15" xfId="1634" xr:uid="{00000000-0005-0000-0000-000061060000}"/>
    <cellStyle name="Porcentaje 2 16" xfId="1635" xr:uid="{00000000-0005-0000-0000-000062060000}"/>
    <cellStyle name="Porcentaje 2 17" xfId="1636" xr:uid="{00000000-0005-0000-0000-000063060000}"/>
    <cellStyle name="Porcentaje 2 18" xfId="1637" xr:uid="{00000000-0005-0000-0000-000064060000}"/>
    <cellStyle name="Porcentaje 2 19" xfId="1638" xr:uid="{00000000-0005-0000-0000-000065060000}"/>
    <cellStyle name="Porcentaje 2 2" xfId="1639" xr:uid="{00000000-0005-0000-0000-000066060000}"/>
    <cellStyle name="Porcentaje 2 2 10" xfId="1640" xr:uid="{00000000-0005-0000-0000-000067060000}"/>
    <cellStyle name="Porcentaje 2 2 11" xfId="1641" xr:uid="{00000000-0005-0000-0000-000068060000}"/>
    <cellStyle name="Porcentaje 2 2 12" xfId="1642" xr:uid="{00000000-0005-0000-0000-000069060000}"/>
    <cellStyle name="Porcentaje 2 2 13" xfId="1643" xr:uid="{00000000-0005-0000-0000-00006A060000}"/>
    <cellStyle name="Porcentaje 2 2 14" xfId="1644" xr:uid="{00000000-0005-0000-0000-00006B060000}"/>
    <cellStyle name="Porcentaje 2 2 15" xfId="1645" xr:uid="{00000000-0005-0000-0000-00006C060000}"/>
    <cellStyle name="Porcentaje 2 2 16" xfId="1646" xr:uid="{00000000-0005-0000-0000-00006D060000}"/>
    <cellStyle name="Porcentaje 2 2 17" xfId="1647" xr:uid="{00000000-0005-0000-0000-00006E060000}"/>
    <cellStyle name="Porcentaje 2 2 18" xfId="1648" xr:uid="{00000000-0005-0000-0000-00006F060000}"/>
    <cellStyle name="Porcentaje 2 2 2" xfId="1649" xr:uid="{00000000-0005-0000-0000-000070060000}"/>
    <cellStyle name="Porcentaje 2 2 3" xfId="1650" xr:uid="{00000000-0005-0000-0000-000071060000}"/>
    <cellStyle name="Porcentaje 2 2 4" xfId="1651" xr:uid="{00000000-0005-0000-0000-000072060000}"/>
    <cellStyle name="Porcentaje 2 2 5" xfId="1652" xr:uid="{00000000-0005-0000-0000-000073060000}"/>
    <cellStyle name="Porcentaje 2 2 6" xfId="1653" xr:uid="{00000000-0005-0000-0000-000074060000}"/>
    <cellStyle name="Porcentaje 2 2 7" xfId="1654" xr:uid="{00000000-0005-0000-0000-000075060000}"/>
    <cellStyle name="Porcentaje 2 2 8" xfId="1655" xr:uid="{00000000-0005-0000-0000-000076060000}"/>
    <cellStyle name="Porcentaje 2 2 9" xfId="1656" xr:uid="{00000000-0005-0000-0000-000077060000}"/>
    <cellStyle name="Porcentaje 2 20" xfId="1657" xr:uid="{00000000-0005-0000-0000-000078060000}"/>
    <cellStyle name="Porcentaje 2 21" xfId="1658" xr:uid="{00000000-0005-0000-0000-000079060000}"/>
    <cellStyle name="Porcentaje 2 22" xfId="1659" xr:uid="{00000000-0005-0000-0000-00007A060000}"/>
    <cellStyle name="Porcentaje 2 23" xfId="1660" xr:uid="{00000000-0005-0000-0000-00007B060000}"/>
    <cellStyle name="Porcentaje 2 24" xfId="1661" xr:uid="{00000000-0005-0000-0000-00007C060000}"/>
    <cellStyle name="Porcentaje 2 25" xfId="1662" xr:uid="{00000000-0005-0000-0000-00007D060000}"/>
    <cellStyle name="Porcentaje 2 26" xfId="1663" xr:uid="{00000000-0005-0000-0000-00007E060000}"/>
    <cellStyle name="Porcentaje 2 27" xfId="1628" xr:uid="{00000000-0005-0000-0000-00007F060000}"/>
    <cellStyle name="Porcentaje 2 3" xfId="1664" xr:uid="{00000000-0005-0000-0000-000080060000}"/>
    <cellStyle name="Porcentaje 2 3 10" xfId="1665" xr:uid="{00000000-0005-0000-0000-000081060000}"/>
    <cellStyle name="Porcentaje 2 3 11" xfId="1666" xr:uid="{00000000-0005-0000-0000-000082060000}"/>
    <cellStyle name="Porcentaje 2 3 12" xfId="1667" xr:uid="{00000000-0005-0000-0000-000083060000}"/>
    <cellStyle name="Porcentaje 2 3 13" xfId="1668" xr:uid="{00000000-0005-0000-0000-000084060000}"/>
    <cellStyle name="Porcentaje 2 3 14" xfId="1669" xr:uid="{00000000-0005-0000-0000-000085060000}"/>
    <cellStyle name="Porcentaje 2 3 15" xfId="1670" xr:uid="{00000000-0005-0000-0000-000086060000}"/>
    <cellStyle name="Porcentaje 2 3 16" xfId="1671" xr:uid="{00000000-0005-0000-0000-000087060000}"/>
    <cellStyle name="Porcentaje 2 3 17" xfId="1672" xr:uid="{00000000-0005-0000-0000-000088060000}"/>
    <cellStyle name="Porcentaje 2 3 18" xfId="1673" xr:uid="{00000000-0005-0000-0000-000089060000}"/>
    <cellStyle name="Porcentaje 2 3 2" xfId="1674" xr:uid="{00000000-0005-0000-0000-00008A060000}"/>
    <cellStyle name="Porcentaje 2 3 3" xfId="1675" xr:uid="{00000000-0005-0000-0000-00008B060000}"/>
    <cellStyle name="Porcentaje 2 3 4" xfId="1676" xr:uid="{00000000-0005-0000-0000-00008C060000}"/>
    <cellStyle name="Porcentaje 2 3 5" xfId="1677" xr:uid="{00000000-0005-0000-0000-00008D060000}"/>
    <cellStyle name="Porcentaje 2 3 6" xfId="1678" xr:uid="{00000000-0005-0000-0000-00008E060000}"/>
    <cellStyle name="Porcentaje 2 3 7" xfId="1679" xr:uid="{00000000-0005-0000-0000-00008F060000}"/>
    <cellStyle name="Porcentaje 2 3 8" xfId="1680" xr:uid="{00000000-0005-0000-0000-000090060000}"/>
    <cellStyle name="Porcentaje 2 3 9" xfId="1681" xr:uid="{00000000-0005-0000-0000-000091060000}"/>
    <cellStyle name="Porcentaje 2 4" xfId="1682" xr:uid="{00000000-0005-0000-0000-000092060000}"/>
    <cellStyle name="Porcentaje 2 4 10" xfId="1683" xr:uid="{00000000-0005-0000-0000-000093060000}"/>
    <cellStyle name="Porcentaje 2 4 11" xfId="1684" xr:uid="{00000000-0005-0000-0000-000094060000}"/>
    <cellStyle name="Porcentaje 2 4 12" xfId="1685" xr:uid="{00000000-0005-0000-0000-000095060000}"/>
    <cellStyle name="Porcentaje 2 4 13" xfId="1686" xr:uid="{00000000-0005-0000-0000-000096060000}"/>
    <cellStyle name="Porcentaje 2 4 14" xfId="1687" xr:uid="{00000000-0005-0000-0000-000097060000}"/>
    <cellStyle name="Porcentaje 2 4 15" xfId="1688" xr:uid="{00000000-0005-0000-0000-000098060000}"/>
    <cellStyle name="Porcentaje 2 4 16" xfId="1689" xr:uid="{00000000-0005-0000-0000-000099060000}"/>
    <cellStyle name="Porcentaje 2 4 17" xfId="1690" xr:uid="{00000000-0005-0000-0000-00009A060000}"/>
    <cellStyle name="Porcentaje 2 4 18" xfId="1691" xr:uid="{00000000-0005-0000-0000-00009B060000}"/>
    <cellStyle name="Porcentaje 2 4 2" xfId="1692" xr:uid="{00000000-0005-0000-0000-00009C060000}"/>
    <cellStyle name="Porcentaje 2 4 3" xfId="1693" xr:uid="{00000000-0005-0000-0000-00009D060000}"/>
    <cellStyle name="Porcentaje 2 4 4" xfId="1694" xr:uid="{00000000-0005-0000-0000-00009E060000}"/>
    <cellStyle name="Porcentaje 2 4 5" xfId="1695" xr:uid="{00000000-0005-0000-0000-00009F060000}"/>
    <cellStyle name="Porcentaje 2 4 6" xfId="1696" xr:uid="{00000000-0005-0000-0000-0000A0060000}"/>
    <cellStyle name="Porcentaje 2 4 7" xfId="1697" xr:uid="{00000000-0005-0000-0000-0000A1060000}"/>
    <cellStyle name="Porcentaje 2 4 8" xfId="1698" xr:uid="{00000000-0005-0000-0000-0000A2060000}"/>
    <cellStyle name="Porcentaje 2 4 9" xfId="1699" xr:uid="{00000000-0005-0000-0000-0000A3060000}"/>
    <cellStyle name="Porcentaje 2 5" xfId="1700" xr:uid="{00000000-0005-0000-0000-0000A4060000}"/>
    <cellStyle name="Porcentaje 2 5 10" xfId="1701" xr:uid="{00000000-0005-0000-0000-0000A5060000}"/>
    <cellStyle name="Porcentaje 2 5 11" xfId="1702" xr:uid="{00000000-0005-0000-0000-0000A6060000}"/>
    <cellStyle name="Porcentaje 2 5 12" xfId="1703" xr:uid="{00000000-0005-0000-0000-0000A7060000}"/>
    <cellStyle name="Porcentaje 2 5 13" xfId="1704" xr:uid="{00000000-0005-0000-0000-0000A8060000}"/>
    <cellStyle name="Porcentaje 2 5 14" xfId="1705" xr:uid="{00000000-0005-0000-0000-0000A9060000}"/>
    <cellStyle name="Porcentaje 2 5 15" xfId="1706" xr:uid="{00000000-0005-0000-0000-0000AA060000}"/>
    <cellStyle name="Porcentaje 2 5 16" xfId="1707" xr:uid="{00000000-0005-0000-0000-0000AB060000}"/>
    <cellStyle name="Porcentaje 2 5 17" xfId="1708" xr:uid="{00000000-0005-0000-0000-0000AC060000}"/>
    <cellStyle name="Porcentaje 2 5 18" xfId="1709" xr:uid="{00000000-0005-0000-0000-0000AD060000}"/>
    <cellStyle name="Porcentaje 2 5 2" xfId="1710" xr:uid="{00000000-0005-0000-0000-0000AE060000}"/>
    <cellStyle name="Porcentaje 2 5 3" xfId="1711" xr:uid="{00000000-0005-0000-0000-0000AF060000}"/>
    <cellStyle name="Porcentaje 2 5 4" xfId="1712" xr:uid="{00000000-0005-0000-0000-0000B0060000}"/>
    <cellStyle name="Porcentaje 2 5 5" xfId="1713" xr:uid="{00000000-0005-0000-0000-0000B1060000}"/>
    <cellStyle name="Porcentaje 2 5 6" xfId="1714" xr:uid="{00000000-0005-0000-0000-0000B2060000}"/>
    <cellStyle name="Porcentaje 2 5 7" xfId="1715" xr:uid="{00000000-0005-0000-0000-0000B3060000}"/>
    <cellStyle name="Porcentaje 2 5 8" xfId="1716" xr:uid="{00000000-0005-0000-0000-0000B4060000}"/>
    <cellStyle name="Porcentaje 2 5 9" xfId="1717" xr:uid="{00000000-0005-0000-0000-0000B5060000}"/>
    <cellStyle name="Porcentaje 2 6" xfId="1718" xr:uid="{00000000-0005-0000-0000-0000B6060000}"/>
    <cellStyle name="Porcentaje 2 6 10" xfId="1719" xr:uid="{00000000-0005-0000-0000-0000B7060000}"/>
    <cellStyle name="Porcentaje 2 6 11" xfId="1720" xr:uid="{00000000-0005-0000-0000-0000B8060000}"/>
    <cellStyle name="Porcentaje 2 6 12" xfId="1721" xr:uid="{00000000-0005-0000-0000-0000B9060000}"/>
    <cellStyle name="Porcentaje 2 6 13" xfId="1722" xr:uid="{00000000-0005-0000-0000-0000BA060000}"/>
    <cellStyle name="Porcentaje 2 6 14" xfId="1723" xr:uid="{00000000-0005-0000-0000-0000BB060000}"/>
    <cellStyle name="Porcentaje 2 6 15" xfId="1724" xr:uid="{00000000-0005-0000-0000-0000BC060000}"/>
    <cellStyle name="Porcentaje 2 6 16" xfId="1725" xr:uid="{00000000-0005-0000-0000-0000BD060000}"/>
    <cellStyle name="Porcentaje 2 6 17" xfId="1726" xr:uid="{00000000-0005-0000-0000-0000BE060000}"/>
    <cellStyle name="Porcentaje 2 6 18" xfId="1727" xr:uid="{00000000-0005-0000-0000-0000BF060000}"/>
    <cellStyle name="Porcentaje 2 6 2" xfId="1728" xr:uid="{00000000-0005-0000-0000-0000C0060000}"/>
    <cellStyle name="Porcentaje 2 6 3" xfId="1729" xr:uid="{00000000-0005-0000-0000-0000C1060000}"/>
    <cellStyle name="Porcentaje 2 6 4" xfId="1730" xr:uid="{00000000-0005-0000-0000-0000C2060000}"/>
    <cellStyle name="Porcentaje 2 6 5" xfId="1731" xr:uid="{00000000-0005-0000-0000-0000C3060000}"/>
    <cellStyle name="Porcentaje 2 6 6" xfId="1732" xr:uid="{00000000-0005-0000-0000-0000C4060000}"/>
    <cellStyle name="Porcentaje 2 6 7" xfId="1733" xr:uid="{00000000-0005-0000-0000-0000C5060000}"/>
    <cellStyle name="Porcentaje 2 6 8" xfId="1734" xr:uid="{00000000-0005-0000-0000-0000C6060000}"/>
    <cellStyle name="Porcentaje 2 6 9" xfId="1735" xr:uid="{00000000-0005-0000-0000-0000C7060000}"/>
    <cellStyle name="Porcentaje 2 7" xfId="1736" xr:uid="{00000000-0005-0000-0000-0000C8060000}"/>
    <cellStyle name="Porcentaje 2 7 10" xfId="1737" xr:uid="{00000000-0005-0000-0000-0000C9060000}"/>
    <cellStyle name="Porcentaje 2 7 11" xfId="1738" xr:uid="{00000000-0005-0000-0000-0000CA060000}"/>
    <cellStyle name="Porcentaje 2 7 12" xfId="1739" xr:uid="{00000000-0005-0000-0000-0000CB060000}"/>
    <cellStyle name="Porcentaje 2 7 13" xfId="1740" xr:uid="{00000000-0005-0000-0000-0000CC060000}"/>
    <cellStyle name="Porcentaje 2 7 14" xfId="1741" xr:uid="{00000000-0005-0000-0000-0000CD060000}"/>
    <cellStyle name="Porcentaje 2 7 15" xfId="1742" xr:uid="{00000000-0005-0000-0000-0000CE060000}"/>
    <cellStyle name="Porcentaje 2 7 16" xfId="1743" xr:uid="{00000000-0005-0000-0000-0000CF060000}"/>
    <cellStyle name="Porcentaje 2 7 17" xfId="1744" xr:uid="{00000000-0005-0000-0000-0000D0060000}"/>
    <cellStyle name="Porcentaje 2 7 18" xfId="1745" xr:uid="{00000000-0005-0000-0000-0000D1060000}"/>
    <cellStyle name="Porcentaje 2 7 2" xfId="1746" xr:uid="{00000000-0005-0000-0000-0000D2060000}"/>
    <cellStyle name="Porcentaje 2 7 3" xfId="1747" xr:uid="{00000000-0005-0000-0000-0000D3060000}"/>
    <cellStyle name="Porcentaje 2 7 4" xfId="1748" xr:uid="{00000000-0005-0000-0000-0000D4060000}"/>
    <cellStyle name="Porcentaje 2 7 5" xfId="1749" xr:uid="{00000000-0005-0000-0000-0000D5060000}"/>
    <cellStyle name="Porcentaje 2 7 6" xfId="1750" xr:uid="{00000000-0005-0000-0000-0000D6060000}"/>
    <cellStyle name="Porcentaje 2 7 7" xfId="1751" xr:uid="{00000000-0005-0000-0000-0000D7060000}"/>
    <cellStyle name="Porcentaje 2 7 8" xfId="1752" xr:uid="{00000000-0005-0000-0000-0000D8060000}"/>
    <cellStyle name="Porcentaje 2 7 9" xfId="1753" xr:uid="{00000000-0005-0000-0000-0000D9060000}"/>
    <cellStyle name="Porcentaje 2 8" xfId="1754" xr:uid="{00000000-0005-0000-0000-0000DA060000}"/>
    <cellStyle name="Porcentaje 2 8 10" xfId="1755" xr:uid="{00000000-0005-0000-0000-0000DB060000}"/>
    <cellStyle name="Porcentaje 2 8 11" xfId="1756" xr:uid="{00000000-0005-0000-0000-0000DC060000}"/>
    <cellStyle name="Porcentaje 2 8 12" xfId="1757" xr:uid="{00000000-0005-0000-0000-0000DD060000}"/>
    <cellStyle name="Porcentaje 2 8 13" xfId="1758" xr:uid="{00000000-0005-0000-0000-0000DE060000}"/>
    <cellStyle name="Porcentaje 2 8 14" xfId="1759" xr:uid="{00000000-0005-0000-0000-0000DF060000}"/>
    <cellStyle name="Porcentaje 2 8 15" xfId="1760" xr:uid="{00000000-0005-0000-0000-0000E0060000}"/>
    <cellStyle name="Porcentaje 2 8 16" xfId="1761" xr:uid="{00000000-0005-0000-0000-0000E1060000}"/>
    <cellStyle name="Porcentaje 2 8 17" xfId="1762" xr:uid="{00000000-0005-0000-0000-0000E2060000}"/>
    <cellStyle name="Porcentaje 2 8 18" xfId="1763" xr:uid="{00000000-0005-0000-0000-0000E3060000}"/>
    <cellStyle name="Porcentaje 2 8 2" xfId="1764" xr:uid="{00000000-0005-0000-0000-0000E4060000}"/>
    <cellStyle name="Porcentaje 2 8 3" xfId="1765" xr:uid="{00000000-0005-0000-0000-0000E5060000}"/>
    <cellStyle name="Porcentaje 2 8 4" xfId="1766" xr:uid="{00000000-0005-0000-0000-0000E6060000}"/>
    <cellStyle name="Porcentaje 2 8 5" xfId="1767" xr:uid="{00000000-0005-0000-0000-0000E7060000}"/>
    <cellStyle name="Porcentaje 2 8 6" xfId="1768" xr:uid="{00000000-0005-0000-0000-0000E8060000}"/>
    <cellStyle name="Porcentaje 2 8 7" xfId="1769" xr:uid="{00000000-0005-0000-0000-0000E9060000}"/>
    <cellStyle name="Porcentaje 2 8 8" xfId="1770" xr:uid="{00000000-0005-0000-0000-0000EA060000}"/>
    <cellStyle name="Porcentaje 2 8 9" xfId="1771" xr:uid="{00000000-0005-0000-0000-0000EB060000}"/>
    <cellStyle name="Porcentaje 2 9" xfId="1772" xr:uid="{00000000-0005-0000-0000-0000EC060000}"/>
    <cellStyle name="Porcentual 2" xfId="64" xr:uid="{00000000-0005-0000-0000-0000ED060000}"/>
    <cellStyle name="Porcentual 2 2" xfId="65" xr:uid="{00000000-0005-0000-0000-0000EE060000}"/>
    <cellStyle name="Porcentual 2 3" xfId="1773" xr:uid="{00000000-0005-0000-0000-0000EF060000}"/>
    <cellStyle name="Porcentual 3" xfId="66" xr:uid="{00000000-0005-0000-0000-0000F0060000}"/>
    <cellStyle name="Porcentual 3 2" xfId="67" xr:uid="{00000000-0005-0000-0000-0000F1060000}"/>
    <cellStyle name="Porcentual 3 3" xfId="1774" xr:uid="{00000000-0005-0000-0000-0000F2060000}"/>
    <cellStyle name="Salida" xfId="16" builtinId="21" customBuiltin="1"/>
    <cellStyle name="Salida 2" xfId="1775" xr:uid="{00000000-0005-0000-0000-0000F4060000}"/>
    <cellStyle name="Salida 2 2" xfId="1776" xr:uid="{00000000-0005-0000-0000-0000F5060000}"/>
    <cellStyle name="Salida 2 2 2" xfId="1795" xr:uid="{00000000-0005-0000-0000-0000F6060000}"/>
    <cellStyle name="Salida 2 2 2 2" xfId="2020" xr:uid="{10E8653E-CC3B-4434-8372-4DC6CFF0C49D}"/>
    <cellStyle name="Salida 2 2 2 2 2" xfId="2042" xr:uid="{4E552EAA-BB37-48CA-9904-6BD71B2D0262}"/>
    <cellStyle name="Salida 2 2 2 3" xfId="1910" xr:uid="{3199A13B-DEFC-4987-85CB-B00ABC80EA49}"/>
    <cellStyle name="Salida 2 2 3" xfId="2010" xr:uid="{1F650B4E-81EA-4340-B9FC-1B150A6B4C8F}"/>
    <cellStyle name="Salida 2 2 3 2" xfId="2032" xr:uid="{39936D81-9825-4809-BF24-34867E2F12AC}"/>
    <cellStyle name="Salida 2 2 4" xfId="1900" xr:uid="{26AC84E9-93EF-417F-A85C-B58516A8E6D1}"/>
    <cellStyle name="Salida 2 3" xfId="1794" xr:uid="{00000000-0005-0000-0000-0000F7060000}"/>
    <cellStyle name="Salida 2 3 2" xfId="2019" xr:uid="{D21B2553-AF7E-4E58-BEC6-8B1EE2E9B914}"/>
    <cellStyle name="Salida 2 3 2 2" xfId="2041" xr:uid="{9E3DDAAC-4FE0-4946-BA9F-5BDE391C19A1}"/>
    <cellStyle name="Salida 2 3 3" xfId="1909" xr:uid="{9742B09C-E4CE-43C2-B707-5A968EC41628}"/>
    <cellStyle name="Salida 2 4" xfId="2009" xr:uid="{5A8BADEA-4359-4B69-B093-5A7B547B6820}"/>
    <cellStyle name="Salida 2 4 2" xfId="2031" xr:uid="{D6A065B6-DC84-489F-8048-D627F4F868B6}"/>
    <cellStyle name="Salida 2 5" xfId="1899" xr:uid="{D46B5034-366D-49A0-8063-C24D9C1053CC}"/>
    <cellStyle name="Texto de advertencia" xfId="20" builtinId="11" customBuiltin="1"/>
    <cellStyle name="Texto de advertencia 2" xfId="1777" xr:uid="{00000000-0005-0000-0000-0000F9060000}"/>
    <cellStyle name="Texto explicativo" xfId="22" builtinId="53" customBuiltin="1"/>
    <cellStyle name="Texto explicativo 2" xfId="1778" xr:uid="{00000000-0005-0000-0000-0000FB060000}"/>
    <cellStyle name="Título 1 2" xfId="1779" xr:uid="{00000000-0005-0000-0000-0000FC060000}"/>
    <cellStyle name="Título 2" xfId="9" builtinId="17" customBuiltin="1"/>
    <cellStyle name="Título 2 2" xfId="1780" xr:uid="{00000000-0005-0000-0000-0000FE060000}"/>
    <cellStyle name="Título 3" xfId="10" builtinId="18" customBuiltin="1"/>
    <cellStyle name="Título 3 2" xfId="1781" xr:uid="{00000000-0005-0000-0000-000000070000}"/>
    <cellStyle name="Título 4" xfId="52" xr:uid="{00000000-0005-0000-0000-000001070000}"/>
    <cellStyle name="Título 4 2" xfId="1782" xr:uid="{00000000-0005-0000-0000-000002070000}"/>
    <cellStyle name="Total" xfId="23" builtinId="25" customBuiltin="1"/>
    <cellStyle name="Total 2" xfId="1783" xr:uid="{00000000-0005-0000-0000-000004070000}"/>
    <cellStyle name="Total 2 2" xfId="1784" xr:uid="{00000000-0005-0000-0000-000005070000}"/>
    <cellStyle name="Total 2 2 2" xfId="1797" xr:uid="{00000000-0005-0000-0000-000006070000}"/>
    <cellStyle name="Total 2 2 2 2" xfId="2022" xr:uid="{320D6134-CE37-4A86-A269-EDD93C2992BE}"/>
    <cellStyle name="Total 2 2 2 2 2" xfId="2044" xr:uid="{DDE2EF0B-32F0-497C-9B32-B6292772EC89}"/>
    <cellStyle name="Total 2 2 2 3" xfId="1912" xr:uid="{E8DE34CD-C483-43A2-B2EC-D81B6A15CF7F}"/>
    <cellStyle name="Total 2 2 3" xfId="2012" xr:uid="{373B8C70-7D5D-42CA-9735-8F75B1520AF1}"/>
    <cellStyle name="Total 2 2 3 2" xfId="2034" xr:uid="{41B3003D-44E7-4F9E-850C-431589726741}"/>
    <cellStyle name="Total 2 2 4" xfId="1902" xr:uid="{B5005F24-1ACA-4C9E-93EF-C412FBD05E5D}"/>
    <cellStyle name="Total 2 3" xfId="1796" xr:uid="{00000000-0005-0000-0000-000007070000}"/>
    <cellStyle name="Total 2 3 2" xfId="2021" xr:uid="{80EB1348-1849-4053-B1E1-E04C1C724434}"/>
    <cellStyle name="Total 2 3 2 2" xfId="2043" xr:uid="{CBA35961-DB24-44E3-8AAE-70EF2759A26F}"/>
    <cellStyle name="Total 2 3 3" xfId="1911" xr:uid="{7357F5E3-B83C-4C07-BA42-B3351118080F}"/>
    <cellStyle name="Total 2 4" xfId="2011" xr:uid="{7C4D2BD6-8A9D-49B2-9BCD-AF67D7CBB892}"/>
    <cellStyle name="Total 2 4 2" xfId="2033" xr:uid="{BB44D11E-5DD0-4CB3-8D8F-AFB709747E6F}"/>
    <cellStyle name="Total 2 5" xfId="1901" xr:uid="{DE38F79A-1AC0-4C23-8351-8328ED1E5C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946787</xdr:colOff>
      <xdr:row>0</xdr:row>
      <xdr:rowOff>79843</xdr:rowOff>
    </xdr:from>
    <xdr:to>
      <xdr:col>2</xdr:col>
      <xdr:colOff>1390650</xdr:colOff>
      <xdr:row>2</xdr:row>
      <xdr:rowOff>84605</xdr:rowOff>
    </xdr:to>
    <xdr:pic>
      <xdr:nvPicPr>
        <xdr:cNvPr id="3" name="Imagen 1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8312" y="79843"/>
          <a:ext cx="443863" cy="328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116417</xdr:colOff>
      <xdr:row>108</xdr:row>
      <xdr:rowOff>21167</xdr:rowOff>
    </xdr:from>
    <xdr:to>
      <xdr:col>6</xdr:col>
      <xdr:colOff>1091346</xdr:colOff>
      <xdr:row>108</xdr:row>
      <xdr:rowOff>373548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460500" y="24415750"/>
          <a:ext cx="7828571" cy="352381"/>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342900</xdr:colOff>
          <xdr:row>0</xdr:row>
          <xdr:rowOff>76200</xdr:rowOff>
        </xdr:from>
        <xdr:to>
          <xdr:col>2</xdr:col>
          <xdr:colOff>828675</xdr:colOff>
          <xdr:row>2</xdr:row>
          <xdr:rowOff>76200</xdr:rowOff>
        </xdr:to>
        <xdr:sp macro="" textlink="">
          <xdr:nvSpPr>
            <xdr:cNvPr id="134191" name="Object 47" hidden="1">
              <a:extLst>
                <a:ext uri="{63B3BB69-23CF-44E3-9099-C40C66FF867C}">
                  <a14:compatExt spid="_x0000_s134191"/>
                </a:ext>
                <a:ext uri="{FF2B5EF4-FFF2-40B4-BE49-F238E27FC236}">
                  <a16:creationId xmlns:a16="http://schemas.microsoft.com/office/drawing/2014/main" id="{00000000-0008-0000-0000-00002F0C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proteccion-my.sharepoint.com/personal/angy_correa_unp_gov_co/Documents/05.%20PROYECTOS_PRESUPUESTO/Anteproyecto%202025/Necesidades%20Presupuestales/06.%20SG/20240308/DEP-FT-08-V3%20%20Necesidades%20Presupuestales%202025%20Grupo%20de%20Gesti&#243;n%20Administrativa.xlsx" TargetMode="External"/><Relationship Id="rId2" Type="http://schemas.microsoft.com/office/2019/04/relationships/externalLinkLongPath" Target="https://unproteccion.sharepoint.com/personal/angy_correa_unp_gov_co/Documents/05.%20PROYECTOS_PRESUPUESTO/Anteproyecto%202025/Necesidades%20Presupuestales/06.%20SG/20240308/DEP-FT-08-V3%20%20Necesidades%20Presupuestales%202025%20Grupo%20de%20Gesti&#243;n%20Administrativa.xlsx?B8BDA721" TargetMode="External"/><Relationship Id="rId1" Type="http://schemas.openxmlformats.org/officeDocument/2006/relationships/externalLinkPath" Target="file:///\\B8BDA721\DEP-FT-08-V3%20%20Necesidades%20Presupuestales%202025%20Grupo%20de%20Gesti&#243;n%20Administ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ESUPUESTO T+1 "/>
      <sheetName val="Hoja2"/>
      <sheetName val="GASTOS DE PERSONAL"/>
      <sheetName val="SERVICIOS PERSONALES INDIRECTOS"/>
      <sheetName val="ACTIVOS FIJOS"/>
      <sheetName val="ACTIVOS NO PRODUCIDOS"/>
      <sheetName val="MATERIALES Y SUMINISTROS"/>
      <sheetName val="ADQUISICIÓN DE SERVICIOS"/>
      <sheetName val="HOMBRES DE PROTECCIÓN Y VEHICUL"/>
      <sheetName val="VIÁTICOS,GASTOS DE VIAJE,TIQUET"/>
      <sheetName val="SERVICIOS PÚBLICOS."/>
      <sheetName val="APOYOS DE PROTEC Y ENFOQUE DIF "/>
      <sheetName val="SENTENCIAS Y CONCILIACIONES"/>
      <sheetName val="GASTOS DE COMERCIALIZAC Y PROD"/>
      <sheetName val="GASTOS POR TRIBUTOS, MULTAS, M"/>
      <sheetName val="SERVICIO A LA DEUDA PUBLICA"/>
      <sheetName val="GASTOS DE INVERSIÓN"/>
      <sheetName val="INSTRUCTIVO"/>
    </sheetNames>
    <sheetDataSet>
      <sheetData sheetId="0">
        <row r="12">
          <cell r="B12">
            <v>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Angy Marcela Correa Florez" id="{318D82ED-B544-4D17-B04E-899633703DD1}" userId="S::angy.correa@unp.gov.co::13968afb-b12a-4e95-b7fc-19aa6167f2e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8" dT="2024-03-15T12:55:02.69" personId="{318D82ED-B544-4D17-B04E-899633703DD1}" id="{6B8C15A9-367B-4F33-8237-A16097273295}">
    <text xml:space="preserve">77489828322,96 se ajusta de la proyección inicial
</text>
  </threadedComment>
  <threadedComment ref="D69" dT="2024-03-15T12:56:10.21" personId="{318D82ED-B544-4D17-B04E-899633703DD1}" id="{73AFD604-F4D8-416B-B18B-1F7F94581BF9}">
    <text xml:space="preserve">Inicialmente en cero
</text>
  </threadedComment>
  <threadedComment ref="D70" dT="2024-03-15T13:23:18.06" personId="{318D82ED-B544-4D17-B04E-899633703DD1}" id="{FAB5F57F-F5ED-48AC-A34E-EAEF2B69FD94}">
    <text xml:space="preserve">Incialmente en cero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P139"/>
  <sheetViews>
    <sheetView showGridLines="0" tabSelected="1" view="pageBreakPreview" topLeftCell="B1" zoomScaleNormal="85" zoomScaleSheetLayoutView="100" workbookViewId="0">
      <pane xSplit="2" ySplit="12" topLeftCell="D94" activePane="bottomRight" state="frozen"/>
      <selection activeCell="B1" sqref="B1"/>
      <selection pane="topRight" activeCell="D1" sqref="D1"/>
      <selection pane="bottomLeft" activeCell="B13" sqref="B13"/>
      <selection pane="bottomRight" activeCell="H100" sqref="H100"/>
    </sheetView>
  </sheetViews>
  <sheetFormatPr baseColWidth="10" defaultColWidth="11.42578125" defaultRowHeight="12.75"/>
  <cols>
    <col min="1" max="1" width="7.5703125" style="51" customWidth="1"/>
    <col min="2" max="2" width="4" style="51" customWidth="1"/>
    <col min="3" max="3" width="34.42578125" style="57" customWidth="1"/>
    <col min="4" max="4" width="25.5703125" style="57" customWidth="1"/>
    <col min="5" max="5" width="20" style="57" bestFit="1" customWidth="1"/>
    <col min="6" max="6" width="22.28515625" style="57" customWidth="1"/>
    <col min="7" max="7" width="19.140625" style="544" bestFit="1" customWidth="1"/>
    <col min="8" max="8" width="23.140625" style="52" bestFit="1" customWidth="1"/>
    <col min="9" max="9" width="24.5703125" style="52" bestFit="1" customWidth="1"/>
    <col min="10" max="10" width="21.7109375" style="52" bestFit="1" customWidth="1"/>
    <col min="11" max="11" width="33.42578125" style="52" customWidth="1"/>
    <col min="12" max="12" width="16.7109375" style="51" bestFit="1" customWidth="1"/>
    <col min="13" max="13" width="15" style="51" customWidth="1"/>
    <col min="14" max="14" width="21.140625" style="51" bestFit="1" customWidth="1"/>
    <col min="15" max="15" width="19.140625" style="51" customWidth="1"/>
    <col min="16" max="16" width="20.28515625" style="51" bestFit="1" customWidth="1"/>
    <col min="17" max="17" width="20.140625" style="51" bestFit="1" customWidth="1"/>
    <col min="18" max="16384" width="11.42578125" style="51"/>
  </cols>
  <sheetData>
    <row r="1" spans="1:11">
      <c r="D1" s="667" t="s">
        <v>0</v>
      </c>
      <c r="E1" s="58"/>
      <c r="F1" s="58"/>
      <c r="G1" s="263"/>
    </row>
    <row r="2" spans="1:11">
      <c r="D2" s="51" t="s">
        <v>1</v>
      </c>
      <c r="E2" s="544"/>
      <c r="F2" s="58"/>
      <c r="G2" s="263"/>
    </row>
    <row r="3" spans="1:11">
      <c r="D3" s="667" t="s">
        <v>2</v>
      </c>
      <c r="E3" s="58"/>
      <c r="F3" s="58"/>
      <c r="G3" s="263"/>
    </row>
    <row r="4" spans="1:11" ht="25.5" hidden="1" customHeight="1">
      <c r="C4" s="58"/>
      <c r="D4" s="58"/>
      <c r="E4" s="58"/>
      <c r="F4" s="58"/>
      <c r="G4" s="58"/>
      <c r="H4" s="59"/>
      <c r="I4" s="59"/>
      <c r="J4" s="59"/>
      <c r="K4" s="58"/>
    </row>
    <row r="5" spans="1:11" ht="25.5" hidden="1" customHeight="1" thickBot="1">
      <c r="C5" s="68" t="s">
        <v>3</v>
      </c>
      <c r="D5" s="58"/>
      <c r="E5" s="58"/>
      <c r="F5" s="58"/>
      <c r="G5" s="58"/>
      <c r="H5" s="59"/>
      <c r="I5" s="59"/>
      <c r="J5" s="59"/>
      <c r="K5" s="58"/>
    </row>
    <row r="6" spans="1:11" ht="7.5" hidden="1" customHeight="1" thickTop="1">
      <c r="C6" s="58"/>
      <c r="D6" s="58"/>
      <c r="E6" s="58"/>
      <c r="F6" s="58"/>
      <c r="G6" s="58"/>
      <c r="H6" s="59"/>
      <c r="I6" s="59"/>
      <c r="J6" s="59"/>
      <c r="K6" s="58"/>
    </row>
    <row r="7" spans="1:11" ht="25.5" hidden="1" customHeight="1" thickBot="1">
      <c r="C7" s="68" t="s">
        <v>4</v>
      </c>
      <c r="D7" s="58"/>
      <c r="E7" s="58"/>
      <c r="F7" s="58"/>
      <c r="G7" s="58"/>
      <c r="H7" s="59"/>
      <c r="I7" s="59"/>
      <c r="J7" s="59"/>
      <c r="K7" s="58"/>
    </row>
    <row r="8" spans="1:11" ht="7.5" hidden="1" customHeight="1" thickTop="1">
      <c r="C8" s="58"/>
      <c r="D8" s="58"/>
      <c r="E8" s="58"/>
      <c r="F8" s="58"/>
      <c r="G8" s="58"/>
      <c r="H8" s="59"/>
      <c r="I8" s="59"/>
      <c r="J8" s="59"/>
      <c r="K8" s="58"/>
    </row>
    <row r="9" spans="1:11" ht="25.5" hidden="1" customHeight="1" thickBot="1">
      <c r="C9" s="68" t="s">
        <v>5</v>
      </c>
      <c r="D9" s="58"/>
      <c r="E9" s="58"/>
      <c r="F9" s="58"/>
      <c r="G9" s="58"/>
      <c r="H9" s="59"/>
      <c r="I9" s="59"/>
      <c r="J9" s="59"/>
      <c r="K9" s="58"/>
    </row>
    <row r="10" spans="1:11" ht="25.5" hidden="1" customHeight="1" thickTop="1">
      <c r="C10" s="58"/>
      <c r="D10" s="58"/>
      <c r="E10" s="58"/>
      <c r="F10" s="58"/>
      <c r="G10" s="58"/>
      <c r="H10" s="59"/>
      <c r="I10" s="59"/>
      <c r="J10" s="59"/>
      <c r="K10" s="58"/>
    </row>
    <row r="11" spans="1:11" ht="24" customHeight="1" thickBot="1">
      <c r="C11" s="522" t="s">
        <v>6</v>
      </c>
      <c r="D11" s="522"/>
      <c r="E11" s="522"/>
      <c r="F11" s="522"/>
      <c r="G11" s="58"/>
      <c r="H11" s="522"/>
      <c r="I11" s="522"/>
      <c r="J11" s="522"/>
      <c r="K11" s="522"/>
    </row>
    <row r="12" spans="1:11" s="52" customFormat="1" ht="42.75" customHeight="1" thickTop="1" thickBot="1">
      <c r="A12" s="229" t="s">
        <v>7</v>
      </c>
      <c r="B12" s="230">
        <v>0.03</v>
      </c>
      <c r="C12" s="60" t="s">
        <v>8</v>
      </c>
      <c r="D12" s="60" t="s">
        <v>448</v>
      </c>
      <c r="E12" s="60" t="s">
        <v>456</v>
      </c>
      <c r="F12" s="545" t="s">
        <v>455</v>
      </c>
      <c r="G12" s="532"/>
      <c r="H12" s="546" t="s">
        <v>9</v>
      </c>
      <c r="I12" s="60" t="s">
        <v>10</v>
      </c>
      <c r="J12" s="60" t="s">
        <v>11</v>
      </c>
      <c r="K12" s="60" t="s">
        <v>449</v>
      </c>
    </row>
    <row r="13" spans="1:11" ht="13.5" thickTop="1">
      <c r="C13" s="584" t="s">
        <v>12</v>
      </c>
      <c r="D13" s="548">
        <f>+D14+D29+D37</f>
        <v>137591103878.4509</v>
      </c>
      <c r="E13" s="548"/>
      <c r="F13" s="548">
        <f t="shared" ref="F13:F44" si="0">+D13+E13</f>
        <v>137591103878.4509</v>
      </c>
      <c r="G13" s="533"/>
      <c r="H13" s="98">
        <f>+H14+H29+H37</f>
        <v>137591103878.4509</v>
      </c>
      <c r="I13" s="98"/>
      <c r="J13" s="98">
        <f t="shared" ref="J13:J44" si="1">+H13+I13</f>
        <v>137591103878.4509</v>
      </c>
      <c r="K13" s="575">
        <f t="shared" ref="K13:K44" si="2">+F13-J13</f>
        <v>0</v>
      </c>
    </row>
    <row r="14" spans="1:11">
      <c r="C14" s="585" t="s">
        <v>13</v>
      </c>
      <c r="D14" s="549">
        <f>+D15+D27</f>
        <v>91051465232.084351</v>
      </c>
      <c r="E14" s="549"/>
      <c r="F14" s="549">
        <f t="shared" si="0"/>
        <v>91051465232.084351</v>
      </c>
      <c r="G14" s="534"/>
      <c r="H14" s="99">
        <f>+H15+H27</f>
        <v>91051465232.084351</v>
      </c>
      <c r="I14" s="99"/>
      <c r="J14" s="99">
        <f t="shared" si="1"/>
        <v>91051465232.084351</v>
      </c>
      <c r="K14" s="576">
        <f t="shared" si="2"/>
        <v>0</v>
      </c>
    </row>
    <row r="15" spans="1:11">
      <c r="C15" s="225" t="s">
        <v>14</v>
      </c>
      <c r="D15" s="557">
        <f>+D16+D17+D18+D19+D20+D21+D22+D23+D24+D25+D26</f>
        <v>86752690387.412354</v>
      </c>
      <c r="E15" s="557"/>
      <c r="F15" s="557">
        <f t="shared" si="0"/>
        <v>86752690387.412354</v>
      </c>
      <c r="G15" s="535"/>
      <c r="H15" s="100">
        <f>+H16+H17+H18+H19+H20+H21+H22+H23+H24+H25+H26</f>
        <v>86752690387.412354</v>
      </c>
      <c r="I15" s="100"/>
      <c r="J15" s="100">
        <f t="shared" si="1"/>
        <v>86752690387.412354</v>
      </c>
      <c r="K15" s="577">
        <f t="shared" si="2"/>
        <v>0</v>
      </c>
    </row>
    <row r="16" spans="1:11">
      <c r="C16" s="226" t="s">
        <v>15</v>
      </c>
      <c r="D16" s="558">
        <v>68774178737.334595</v>
      </c>
      <c r="E16" s="558"/>
      <c r="F16" s="558">
        <f t="shared" si="0"/>
        <v>68774178737.334595</v>
      </c>
      <c r="G16" s="536"/>
      <c r="H16" s="101">
        <f>'GASTOS DE PERSONAL'!B5</f>
        <v>68774178737.334595</v>
      </c>
      <c r="I16" s="101"/>
      <c r="J16" s="101">
        <f t="shared" si="1"/>
        <v>68774178737.334595</v>
      </c>
      <c r="K16" s="578">
        <f t="shared" si="2"/>
        <v>0</v>
      </c>
    </row>
    <row r="17" spans="3:11">
      <c r="C17" s="227" t="s">
        <v>16</v>
      </c>
      <c r="D17" s="559">
        <v>0</v>
      </c>
      <c r="E17" s="559"/>
      <c r="F17" s="559">
        <f t="shared" si="0"/>
        <v>0</v>
      </c>
      <c r="G17" s="537"/>
      <c r="H17" s="102">
        <f>'GASTOS DE PERSONAL'!B6</f>
        <v>0</v>
      </c>
      <c r="I17" s="102"/>
      <c r="J17" s="102">
        <f t="shared" si="1"/>
        <v>0</v>
      </c>
      <c r="K17" s="579">
        <f t="shared" si="2"/>
        <v>0</v>
      </c>
    </row>
    <row r="18" spans="3:11">
      <c r="C18" s="226" t="s">
        <v>17</v>
      </c>
      <c r="D18" s="558">
        <v>353918481.573888</v>
      </c>
      <c r="E18" s="558"/>
      <c r="F18" s="558">
        <f t="shared" si="0"/>
        <v>353918481.573888</v>
      </c>
      <c r="G18" s="531"/>
      <c r="H18" s="101">
        <f>'GASTOS DE PERSONAL'!B7</f>
        <v>353918481.573888</v>
      </c>
      <c r="I18" s="101"/>
      <c r="J18" s="101">
        <f t="shared" si="1"/>
        <v>353918481.573888</v>
      </c>
      <c r="K18" s="578">
        <f t="shared" si="2"/>
        <v>0</v>
      </c>
    </row>
    <row r="19" spans="3:11">
      <c r="C19" s="226" t="s">
        <v>18</v>
      </c>
      <c r="D19" s="558">
        <v>226870056</v>
      </c>
      <c r="E19" s="558"/>
      <c r="F19" s="558">
        <f t="shared" si="0"/>
        <v>226870056</v>
      </c>
      <c r="G19" s="531"/>
      <c r="H19" s="101">
        <f>'GASTOS DE PERSONAL'!B8</f>
        <v>226870056</v>
      </c>
      <c r="I19" s="101"/>
      <c r="J19" s="101">
        <f t="shared" si="1"/>
        <v>226870056</v>
      </c>
      <c r="K19" s="578">
        <f t="shared" si="2"/>
        <v>0</v>
      </c>
    </row>
    <row r="20" spans="3:11">
      <c r="C20" s="226" t="s">
        <v>19</v>
      </c>
      <c r="D20" s="558">
        <v>235224000</v>
      </c>
      <c r="E20" s="558"/>
      <c r="F20" s="558">
        <f t="shared" si="0"/>
        <v>235224000</v>
      </c>
      <c r="G20" s="531"/>
      <c r="H20" s="101">
        <f>'GASTOS DE PERSONAL'!B9</f>
        <v>235224000</v>
      </c>
      <c r="I20" s="101"/>
      <c r="J20" s="101">
        <f t="shared" si="1"/>
        <v>235224000</v>
      </c>
      <c r="K20" s="578">
        <f t="shared" si="2"/>
        <v>0</v>
      </c>
    </row>
    <row r="21" spans="3:11">
      <c r="C21" s="226" t="s">
        <v>20</v>
      </c>
      <c r="D21" s="558">
        <v>4203775167.4662738</v>
      </c>
      <c r="E21" s="558"/>
      <c r="F21" s="558">
        <f t="shared" si="0"/>
        <v>4203775167.4662738</v>
      </c>
      <c r="G21" s="531"/>
      <c r="H21" s="101">
        <f>'GASTOS DE PERSONAL'!B10</f>
        <v>4203775167.4662738</v>
      </c>
      <c r="I21" s="101"/>
      <c r="J21" s="101">
        <f t="shared" si="1"/>
        <v>4203775167.4662738</v>
      </c>
      <c r="K21" s="578">
        <f t="shared" si="2"/>
        <v>0</v>
      </c>
    </row>
    <row r="22" spans="3:11" ht="25.5">
      <c r="C22" s="226" t="s">
        <v>21</v>
      </c>
      <c r="D22" s="558">
        <v>2425062018.3326769</v>
      </c>
      <c r="E22" s="558"/>
      <c r="F22" s="558">
        <f t="shared" si="0"/>
        <v>2425062018.3326769</v>
      </c>
      <c r="G22" s="531"/>
      <c r="H22" s="101">
        <f>'GASTOS DE PERSONAL'!B11</f>
        <v>2425062018.3326769</v>
      </c>
      <c r="I22" s="101"/>
      <c r="J22" s="101">
        <f t="shared" si="1"/>
        <v>2425062018.3326769</v>
      </c>
      <c r="K22" s="578">
        <f t="shared" si="2"/>
        <v>0</v>
      </c>
    </row>
    <row r="23" spans="3:11" ht="25.5">
      <c r="C23" s="226" t="s">
        <v>22</v>
      </c>
      <c r="D23" s="558">
        <v>0</v>
      </c>
      <c r="E23" s="558"/>
      <c r="F23" s="558">
        <f t="shared" si="0"/>
        <v>0</v>
      </c>
      <c r="G23" s="531"/>
      <c r="H23" s="101">
        <f>'GASTOS DE PERSONAL'!B12</f>
        <v>0</v>
      </c>
      <c r="I23" s="101"/>
      <c r="J23" s="101">
        <f t="shared" si="1"/>
        <v>0</v>
      </c>
      <c r="K23" s="578">
        <f t="shared" si="2"/>
        <v>0</v>
      </c>
    </row>
    <row r="24" spans="3:11">
      <c r="C24" s="226" t="s">
        <v>23</v>
      </c>
      <c r="D24" s="558">
        <v>6675239223.0536528</v>
      </c>
      <c r="E24" s="558"/>
      <c r="F24" s="558">
        <f t="shared" si="0"/>
        <v>6675239223.0536528</v>
      </c>
      <c r="G24" s="531"/>
      <c r="H24" s="101">
        <f>'GASTOS DE PERSONAL'!B13</f>
        <v>6675239223.0536528</v>
      </c>
      <c r="I24" s="101"/>
      <c r="J24" s="101">
        <f t="shared" si="1"/>
        <v>6675239223.0536528</v>
      </c>
      <c r="K24" s="578">
        <f t="shared" si="2"/>
        <v>0</v>
      </c>
    </row>
    <row r="25" spans="3:11">
      <c r="C25" s="226" t="s">
        <v>24</v>
      </c>
      <c r="D25" s="558">
        <v>3858422703.651278</v>
      </c>
      <c r="E25" s="558"/>
      <c r="F25" s="558">
        <f t="shared" si="0"/>
        <v>3858422703.651278</v>
      </c>
      <c r="G25" s="531"/>
      <c r="H25" s="101">
        <f>'GASTOS DE PERSONAL'!B14</f>
        <v>3858422703.651278</v>
      </c>
      <c r="I25" s="101"/>
      <c r="J25" s="101">
        <f t="shared" si="1"/>
        <v>3858422703.651278</v>
      </c>
      <c r="K25" s="578">
        <f t="shared" si="2"/>
        <v>0</v>
      </c>
    </row>
    <row r="26" spans="3:11" ht="25.5">
      <c r="C26" s="226" t="s">
        <v>25</v>
      </c>
      <c r="D26" s="558">
        <f>+H26</f>
        <v>0</v>
      </c>
      <c r="E26" s="558"/>
      <c r="F26" s="558">
        <f t="shared" si="0"/>
        <v>0</v>
      </c>
      <c r="G26" s="531"/>
      <c r="H26" s="103">
        <f>'VIÁTICOS,GASTOS DE VIAJE,TIQUET'!H37</f>
        <v>0</v>
      </c>
      <c r="I26" s="103"/>
      <c r="J26" s="103">
        <f t="shared" si="1"/>
        <v>0</v>
      </c>
      <c r="K26" s="580">
        <f t="shared" si="2"/>
        <v>0</v>
      </c>
    </row>
    <row r="27" spans="3:11" ht="25.5">
      <c r="C27" s="225" t="s">
        <v>26</v>
      </c>
      <c r="D27" s="557">
        <f>+D28</f>
        <v>4298774844.6719999</v>
      </c>
      <c r="E27" s="557"/>
      <c r="F27" s="557">
        <f t="shared" si="0"/>
        <v>4298774844.6719999</v>
      </c>
      <c r="G27" s="535"/>
      <c r="H27" s="100">
        <f>+H28</f>
        <v>4298774844.6719999</v>
      </c>
      <c r="I27" s="100"/>
      <c r="J27" s="100">
        <f t="shared" si="1"/>
        <v>4298774844.6719999</v>
      </c>
      <c r="K27" s="577">
        <f t="shared" si="2"/>
        <v>0</v>
      </c>
    </row>
    <row r="28" spans="3:11" ht="25.5">
      <c r="C28" s="226" t="s">
        <v>27</v>
      </c>
      <c r="D28" s="558">
        <v>4298774844.6719999</v>
      </c>
      <c r="E28" s="558"/>
      <c r="F28" s="558">
        <f t="shared" si="0"/>
        <v>4298774844.6719999</v>
      </c>
      <c r="G28" s="531"/>
      <c r="H28" s="101">
        <f>'GASTOS DE PERSONAL'!B16</f>
        <v>4298774844.6719999</v>
      </c>
      <c r="I28" s="101"/>
      <c r="J28" s="101">
        <f t="shared" si="1"/>
        <v>4298774844.6719999</v>
      </c>
      <c r="K28" s="578">
        <f t="shared" si="2"/>
        <v>0</v>
      </c>
    </row>
    <row r="29" spans="3:11" ht="25.5">
      <c r="C29" s="585" t="s">
        <v>28</v>
      </c>
      <c r="D29" s="549">
        <f>+D30+D31+D32+D33+D34+D35+D36</f>
        <v>37494070358.887085</v>
      </c>
      <c r="E29" s="549"/>
      <c r="F29" s="549">
        <f t="shared" si="0"/>
        <v>37494070358.887085</v>
      </c>
      <c r="G29" s="534"/>
      <c r="H29" s="99">
        <f>+H30+H31+H32+H33+H34+H35+H36</f>
        <v>37494070358.887085</v>
      </c>
      <c r="I29" s="99"/>
      <c r="J29" s="99">
        <f t="shared" si="1"/>
        <v>37494070358.887085</v>
      </c>
      <c r="K29" s="576">
        <f t="shared" si="2"/>
        <v>0</v>
      </c>
    </row>
    <row r="30" spans="3:11">
      <c r="C30" s="226" t="s">
        <v>29</v>
      </c>
      <c r="D30" s="558">
        <v>9709492083.8157291</v>
      </c>
      <c r="E30" s="558"/>
      <c r="F30" s="558">
        <f t="shared" si="0"/>
        <v>9709492083.8157291</v>
      </c>
      <c r="G30" s="531"/>
      <c r="H30" s="101">
        <f>'GASTOS DE PERSONAL'!B18</f>
        <v>9709492083.8157291</v>
      </c>
      <c r="I30" s="101"/>
      <c r="J30" s="101">
        <f t="shared" si="1"/>
        <v>9709492083.8157291</v>
      </c>
      <c r="K30" s="578">
        <f t="shared" si="2"/>
        <v>0</v>
      </c>
    </row>
    <row r="31" spans="3:11">
      <c r="C31" s="226" t="s">
        <v>30</v>
      </c>
      <c r="D31" s="558">
        <v>6877556892.7028084</v>
      </c>
      <c r="E31" s="558"/>
      <c r="F31" s="558">
        <f t="shared" si="0"/>
        <v>6877556892.7028084</v>
      </c>
      <c r="G31" s="531"/>
      <c r="H31" s="101">
        <f>'GASTOS DE PERSONAL'!B19</f>
        <v>6877556892.7028084</v>
      </c>
      <c r="I31" s="101"/>
      <c r="J31" s="101">
        <f t="shared" si="1"/>
        <v>6877556892.7028084</v>
      </c>
      <c r="K31" s="578">
        <f t="shared" si="2"/>
        <v>0</v>
      </c>
    </row>
    <row r="32" spans="3:11">
      <c r="C32" s="226" t="s">
        <v>31</v>
      </c>
      <c r="D32" s="558">
        <v>8009330431.8307495</v>
      </c>
      <c r="E32" s="558"/>
      <c r="F32" s="558">
        <f t="shared" si="0"/>
        <v>8009330431.8307495</v>
      </c>
      <c r="G32" s="531"/>
      <c r="H32" s="101">
        <f>'GASTOS DE PERSONAL'!B20</f>
        <v>8009330431.8307495</v>
      </c>
      <c r="I32" s="101"/>
      <c r="J32" s="101">
        <f t="shared" si="1"/>
        <v>8009330431.8307495</v>
      </c>
      <c r="K32" s="578">
        <f t="shared" si="2"/>
        <v>0</v>
      </c>
    </row>
    <row r="33" spans="3:11" ht="25.5">
      <c r="C33" s="226" t="s">
        <v>32</v>
      </c>
      <c r="D33" s="558">
        <v>3577469038.3566122</v>
      </c>
      <c r="E33" s="558"/>
      <c r="F33" s="558">
        <f t="shared" si="0"/>
        <v>3577469038.3566122</v>
      </c>
      <c r="G33" s="531"/>
      <c r="H33" s="101">
        <f>'GASTOS DE PERSONAL'!B21</f>
        <v>3577469038.3566122</v>
      </c>
      <c r="I33" s="101"/>
      <c r="J33" s="101">
        <f t="shared" si="1"/>
        <v>3577469038.3566122</v>
      </c>
      <c r="K33" s="578">
        <f t="shared" si="2"/>
        <v>0</v>
      </c>
    </row>
    <row r="34" spans="3:11" ht="25.5">
      <c r="C34" s="226" t="s">
        <v>33</v>
      </c>
      <c r="D34" s="558">
        <v>4848385614.2354193</v>
      </c>
      <c r="E34" s="558"/>
      <c r="F34" s="558">
        <f t="shared" si="0"/>
        <v>4848385614.2354193</v>
      </c>
      <c r="G34" s="531"/>
      <c r="H34" s="101">
        <f>'GASTOS DE PERSONAL'!B22</f>
        <v>4848385614.2354193</v>
      </c>
      <c r="I34" s="101"/>
      <c r="J34" s="101">
        <f t="shared" si="1"/>
        <v>4848385614.2354193</v>
      </c>
      <c r="K34" s="578">
        <f t="shared" si="2"/>
        <v>0</v>
      </c>
    </row>
    <row r="35" spans="3:11">
      <c r="C35" s="226" t="s">
        <v>34</v>
      </c>
      <c r="D35" s="558">
        <v>2683101778.7674594</v>
      </c>
      <c r="E35" s="558"/>
      <c r="F35" s="558">
        <f t="shared" si="0"/>
        <v>2683101778.7674594</v>
      </c>
      <c r="G35" s="531"/>
      <c r="H35" s="101">
        <f>'GASTOS DE PERSONAL'!B23</f>
        <v>2683101778.7674594</v>
      </c>
      <c r="I35" s="101"/>
      <c r="J35" s="101">
        <f t="shared" si="1"/>
        <v>2683101778.7674594</v>
      </c>
      <c r="K35" s="578">
        <f t="shared" si="2"/>
        <v>0</v>
      </c>
    </row>
    <row r="36" spans="3:11">
      <c r="C36" s="226" t="s">
        <v>35</v>
      </c>
      <c r="D36" s="558">
        <v>1788734519.1783061</v>
      </c>
      <c r="E36" s="558"/>
      <c r="F36" s="558">
        <f t="shared" si="0"/>
        <v>1788734519.1783061</v>
      </c>
      <c r="G36" s="531"/>
      <c r="H36" s="101">
        <f>'GASTOS DE PERSONAL'!B24</f>
        <v>1788734519.1783061</v>
      </c>
      <c r="I36" s="101"/>
      <c r="J36" s="101">
        <f t="shared" si="1"/>
        <v>1788734519.1783061</v>
      </c>
      <c r="K36" s="578">
        <f t="shared" si="2"/>
        <v>0</v>
      </c>
    </row>
    <row r="37" spans="3:11" ht="38.25">
      <c r="C37" s="585" t="s">
        <v>36</v>
      </c>
      <c r="D37" s="549">
        <f>+D38+D42++D43+D44+D45+D50+D46+D47+D48+D51+D49</f>
        <v>9045568287.4794693</v>
      </c>
      <c r="E37" s="549"/>
      <c r="F37" s="549">
        <f t="shared" si="0"/>
        <v>9045568287.4794693</v>
      </c>
      <c r="G37" s="534"/>
      <c r="H37" s="99">
        <f>+H38+H42++H43+H44+H45+H50+H46+H47+H48+H51+H49</f>
        <v>9045568287.4794693</v>
      </c>
      <c r="I37" s="99"/>
      <c r="J37" s="99">
        <f t="shared" si="1"/>
        <v>9045568287.4794693</v>
      </c>
      <c r="K37" s="576">
        <f t="shared" si="2"/>
        <v>0</v>
      </c>
    </row>
    <row r="38" spans="3:11" ht="25.5">
      <c r="C38" s="586" t="s">
        <v>37</v>
      </c>
      <c r="D38" s="560">
        <f>SUM(D39:D41)</f>
        <v>5722245233.8199492</v>
      </c>
      <c r="E38" s="560"/>
      <c r="F38" s="560">
        <f t="shared" si="0"/>
        <v>5722245233.8199492</v>
      </c>
      <c r="G38" s="531"/>
      <c r="H38" s="101">
        <f>SUM(H39:H41)</f>
        <v>5722245233.8199492</v>
      </c>
      <c r="I38" s="101"/>
      <c r="J38" s="101">
        <f t="shared" si="1"/>
        <v>5722245233.8199492</v>
      </c>
      <c r="K38" s="578">
        <f t="shared" si="2"/>
        <v>0</v>
      </c>
    </row>
    <row r="39" spans="3:11">
      <c r="C39" s="226" t="s">
        <v>38</v>
      </c>
      <c r="D39" s="558">
        <v>251552624.56193298</v>
      </c>
      <c r="E39" s="558"/>
      <c r="F39" s="558">
        <f t="shared" si="0"/>
        <v>251552624.56193298</v>
      </c>
      <c r="G39" s="531"/>
      <c r="H39" s="101">
        <f>'GASTOS DE PERSONAL'!B27</f>
        <v>251552624.56193298</v>
      </c>
      <c r="I39" s="101"/>
      <c r="J39" s="101">
        <f t="shared" si="1"/>
        <v>251552624.56193298</v>
      </c>
      <c r="K39" s="578">
        <f t="shared" si="2"/>
        <v>0</v>
      </c>
    </row>
    <row r="40" spans="3:11">
      <c r="C40" s="226" t="s">
        <v>39</v>
      </c>
      <c r="D40" s="558">
        <v>5060499949.8845768</v>
      </c>
      <c r="E40" s="558"/>
      <c r="F40" s="558">
        <f t="shared" si="0"/>
        <v>5060499949.8845768</v>
      </c>
      <c r="G40" s="531"/>
      <c r="H40" s="101">
        <f>'GASTOS DE PERSONAL'!B28</f>
        <v>5060499949.8845768</v>
      </c>
      <c r="I40" s="101"/>
      <c r="J40" s="101">
        <f t="shared" si="1"/>
        <v>5060499949.8845768</v>
      </c>
      <c r="K40" s="578">
        <f t="shared" si="2"/>
        <v>0</v>
      </c>
    </row>
    <row r="41" spans="3:11">
      <c r="C41" s="226" t="s">
        <v>40</v>
      </c>
      <c r="D41" s="558">
        <v>410192659.37343997</v>
      </c>
      <c r="E41" s="558"/>
      <c r="F41" s="558">
        <f t="shared" si="0"/>
        <v>410192659.37343997</v>
      </c>
      <c r="G41" s="531"/>
      <c r="H41" s="101">
        <f>'GASTOS DE PERSONAL'!B29</f>
        <v>410192659.37343997</v>
      </c>
      <c r="I41" s="101"/>
      <c r="J41" s="101">
        <f t="shared" si="1"/>
        <v>410192659.37343997</v>
      </c>
      <c r="K41" s="578">
        <f t="shared" si="2"/>
        <v>0</v>
      </c>
    </row>
    <row r="42" spans="3:11">
      <c r="C42" s="226" t="s">
        <v>41</v>
      </c>
      <c r="D42" s="558">
        <v>839507158.82879996</v>
      </c>
      <c r="E42" s="558"/>
      <c r="F42" s="558">
        <f t="shared" si="0"/>
        <v>839507158.82879996</v>
      </c>
      <c r="G42" s="531"/>
      <c r="H42" s="101">
        <f>'GASTOS DE PERSONAL'!B30</f>
        <v>839507158.82879996</v>
      </c>
      <c r="I42" s="101"/>
      <c r="J42" s="101">
        <f t="shared" si="1"/>
        <v>839507158.82879996</v>
      </c>
      <c r="K42" s="578">
        <f t="shared" si="2"/>
        <v>0</v>
      </c>
    </row>
    <row r="43" spans="3:11" ht="38.25">
      <c r="C43" s="226" t="s">
        <v>42</v>
      </c>
      <c r="D43" s="558">
        <v>1479225139.6607997</v>
      </c>
      <c r="E43" s="558"/>
      <c r="F43" s="558">
        <f t="shared" si="0"/>
        <v>1479225139.6607997</v>
      </c>
      <c r="G43" s="531"/>
      <c r="H43" s="101">
        <f>'GASTOS DE PERSONAL'!B31</f>
        <v>1479225139.6607997</v>
      </c>
      <c r="I43" s="101"/>
      <c r="J43" s="101">
        <f t="shared" si="1"/>
        <v>1479225139.6607997</v>
      </c>
      <c r="K43" s="578">
        <f t="shared" si="2"/>
        <v>0</v>
      </c>
    </row>
    <row r="44" spans="3:11" ht="38.25">
      <c r="C44" s="226" t="s">
        <v>43</v>
      </c>
      <c r="D44" s="558">
        <v>0</v>
      </c>
      <c r="E44" s="558"/>
      <c r="F44" s="558">
        <f t="shared" si="0"/>
        <v>0</v>
      </c>
      <c r="G44" s="531"/>
      <c r="H44" s="101">
        <f>'GASTOS DE PERSONAL'!B32</f>
        <v>0</v>
      </c>
      <c r="I44" s="101"/>
      <c r="J44" s="101">
        <f t="shared" si="1"/>
        <v>0</v>
      </c>
      <c r="K44" s="578">
        <f t="shared" si="2"/>
        <v>0</v>
      </c>
    </row>
    <row r="45" spans="3:11">
      <c r="C45" s="226" t="s">
        <v>44</v>
      </c>
      <c r="D45" s="558">
        <v>0</v>
      </c>
      <c r="E45" s="558"/>
      <c r="F45" s="558">
        <f t="shared" ref="F45:F76" si="3">+D45+E45</f>
        <v>0</v>
      </c>
      <c r="G45" s="531"/>
      <c r="H45" s="101">
        <f>'GASTOS DE PERSONAL'!B33</f>
        <v>0</v>
      </c>
      <c r="I45" s="101"/>
      <c r="J45" s="101">
        <f t="shared" ref="J45:J76" si="4">+H45+I45</f>
        <v>0</v>
      </c>
      <c r="K45" s="578">
        <f t="shared" ref="K45:K76" si="5">+F45-J45</f>
        <v>0</v>
      </c>
    </row>
    <row r="46" spans="3:11" ht="25.5">
      <c r="C46" s="226" t="s">
        <v>45</v>
      </c>
      <c r="D46" s="558">
        <v>132756304.66560002</v>
      </c>
      <c r="E46" s="558"/>
      <c r="F46" s="558">
        <f t="shared" si="3"/>
        <v>132756304.66560002</v>
      </c>
      <c r="G46" s="531"/>
      <c r="H46" s="101">
        <f>'GASTOS DE PERSONAL'!B34</f>
        <v>132756304.66560002</v>
      </c>
      <c r="I46" s="101"/>
      <c r="J46" s="101">
        <f t="shared" si="4"/>
        <v>132756304.66560002</v>
      </c>
      <c r="K46" s="578">
        <f t="shared" si="5"/>
        <v>0</v>
      </c>
    </row>
    <row r="47" spans="3:11">
      <c r="C47" s="226" t="s">
        <v>46</v>
      </c>
      <c r="D47" s="558">
        <v>14297406.0768</v>
      </c>
      <c r="E47" s="558"/>
      <c r="F47" s="558">
        <f t="shared" si="3"/>
        <v>14297406.0768</v>
      </c>
      <c r="G47" s="531"/>
      <c r="H47" s="101">
        <f>'GASTOS DE PERSONAL'!B35</f>
        <v>14297406.0768</v>
      </c>
      <c r="I47" s="101"/>
      <c r="J47" s="101">
        <f t="shared" si="4"/>
        <v>14297406.0768</v>
      </c>
      <c r="K47" s="578">
        <f t="shared" si="5"/>
        <v>0</v>
      </c>
    </row>
    <row r="48" spans="3:11">
      <c r="C48" s="226" t="s">
        <v>47</v>
      </c>
      <c r="D48" s="558">
        <v>554164492.65408003</v>
      </c>
      <c r="E48" s="558"/>
      <c r="F48" s="558">
        <f t="shared" si="3"/>
        <v>554164492.65408003</v>
      </c>
      <c r="G48" s="531"/>
      <c r="H48" s="101">
        <f>'GASTOS DE PERSONAL'!B36</f>
        <v>554164492.65408003</v>
      </c>
      <c r="I48" s="101"/>
      <c r="J48" s="101">
        <f t="shared" si="4"/>
        <v>554164492.65408003</v>
      </c>
      <c r="K48" s="578">
        <f t="shared" si="5"/>
        <v>0</v>
      </c>
    </row>
    <row r="49" spans="3:12">
      <c r="C49" s="226" t="s">
        <v>48</v>
      </c>
      <c r="D49" s="558">
        <v>202516848</v>
      </c>
      <c r="E49" s="558"/>
      <c r="F49" s="558">
        <f t="shared" si="3"/>
        <v>202516848</v>
      </c>
      <c r="G49" s="531"/>
      <c r="H49" s="101">
        <f>'GASTOS DE PERSONAL'!B37</f>
        <v>202516848</v>
      </c>
      <c r="I49" s="101"/>
      <c r="J49" s="101">
        <f t="shared" si="4"/>
        <v>202516848</v>
      </c>
      <c r="K49" s="578">
        <f t="shared" si="5"/>
        <v>0</v>
      </c>
    </row>
    <row r="50" spans="3:12">
      <c r="C50" s="226" t="s">
        <v>49</v>
      </c>
      <c r="D50" s="558">
        <v>36539125.539839998</v>
      </c>
      <c r="E50" s="558"/>
      <c r="F50" s="558">
        <f t="shared" si="3"/>
        <v>36539125.539839998</v>
      </c>
      <c r="G50" s="531"/>
      <c r="H50" s="101">
        <f>'GASTOS DE PERSONAL'!B38</f>
        <v>36539125.539839998</v>
      </c>
      <c r="I50" s="101"/>
      <c r="J50" s="101">
        <f t="shared" si="4"/>
        <v>36539125.539839998</v>
      </c>
      <c r="K50" s="578">
        <f t="shared" si="5"/>
        <v>0</v>
      </c>
    </row>
    <row r="51" spans="3:12">
      <c r="C51" s="226" t="s">
        <v>50</v>
      </c>
      <c r="D51" s="558">
        <v>64316578.233599998</v>
      </c>
      <c r="E51" s="558"/>
      <c r="F51" s="558">
        <f t="shared" si="3"/>
        <v>64316578.233599998</v>
      </c>
      <c r="G51" s="531"/>
      <c r="H51" s="101">
        <f>'GASTOS DE PERSONAL'!B39</f>
        <v>64316578.233599998</v>
      </c>
      <c r="I51" s="101"/>
      <c r="J51" s="101">
        <f t="shared" si="4"/>
        <v>64316578.233599998</v>
      </c>
      <c r="K51" s="578">
        <f t="shared" si="5"/>
        <v>0</v>
      </c>
    </row>
    <row r="52" spans="3:12" ht="25.5">
      <c r="C52" s="587" t="s">
        <v>51</v>
      </c>
      <c r="D52" s="550">
        <f>+D53+D63</f>
        <v>1645961939934.249</v>
      </c>
      <c r="E52" s="550"/>
      <c r="F52" s="550">
        <f t="shared" si="3"/>
        <v>1645961939934.249</v>
      </c>
      <c r="G52" s="533"/>
      <c r="H52" s="104">
        <f>+H53+H63</f>
        <v>3420659248744.9258</v>
      </c>
      <c r="I52" s="104"/>
      <c r="J52" s="104">
        <f t="shared" si="4"/>
        <v>3420659248744.9258</v>
      </c>
      <c r="K52" s="581">
        <f t="shared" si="5"/>
        <v>-1774697308810.6768</v>
      </c>
    </row>
    <row r="53" spans="3:12" ht="25.5">
      <c r="C53" s="588" t="s">
        <v>52</v>
      </c>
      <c r="D53" s="551">
        <f>+D54+D60</f>
        <v>4378010520</v>
      </c>
      <c r="E53" s="551"/>
      <c r="F53" s="551">
        <f t="shared" si="3"/>
        <v>4378010520</v>
      </c>
      <c r="G53" s="533"/>
      <c r="H53" s="105">
        <f>+H54+H60</f>
        <v>9933354000</v>
      </c>
      <c r="I53" s="105"/>
      <c r="J53" s="105">
        <f t="shared" si="4"/>
        <v>9933354000</v>
      </c>
      <c r="K53" s="582">
        <f t="shared" si="5"/>
        <v>-5555343480</v>
      </c>
    </row>
    <row r="54" spans="3:12">
      <c r="C54" s="585" t="s">
        <v>53</v>
      </c>
      <c r="D54" s="549">
        <f>SUM(D55:D59)</f>
        <v>4378010520</v>
      </c>
      <c r="E54" s="549"/>
      <c r="F54" s="549">
        <f t="shared" si="3"/>
        <v>4378010520</v>
      </c>
      <c r="G54" s="534"/>
      <c r="H54" s="99">
        <f>SUM(H55:H59)</f>
        <v>9933354000</v>
      </c>
      <c r="I54" s="99"/>
      <c r="J54" s="99">
        <f t="shared" si="4"/>
        <v>9933354000</v>
      </c>
      <c r="K54" s="576">
        <f t="shared" si="5"/>
        <v>-5555343480</v>
      </c>
      <c r="L54" s="603"/>
    </row>
    <row r="55" spans="3:12" s="53" customFormat="1">
      <c r="C55" s="226" t="s">
        <v>54</v>
      </c>
      <c r="D55" s="558">
        <v>0</v>
      </c>
      <c r="E55" s="558"/>
      <c r="F55" s="558">
        <f t="shared" si="3"/>
        <v>0</v>
      </c>
      <c r="G55" s="531"/>
      <c r="H55" s="101">
        <f>+'ACTIVOS FIJOS'!G8</f>
        <v>0</v>
      </c>
      <c r="I55" s="101"/>
      <c r="J55" s="101">
        <f t="shared" si="4"/>
        <v>0</v>
      </c>
      <c r="K55" s="578">
        <f t="shared" si="5"/>
        <v>0</v>
      </c>
      <c r="L55" s="603"/>
    </row>
    <row r="56" spans="3:12" s="53" customFormat="1">
      <c r="C56" s="226" t="s">
        <v>55</v>
      </c>
      <c r="D56" s="558">
        <v>1030000000</v>
      </c>
      <c r="E56" s="558"/>
      <c r="F56" s="558">
        <f t="shared" si="3"/>
        <v>1030000000</v>
      </c>
      <c r="G56" s="531"/>
      <c r="H56" s="101">
        <f>+'ACTIVOS FIJOS'!G20</f>
        <v>1030000000</v>
      </c>
      <c r="I56" s="101"/>
      <c r="J56" s="101">
        <f t="shared" si="4"/>
        <v>1030000000</v>
      </c>
      <c r="K56" s="578">
        <f t="shared" si="5"/>
        <v>0</v>
      </c>
      <c r="L56" s="603">
        <f t="shared" ref="L56:L101" si="6">+F56/J56</f>
        <v>1</v>
      </c>
    </row>
    <row r="57" spans="3:12" s="53" customFormat="1" ht="25.5">
      <c r="C57" s="226" t="s">
        <v>56</v>
      </c>
      <c r="D57" s="101">
        <v>1023420000</v>
      </c>
      <c r="E57" s="558"/>
      <c r="F57" s="558">
        <f t="shared" si="3"/>
        <v>1023420000</v>
      </c>
      <c r="G57" s="531"/>
      <c r="H57" s="101">
        <f>+'ACTIVOS FIJOS'!G31</f>
        <v>1023420000</v>
      </c>
      <c r="I57" s="101"/>
      <c r="J57" s="101">
        <f t="shared" si="4"/>
        <v>1023420000</v>
      </c>
      <c r="K57" s="606">
        <f t="shared" si="5"/>
        <v>0</v>
      </c>
      <c r="L57" s="603">
        <f t="shared" si="6"/>
        <v>1</v>
      </c>
    </row>
    <row r="58" spans="3:12" s="53" customFormat="1">
      <c r="C58" s="226" t="s">
        <v>57</v>
      </c>
      <c r="D58" s="558">
        <v>2324590520</v>
      </c>
      <c r="E58" s="558"/>
      <c r="F58" s="558">
        <f t="shared" si="3"/>
        <v>2324590520</v>
      </c>
      <c r="G58" s="531"/>
      <c r="H58" s="101">
        <f>+'ACTIVOS FIJOS'!G43</f>
        <v>7879934000</v>
      </c>
      <c r="I58" s="101"/>
      <c r="J58" s="101">
        <f t="shared" si="4"/>
        <v>7879934000</v>
      </c>
      <c r="K58" s="619">
        <f t="shared" si="5"/>
        <v>-5555343480</v>
      </c>
      <c r="L58" s="603">
        <f t="shared" si="6"/>
        <v>0.29500126777711588</v>
      </c>
    </row>
    <row r="59" spans="3:12" s="53" customFormat="1">
      <c r="C59" s="226" t="s">
        <v>58</v>
      </c>
      <c r="D59" s="558">
        <v>0</v>
      </c>
      <c r="E59" s="558"/>
      <c r="F59" s="558">
        <f t="shared" si="3"/>
        <v>0</v>
      </c>
      <c r="G59" s="531"/>
      <c r="H59" s="101">
        <f>+'ACTIVOS FIJOS'!G55</f>
        <v>0</v>
      </c>
      <c r="I59" s="101"/>
      <c r="J59" s="101">
        <f t="shared" si="4"/>
        <v>0</v>
      </c>
      <c r="K59" s="606">
        <f t="shared" si="5"/>
        <v>0</v>
      </c>
      <c r="L59" s="603" t="e">
        <f t="shared" si="6"/>
        <v>#DIV/0!</v>
      </c>
    </row>
    <row r="60" spans="3:12">
      <c r="C60" s="585" t="s">
        <v>59</v>
      </c>
      <c r="D60" s="549">
        <f>SUM(D61:D62)</f>
        <v>0</v>
      </c>
      <c r="E60" s="549"/>
      <c r="F60" s="549">
        <f t="shared" si="3"/>
        <v>0</v>
      </c>
      <c r="G60" s="534"/>
      <c r="H60" s="99">
        <f>SUM(H61:H62)</f>
        <v>0</v>
      </c>
      <c r="I60" s="99"/>
      <c r="J60" s="99">
        <f t="shared" si="4"/>
        <v>0</v>
      </c>
      <c r="K60" s="607">
        <f t="shared" si="5"/>
        <v>0</v>
      </c>
      <c r="L60" s="603" t="e">
        <f t="shared" si="6"/>
        <v>#DIV/0!</v>
      </c>
    </row>
    <row r="61" spans="3:12" s="53" customFormat="1">
      <c r="C61" s="226" t="s">
        <v>60</v>
      </c>
      <c r="D61" s="558">
        <v>0</v>
      </c>
      <c r="E61" s="558"/>
      <c r="F61" s="558">
        <f t="shared" si="3"/>
        <v>0</v>
      </c>
      <c r="G61" s="531"/>
      <c r="H61" s="106">
        <f>'ACTIVOS NO PRODUCIDOS'!G8</f>
        <v>0</v>
      </c>
      <c r="I61" s="106"/>
      <c r="J61" s="106">
        <f t="shared" si="4"/>
        <v>0</v>
      </c>
      <c r="K61" s="608">
        <f t="shared" si="5"/>
        <v>0</v>
      </c>
      <c r="L61" s="603" t="e">
        <f t="shared" si="6"/>
        <v>#DIV/0!</v>
      </c>
    </row>
    <row r="62" spans="3:12" s="53" customFormat="1" ht="25.5">
      <c r="C62" s="226" t="s">
        <v>61</v>
      </c>
      <c r="D62" s="558">
        <v>0</v>
      </c>
      <c r="E62" s="558"/>
      <c r="F62" s="558">
        <f t="shared" si="3"/>
        <v>0</v>
      </c>
      <c r="G62" s="531"/>
      <c r="H62" s="106">
        <f>'ACTIVOS NO PRODUCIDOS'!G20</f>
        <v>0</v>
      </c>
      <c r="I62" s="106"/>
      <c r="J62" s="106">
        <f t="shared" si="4"/>
        <v>0</v>
      </c>
      <c r="K62" s="608">
        <f t="shared" si="5"/>
        <v>0</v>
      </c>
      <c r="L62" s="603" t="e">
        <f t="shared" si="6"/>
        <v>#DIV/0!</v>
      </c>
    </row>
    <row r="63" spans="3:12" ht="25.5">
      <c r="C63" s="588" t="s">
        <v>62</v>
      </c>
      <c r="D63" s="551">
        <f>+D64+D71</f>
        <v>1641583929414.249</v>
      </c>
      <c r="E63" s="551"/>
      <c r="F63" s="551">
        <f t="shared" si="3"/>
        <v>1641583929414.249</v>
      </c>
      <c r="G63" s="533"/>
      <c r="H63" s="105">
        <f>+H64+H71</f>
        <v>3410725894744.9258</v>
      </c>
      <c r="I63" s="105"/>
      <c r="J63" s="105">
        <f t="shared" si="4"/>
        <v>3410725894744.9258</v>
      </c>
      <c r="K63" s="609">
        <f t="shared" si="5"/>
        <v>-1769141965330.6768</v>
      </c>
      <c r="L63" s="603">
        <f t="shared" si="6"/>
        <v>0.48130045628806428</v>
      </c>
    </row>
    <row r="64" spans="3:12">
      <c r="C64" s="585" t="s">
        <v>63</v>
      </c>
      <c r="D64" s="549">
        <f>SUM(D65:D70)</f>
        <v>89247460452.710007</v>
      </c>
      <c r="E64" s="549"/>
      <c r="F64" s="549">
        <f t="shared" si="3"/>
        <v>89247460452.710007</v>
      </c>
      <c r="G64" s="534"/>
      <c r="H64" s="99">
        <f>SUM(H65:H70)</f>
        <v>133520891318.774</v>
      </c>
      <c r="I64" s="99"/>
      <c r="J64" s="99">
        <f t="shared" si="4"/>
        <v>133520891318.774</v>
      </c>
      <c r="K64" s="607">
        <f t="shared" si="5"/>
        <v>-44273430866.063995</v>
      </c>
      <c r="L64" s="603">
        <f t="shared" si="6"/>
        <v>0.66841570312496235</v>
      </c>
    </row>
    <row r="65" spans="3:16" ht="25.5">
      <c r="C65" s="226" t="s">
        <v>64</v>
      </c>
      <c r="D65" s="558">
        <v>0</v>
      </c>
      <c r="E65" s="558"/>
      <c r="F65" s="558">
        <f t="shared" si="3"/>
        <v>0</v>
      </c>
      <c r="G65" s="531"/>
      <c r="H65" s="101">
        <f>'MATERIALES Y SUMINISTROS'!H16</f>
        <v>0</v>
      </c>
      <c r="I65" s="101"/>
      <c r="J65" s="101">
        <f t="shared" si="4"/>
        <v>0</v>
      </c>
      <c r="K65" s="610">
        <f t="shared" si="5"/>
        <v>0</v>
      </c>
      <c r="L65" s="603" t="e">
        <f t="shared" si="6"/>
        <v>#DIV/0!</v>
      </c>
    </row>
    <row r="66" spans="3:16" ht="25.5">
      <c r="C66" s="589" t="s">
        <v>65</v>
      </c>
      <c r="D66" s="561">
        <v>0</v>
      </c>
      <c r="E66" s="561"/>
      <c r="F66" s="561">
        <f t="shared" si="3"/>
        <v>0</v>
      </c>
      <c r="G66" s="538"/>
      <c r="H66" s="106">
        <f>'MATERIALES Y SUMINISTROS'!H28</f>
        <v>0</v>
      </c>
      <c r="I66" s="106"/>
      <c r="J66" s="106">
        <f t="shared" si="4"/>
        <v>0</v>
      </c>
      <c r="K66" s="611">
        <f t="shared" si="5"/>
        <v>0</v>
      </c>
      <c r="L66" s="603" t="e">
        <f t="shared" si="6"/>
        <v>#DIV/0!</v>
      </c>
    </row>
    <row r="67" spans="3:16" ht="51">
      <c r="C67" s="226" t="s">
        <v>66</v>
      </c>
      <c r="D67" s="558">
        <v>11757632129.75</v>
      </c>
      <c r="E67" s="558"/>
      <c r="F67" s="558">
        <f t="shared" si="3"/>
        <v>11757632129.75</v>
      </c>
      <c r="G67" s="531"/>
      <c r="H67" s="101">
        <f>'MATERIALES Y SUMINISTROS'!H40</f>
        <v>13179032129.75</v>
      </c>
      <c r="I67" s="101"/>
      <c r="J67" s="101">
        <f t="shared" si="4"/>
        <v>13179032129.75</v>
      </c>
      <c r="K67" s="610">
        <f t="shared" si="5"/>
        <v>-1421400000</v>
      </c>
      <c r="L67" s="603">
        <f t="shared" si="6"/>
        <v>0.89214685979925878</v>
      </c>
    </row>
    <row r="68" spans="3:16" ht="51">
      <c r="C68" s="226" t="s">
        <v>67</v>
      </c>
      <c r="D68" s="564">
        <v>65327578322.960007</v>
      </c>
      <c r="E68" s="558"/>
      <c r="F68" s="558">
        <f t="shared" si="3"/>
        <v>65327578322.960007</v>
      </c>
      <c r="G68" s="531"/>
      <c r="H68" s="101">
        <f>+'MATERIALES Y SUMINISTROS'!H52</f>
        <v>90192459189.024002</v>
      </c>
      <c r="I68" s="101"/>
      <c r="J68" s="101">
        <f t="shared" si="4"/>
        <v>90192459189.024002</v>
      </c>
      <c r="K68" s="610">
        <f t="shared" si="5"/>
        <v>-24864880866.063995</v>
      </c>
      <c r="L68" s="603">
        <f t="shared" si="6"/>
        <v>0.72431308460109123</v>
      </c>
    </row>
    <row r="69" spans="3:16" ht="25.5">
      <c r="C69" s="226" t="s">
        <v>68</v>
      </c>
      <c r="D69" s="564">
        <v>10943850000</v>
      </c>
      <c r="E69" s="558"/>
      <c r="F69" s="558">
        <f t="shared" si="3"/>
        <v>10943850000</v>
      </c>
      <c r="G69" s="531"/>
      <c r="H69" s="101">
        <f>'MATERIALES Y SUMINISTROS'!H64</f>
        <v>28931000000</v>
      </c>
      <c r="I69" s="101"/>
      <c r="J69" s="101">
        <f t="shared" si="4"/>
        <v>28931000000</v>
      </c>
      <c r="K69" s="610">
        <f t="shared" si="5"/>
        <v>-17987150000</v>
      </c>
      <c r="L69" s="603">
        <f t="shared" si="6"/>
        <v>0.37827416957588744</v>
      </c>
    </row>
    <row r="70" spans="3:16" ht="25.5">
      <c r="C70" s="590" t="s">
        <v>69</v>
      </c>
      <c r="D70" s="666">
        <v>1218400000</v>
      </c>
      <c r="E70" s="562"/>
      <c r="F70" s="562">
        <f t="shared" si="3"/>
        <v>1218400000</v>
      </c>
      <c r="G70" s="531"/>
      <c r="H70" s="101">
        <f>'MATERIALES Y SUMINISTROS'!H76</f>
        <v>1218400000</v>
      </c>
      <c r="I70" s="101"/>
      <c r="J70" s="101">
        <f t="shared" si="4"/>
        <v>1218400000</v>
      </c>
      <c r="K70" s="610">
        <f t="shared" si="5"/>
        <v>0</v>
      </c>
      <c r="L70" s="603">
        <f t="shared" si="6"/>
        <v>1</v>
      </c>
    </row>
    <row r="71" spans="3:16">
      <c r="C71" s="585" t="s">
        <v>70</v>
      </c>
      <c r="D71" s="549">
        <f>SUM(D72:D77)</f>
        <v>1552336468961.5391</v>
      </c>
      <c r="E71" s="549"/>
      <c r="F71" s="549">
        <f t="shared" si="3"/>
        <v>1552336468961.5391</v>
      </c>
      <c r="G71" s="534"/>
      <c r="H71" s="99">
        <f>SUM(H72:H77)</f>
        <v>3277205003426.1519</v>
      </c>
      <c r="I71" s="99"/>
      <c r="J71" s="99">
        <f t="shared" si="4"/>
        <v>3277205003426.1519</v>
      </c>
      <c r="K71" s="607">
        <f t="shared" si="5"/>
        <v>-1724868534464.6128</v>
      </c>
      <c r="L71" s="603">
        <f t="shared" si="6"/>
        <v>0.47367694951602046</v>
      </c>
    </row>
    <row r="72" spans="3:16" ht="42.75" customHeight="1">
      <c r="C72" s="226" t="s">
        <v>71</v>
      </c>
      <c r="D72" s="558">
        <v>1641820000</v>
      </c>
      <c r="E72" s="558"/>
      <c r="F72" s="558">
        <f t="shared" si="3"/>
        <v>1641820000</v>
      </c>
      <c r="G72" s="531"/>
      <c r="H72" s="101">
        <f>'ADQUISICIÓN DE SERVICIOS'!G16</f>
        <v>1641820000</v>
      </c>
      <c r="I72" s="101"/>
      <c r="J72" s="101">
        <f t="shared" si="4"/>
        <v>1641820000</v>
      </c>
      <c r="K72" s="606">
        <f t="shared" si="5"/>
        <v>0</v>
      </c>
      <c r="L72" s="603">
        <f t="shared" si="6"/>
        <v>1</v>
      </c>
      <c r="M72" s="641"/>
      <c r="N72" s="641"/>
      <c r="O72" s="641"/>
    </row>
    <row r="73" spans="3:16" ht="76.5">
      <c r="C73" s="589" t="s">
        <v>72</v>
      </c>
      <c r="D73" s="563">
        <v>17578121293.200001</v>
      </c>
      <c r="E73" s="563"/>
      <c r="F73" s="563">
        <f t="shared" si="3"/>
        <v>17578121293.200001</v>
      </c>
      <c r="G73" s="538"/>
      <c r="H73" s="106">
        <f>+'VIÁTICOS,GASTOS DE VIAJE,TIQUET'!H58+'ADQUISICIÓN DE SERVICIOS'!G28+'VIÁTICOS,GASTOS DE VIAJE,TIQUET'!H70+'SERVICIOS PÚBLICOS.'!B218+'SERVICIOS PÚBLICOS.'!B219</f>
        <v>19123121289.965801</v>
      </c>
      <c r="I73" s="106"/>
      <c r="J73" s="106">
        <f t="shared" si="4"/>
        <v>19123121289.965801</v>
      </c>
      <c r="K73" s="612">
        <f t="shared" si="5"/>
        <v>-1544999996.7658005</v>
      </c>
      <c r="L73" s="603">
        <f t="shared" si="6"/>
        <v>0.91920774996200616</v>
      </c>
      <c r="M73" s="655">
        <f>+'ADQUISICIÓN DE SERVICIOS'!I28</f>
        <v>1700633000</v>
      </c>
      <c r="N73" s="655">
        <f>+'VIÁTICOS,GASTOS DE VIAJE,TIQUET'!J70</f>
        <v>10270596384</v>
      </c>
      <c r="O73" s="655">
        <f>+'SERVICIOS PÚBLICOS.'!D218</f>
        <v>2070330566</v>
      </c>
    </row>
    <row r="74" spans="3:16" ht="63.75">
      <c r="C74" s="226" t="s">
        <v>73</v>
      </c>
      <c r="D74" s="564">
        <v>374989350259.46997</v>
      </c>
      <c r="E74" s="564"/>
      <c r="F74" s="564">
        <f t="shared" si="3"/>
        <v>374989350259.46997</v>
      </c>
      <c r="G74" s="531"/>
      <c r="H74" s="106">
        <f>'ADQUISICIÓN DE SERVICIOS'!G40+'HOMBRES DE PROTECCIÓN Y VEHICUL'!G16</f>
        <v>1001526894262.0007</v>
      </c>
      <c r="I74" s="106"/>
      <c r="J74" s="106">
        <f t="shared" si="4"/>
        <v>1001526894262.0007</v>
      </c>
      <c r="K74" s="612">
        <f t="shared" si="5"/>
        <v>-626537544002.53076</v>
      </c>
      <c r="L74" s="603">
        <f t="shared" si="6"/>
        <v>0.37441765409184535</v>
      </c>
      <c r="M74" s="651">
        <f>+'ADQUISICIÓN DE SERVICIOS'!G40</f>
        <v>40194094814.719994</v>
      </c>
      <c r="N74" s="652">
        <v>334795255444.75</v>
      </c>
      <c r="O74" s="652"/>
      <c r="P74" s="653"/>
    </row>
    <row r="75" spans="3:16" ht="51">
      <c r="C75" s="226" t="s">
        <v>74</v>
      </c>
      <c r="D75" s="564">
        <v>1087000423194.8199</v>
      </c>
      <c r="E75" s="564"/>
      <c r="F75" s="564">
        <f t="shared" si="3"/>
        <v>1087000423194.8199</v>
      </c>
      <c r="G75" s="531"/>
      <c r="H75" s="512">
        <f>+'SERVICIOS PERSONALES INDIRECTOS'!G38+'SERVICIOS PÚBLICOS.'!B220+'SERVICIOS PÚBLICOS.'!B221+'SERVICIOS PÚBLICOS.'!B222+'ADQUISICIÓN DE SERVICIOS'!G52+'HOMBRES DE PROTECCIÓN Y VEHICUL'!G27</f>
        <v>2144613203538.623</v>
      </c>
      <c r="I75" s="106"/>
      <c r="J75" s="106">
        <f t="shared" si="4"/>
        <v>2144613203538.623</v>
      </c>
      <c r="K75" s="612">
        <f t="shared" si="5"/>
        <v>-1057612780343.8031</v>
      </c>
      <c r="L75" s="603">
        <f t="shared" si="6"/>
        <v>0.50685150189379768</v>
      </c>
      <c r="M75" s="654">
        <v>19872306277.200001</v>
      </c>
      <c r="N75" s="654">
        <v>157388144</v>
      </c>
      <c r="O75" s="654">
        <v>9237435642.2600098</v>
      </c>
      <c r="P75" s="654">
        <v>1057733293131.36</v>
      </c>
    </row>
    <row r="76" spans="3:16" ht="25.5">
      <c r="C76" s="226" t="s">
        <v>75</v>
      </c>
      <c r="D76" s="558">
        <v>15634709214.04911</v>
      </c>
      <c r="E76" s="558"/>
      <c r="F76" s="558">
        <f t="shared" si="3"/>
        <v>15634709214.04911</v>
      </c>
      <c r="G76" s="531"/>
      <c r="H76" s="106">
        <f>'ADQUISICIÓN DE SERVICIOS'!G65+'SERVICIOS PÚBLICOS.'!B217</f>
        <v>17170734335.562099</v>
      </c>
      <c r="I76" s="106"/>
      <c r="J76" s="106">
        <f t="shared" si="4"/>
        <v>17170734335.562099</v>
      </c>
      <c r="K76" s="612">
        <f t="shared" si="5"/>
        <v>-1536025121.512989</v>
      </c>
      <c r="L76" s="664">
        <f t="shared" si="6"/>
        <v>0.9105440051954129</v>
      </c>
      <c r="M76" s="654">
        <f>+'SERVICIOS PÚBLICOS.'!C217</f>
        <v>720407615</v>
      </c>
      <c r="N76" s="654">
        <v>14914301599.04911</v>
      </c>
      <c r="O76" s="654"/>
      <c r="P76" s="654"/>
    </row>
    <row r="77" spans="3:16" ht="25.5">
      <c r="C77" s="226" t="s">
        <v>76</v>
      </c>
      <c r="D77" s="558">
        <f>47610145000+7881900000</f>
        <v>55492045000</v>
      </c>
      <c r="E77" s="558"/>
      <c r="F77" s="558">
        <f t="shared" ref="F77:F79" si="7">+D77+E77</f>
        <v>55492045000</v>
      </c>
      <c r="G77" s="531"/>
      <c r="H77" s="106">
        <f>'VIÁTICOS,GASTOS DE VIAJE,TIQUET'!H31</f>
        <v>93129230000</v>
      </c>
      <c r="I77" s="106"/>
      <c r="J77" s="106">
        <f t="shared" ref="J77:J79" si="8">+H77+I77</f>
        <v>93129230000</v>
      </c>
      <c r="K77" s="612">
        <f t="shared" ref="K77:K101" si="9">+F77-J77</f>
        <v>-37637185000</v>
      </c>
      <c r="L77" s="603">
        <f t="shared" si="6"/>
        <v>0.59586066587257303</v>
      </c>
      <c r="M77" s="630"/>
      <c r="N77" s="665"/>
      <c r="O77" s="634">
        <f>+F75-SUM(M75:P75)</f>
        <v>0</v>
      </c>
    </row>
    <row r="78" spans="3:16">
      <c r="C78" s="587" t="s">
        <v>77</v>
      </c>
      <c r="D78" s="550">
        <f>SUM(D79:D82)</f>
        <v>108110392596.3</v>
      </c>
      <c r="E78" s="550"/>
      <c r="F78" s="550">
        <f t="shared" si="7"/>
        <v>108110392596.3</v>
      </c>
      <c r="G78" s="533"/>
      <c r="H78" s="104">
        <f>SUM(H79:H82)</f>
        <v>127846322964.63995</v>
      </c>
      <c r="I78" s="104"/>
      <c r="J78" s="104">
        <f t="shared" si="8"/>
        <v>127846322964.63995</v>
      </c>
      <c r="K78" s="613">
        <f t="shared" si="9"/>
        <v>-19735930368.339951</v>
      </c>
      <c r="L78" s="603">
        <f t="shared" si="6"/>
        <v>0.84562770433531698</v>
      </c>
    </row>
    <row r="79" spans="3:16" ht="51">
      <c r="C79" s="226" t="s">
        <v>78</v>
      </c>
      <c r="D79" s="564">
        <v>23960850454.579903</v>
      </c>
      <c r="E79" s="558"/>
      <c r="F79" s="558">
        <f t="shared" si="7"/>
        <v>23960850454.579903</v>
      </c>
      <c r="G79" s="531"/>
      <c r="H79" s="106">
        <f>'GASTOS DE PERSONAL'!B41</f>
        <v>23960850454.579948</v>
      </c>
      <c r="I79" s="106"/>
      <c r="J79" s="106">
        <f t="shared" si="8"/>
        <v>23960850454.579948</v>
      </c>
      <c r="K79" s="611">
        <f t="shared" si="9"/>
        <v>-4.57763671875E-5</v>
      </c>
      <c r="L79" s="603">
        <f t="shared" si="6"/>
        <v>0.99999999999999811</v>
      </c>
      <c r="M79" s="51">
        <v>10206819666.079901</v>
      </c>
    </row>
    <row r="80" spans="3:16" ht="38.25">
      <c r="C80" s="226" t="s">
        <v>79</v>
      </c>
      <c r="D80" s="558">
        <v>33670655353.2201</v>
      </c>
      <c r="E80" s="558"/>
      <c r="F80" s="558">
        <f>+D80</f>
        <v>33670655353.2201</v>
      </c>
      <c r="G80" s="531"/>
      <c r="H80" s="106">
        <f>+'APOYOS DE PROTEC Y ENFOQUE DIF '!G52</f>
        <v>53406585721.559998</v>
      </c>
      <c r="I80" s="106"/>
      <c r="J80" s="106">
        <f>+H80</f>
        <v>53406585721.559998</v>
      </c>
      <c r="K80" s="611">
        <f t="shared" si="9"/>
        <v>-19735930368.339897</v>
      </c>
      <c r="L80" s="603">
        <f t="shared" si="6"/>
        <v>0.63045886379565752</v>
      </c>
      <c r="M80" s="665">
        <f>+D79+M79</f>
        <v>34167670120.659805</v>
      </c>
    </row>
    <row r="81" spans="1:13">
      <c r="C81" s="586" t="s">
        <v>80</v>
      </c>
      <c r="D81" s="560">
        <v>13754030788.5</v>
      </c>
      <c r="E81" s="560"/>
      <c r="F81" s="560">
        <f t="shared" ref="F81:F101" si="10">+D81+E81</f>
        <v>13754030788.5</v>
      </c>
      <c r="G81" s="531"/>
      <c r="H81" s="106">
        <f>+'SENTENCIAS Y CONCILIACIONES'!F27</f>
        <v>13754030788.5</v>
      </c>
      <c r="I81" s="106"/>
      <c r="J81" s="106">
        <f t="shared" ref="J81:J101" si="11">+H81+I81</f>
        <v>13754030788.5</v>
      </c>
      <c r="K81" s="611">
        <f t="shared" si="9"/>
        <v>0</v>
      </c>
      <c r="L81" s="603">
        <f t="shared" si="6"/>
        <v>1</v>
      </c>
      <c r="M81" s="665">
        <f>+D80-M79</f>
        <v>23463835687.140198</v>
      </c>
    </row>
    <row r="82" spans="1:13" ht="38.25">
      <c r="C82" s="226" t="s">
        <v>81</v>
      </c>
      <c r="D82" s="564">
        <f>+H82</f>
        <v>36724856000</v>
      </c>
      <c r="E82" s="558"/>
      <c r="F82" s="558">
        <f t="shared" si="10"/>
        <v>36724856000</v>
      </c>
      <c r="G82" s="531"/>
      <c r="H82" s="106">
        <f>+'APOYOS DE PROTEC Y ENFOQUE DIF '!G16+'APOYOS DE PROTEC Y ENFOQUE DIF '!G28+'APOYOS DE PROTEC Y ENFOQUE DIF '!G40</f>
        <v>36724856000</v>
      </c>
      <c r="I82" s="106"/>
      <c r="J82" s="106">
        <f t="shared" si="11"/>
        <v>36724856000</v>
      </c>
      <c r="K82" s="612">
        <f t="shared" si="9"/>
        <v>0</v>
      </c>
      <c r="L82" s="603">
        <f t="shared" si="6"/>
        <v>1</v>
      </c>
    </row>
    <row r="83" spans="1:13" ht="25.5">
      <c r="C83" s="587" t="s">
        <v>82</v>
      </c>
      <c r="D83" s="550"/>
      <c r="E83" s="550">
        <v>175999602000</v>
      </c>
      <c r="F83" s="550">
        <f t="shared" si="10"/>
        <v>175999602000</v>
      </c>
      <c r="G83" s="539"/>
      <c r="H83" s="104"/>
      <c r="I83" s="104">
        <f>+I84+I86</f>
        <v>175999602000</v>
      </c>
      <c r="J83" s="104">
        <f t="shared" si="11"/>
        <v>175999602000</v>
      </c>
      <c r="K83" s="613">
        <f t="shared" si="9"/>
        <v>0</v>
      </c>
      <c r="L83" s="603">
        <f t="shared" si="6"/>
        <v>1</v>
      </c>
    </row>
    <row r="84" spans="1:13" ht="51">
      <c r="C84" s="591" t="s">
        <v>83</v>
      </c>
      <c r="D84" s="552"/>
      <c r="E84" s="552">
        <v>143381562000</v>
      </c>
      <c r="F84" s="552">
        <f t="shared" si="10"/>
        <v>143381562000</v>
      </c>
      <c r="G84" s="540"/>
      <c r="H84" s="107"/>
      <c r="I84" s="107">
        <f>+I85</f>
        <v>143381562000</v>
      </c>
      <c r="J84" s="107">
        <f t="shared" si="11"/>
        <v>143381562000</v>
      </c>
      <c r="K84" s="614">
        <f t="shared" si="9"/>
        <v>0</v>
      </c>
      <c r="L84" s="603">
        <f t="shared" si="6"/>
        <v>1</v>
      </c>
    </row>
    <row r="85" spans="1:13" ht="38.25">
      <c r="C85" s="586" t="s">
        <v>84</v>
      </c>
      <c r="D85" s="553"/>
      <c r="E85" s="553">
        <v>143381562000</v>
      </c>
      <c r="F85" s="553">
        <f t="shared" si="10"/>
        <v>143381562000</v>
      </c>
      <c r="G85" s="531"/>
      <c r="H85" s="106"/>
      <c r="I85" s="106">
        <f>+'GASTOS DE COMERCIALIZAC Y PROD'!G8</f>
        <v>143381562000</v>
      </c>
      <c r="J85" s="106">
        <f t="shared" si="11"/>
        <v>143381562000</v>
      </c>
      <c r="K85" s="608">
        <f t="shared" si="9"/>
        <v>0</v>
      </c>
      <c r="L85" s="603">
        <f t="shared" si="6"/>
        <v>1</v>
      </c>
      <c r="M85" s="629"/>
    </row>
    <row r="86" spans="1:13" ht="38.25">
      <c r="C86" s="591" t="s">
        <v>85</v>
      </c>
      <c r="D86" s="552"/>
      <c r="E86" s="552">
        <v>32618040000</v>
      </c>
      <c r="F86" s="552">
        <f t="shared" si="10"/>
        <v>32618040000</v>
      </c>
      <c r="G86" s="540"/>
      <c r="H86" s="107"/>
      <c r="I86" s="107">
        <f>+I87</f>
        <v>32618040000</v>
      </c>
      <c r="J86" s="107">
        <f t="shared" si="11"/>
        <v>32618040000</v>
      </c>
      <c r="K86" s="614">
        <f t="shared" si="9"/>
        <v>0</v>
      </c>
      <c r="L86" s="603">
        <f t="shared" si="6"/>
        <v>1</v>
      </c>
    </row>
    <row r="87" spans="1:13" ht="51">
      <c r="C87" s="586" t="s">
        <v>305</v>
      </c>
      <c r="D87" s="553"/>
      <c r="E87" s="553">
        <v>32618040000</v>
      </c>
      <c r="F87" s="554">
        <f t="shared" si="10"/>
        <v>32618040000</v>
      </c>
      <c r="G87" s="531"/>
      <c r="H87" s="547"/>
      <c r="I87" s="106">
        <f>+'GASTOS DE COMERCIALIZAC Y PROD'!G14+'GASTOS DE COMERCIALIZAC Y PROD'!G11</f>
        <v>32618040000</v>
      </c>
      <c r="J87" s="106">
        <f t="shared" si="11"/>
        <v>32618040000</v>
      </c>
      <c r="K87" s="612">
        <f t="shared" si="9"/>
        <v>0</v>
      </c>
      <c r="L87" s="603">
        <f t="shared" si="6"/>
        <v>1</v>
      </c>
    </row>
    <row r="88" spans="1:13" ht="25.5">
      <c r="A88" s="54"/>
      <c r="B88" s="54"/>
      <c r="C88" s="587" t="s">
        <v>86</v>
      </c>
      <c r="D88" s="550">
        <f>+D89+D90+D91+D92</f>
        <v>5726826461</v>
      </c>
      <c r="E88" s="550"/>
      <c r="F88" s="550">
        <f t="shared" si="10"/>
        <v>5726826461</v>
      </c>
      <c r="G88" s="533"/>
      <c r="H88" s="104">
        <f>+H89+H90+H91+H92</f>
        <v>5726826461</v>
      </c>
      <c r="I88" s="104"/>
      <c r="J88" s="104">
        <f t="shared" si="11"/>
        <v>5726826461</v>
      </c>
      <c r="K88" s="613">
        <f t="shared" si="9"/>
        <v>0</v>
      </c>
      <c r="L88" s="603">
        <f t="shared" si="6"/>
        <v>1</v>
      </c>
    </row>
    <row r="89" spans="1:13">
      <c r="C89" s="586" t="s">
        <v>87</v>
      </c>
      <c r="D89" s="560">
        <v>2104112404</v>
      </c>
      <c r="E89" s="560"/>
      <c r="F89" s="560">
        <f t="shared" si="10"/>
        <v>2104112404</v>
      </c>
      <c r="G89" s="531"/>
      <c r="H89" s="106">
        <f>'GASTOS POR TRIBUTOS, MULTAS, SA'!G11</f>
        <v>2104112404</v>
      </c>
      <c r="I89" s="106"/>
      <c r="J89" s="106">
        <f t="shared" si="11"/>
        <v>2104112404</v>
      </c>
      <c r="K89" s="612">
        <f t="shared" si="9"/>
        <v>0</v>
      </c>
      <c r="L89" s="603">
        <f t="shared" si="6"/>
        <v>1</v>
      </c>
    </row>
    <row r="90" spans="1:13" ht="25.5">
      <c r="C90" s="586" t="s">
        <v>88</v>
      </c>
      <c r="D90" s="560">
        <v>42230000</v>
      </c>
      <c r="E90" s="560"/>
      <c r="F90" s="560">
        <f t="shared" si="10"/>
        <v>42230000</v>
      </c>
      <c r="G90" s="531"/>
      <c r="H90" s="106">
        <f>'GASTOS POR TRIBUTOS, MULTAS, SA'!G16</f>
        <v>42230000</v>
      </c>
      <c r="I90" s="106"/>
      <c r="J90" s="106">
        <f t="shared" si="11"/>
        <v>42230000</v>
      </c>
      <c r="K90" s="612">
        <f t="shared" si="9"/>
        <v>0</v>
      </c>
      <c r="L90" s="603">
        <f t="shared" si="6"/>
        <v>1</v>
      </c>
    </row>
    <row r="91" spans="1:13" ht="25.5">
      <c r="C91" s="586" t="s">
        <v>89</v>
      </c>
      <c r="D91" s="560">
        <v>3524246057</v>
      </c>
      <c r="E91" s="560"/>
      <c r="F91" s="560">
        <f t="shared" si="10"/>
        <v>3524246057</v>
      </c>
      <c r="G91" s="531"/>
      <c r="H91" s="106">
        <f>'GASTOS POR TRIBUTOS, MULTAS, SA'!G21</f>
        <v>3524246057</v>
      </c>
      <c r="I91" s="106"/>
      <c r="J91" s="106">
        <f t="shared" si="11"/>
        <v>3524246057</v>
      </c>
      <c r="K91" s="612">
        <f t="shared" si="9"/>
        <v>0</v>
      </c>
      <c r="L91" s="603">
        <f t="shared" si="6"/>
        <v>1</v>
      </c>
    </row>
    <row r="92" spans="1:13" ht="25.5">
      <c r="C92" s="586" t="s">
        <v>90</v>
      </c>
      <c r="D92" s="560">
        <v>56238000</v>
      </c>
      <c r="E92" s="560"/>
      <c r="F92" s="560">
        <f t="shared" si="10"/>
        <v>56238000</v>
      </c>
      <c r="G92" s="531"/>
      <c r="H92" s="101">
        <f>'GASTOS POR TRIBUTOS, MULTAS, SA'!G26</f>
        <v>56238000</v>
      </c>
      <c r="I92" s="101"/>
      <c r="J92" s="101">
        <f t="shared" si="11"/>
        <v>56238000</v>
      </c>
      <c r="K92" s="606">
        <f t="shared" si="9"/>
        <v>0</v>
      </c>
      <c r="L92" s="603">
        <f t="shared" si="6"/>
        <v>1</v>
      </c>
    </row>
    <row r="93" spans="1:13">
      <c r="C93" s="587" t="s">
        <v>91</v>
      </c>
      <c r="D93" s="550">
        <f>+D94+D96</f>
        <v>23617306192.639999</v>
      </c>
      <c r="E93" s="550"/>
      <c r="F93" s="550">
        <f t="shared" si="10"/>
        <v>23617306192.639999</v>
      </c>
      <c r="G93" s="533"/>
      <c r="H93" s="104">
        <f>+H94+H96</f>
        <v>23617306192.639999</v>
      </c>
      <c r="I93" s="104"/>
      <c r="J93" s="104">
        <f t="shared" si="11"/>
        <v>23617306192.639999</v>
      </c>
      <c r="K93" s="613">
        <f t="shared" si="9"/>
        <v>0</v>
      </c>
      <c r="L93" s="603">
        <f t="shared" si="6"/>
        <v>1</v>
      </c>
    </row>
    <row r="94" spans="1:13" ht="25.5">
      <c r="C94" s="228" t="s">
        <v>92</v>
      </c>
      <c r="D94" s="555">
        <f>+D95</f>
        <v>3403214726.0100002</v>
      </c>
      <c r="E94" s="555"/>
      <c r="F94" s="555">
        <f t="shared" si="10"/>
        <v>3403214726.0100002</v>
      </c>
      <c r="G94" s="541"/>
      <c r="H94" s="108">
        <f>+H95</f>
        <v>3403214726.0100002</v>
      </c>
      <c r="I94" s="108"/>
      <c r="J94" s="108">
        <f t="shared" si="11"/>
        <v>3403214726.0100002</v>
      </c>
      <c r="K94" s="615">
        <f t="shared" si="9"/>
        <v>0</v>
      </c>
      <c r="L94" s="603">
        <f t="shared" si="6"/>
        <v>1</v>
      </c>
    </row>
    <row r="95" spans="1:13">
      <c r="C95" s="227" t="s">
        <v>93</v>
      </c>
      <c r="D95" s="559">
        <v>3403214726.0100002</v>
      </c>
      <c r="E95" s="559"/>
      <c r="F95" s="559">
        <f t="shared" si="10"/>
        <v>3403214726.0100002</v>
      </c>
      <c r="G95" s="537"/>
      <c r="H95" s="109">
        <f>+'SERVICIO A LA DEUDA PUBLICA'!G9</f>
        <v>3403214726.0100002</v>
      </c>
      <c r="I95" s="109"/>
      <c r="J95" s="109">
        <f t="shared" si="11"/>
        <v>3403214726.0100002</v>
      </c>
      <c r="K95" s="616">
        <f t="shared" si="9"/>
        <v>0</v>
      </c>
      <c r="L95" s="603">
        <f t="shared" si="6"/>
        <v>1</v>
      </c>
    </row>
    <row r="96" spans="1:13">
      <c r="C96" s="585" t="s">
        <v>94</v>
      </c>
      <c r="D96" s="556">
        <f>+D97</f>
        <v>20214091466.630001</v>
      </c>
      <c r="E96" s="556"/>
      <c r="F96" s="556">
        <f t="shared" si="10"/>
        <v>20214091466.630001</v>
      </c>
      <c r="G96" s="542"/>
      <c r="H96" s="110">
        <f>+H97</f>
        <v>20214091466.630001</v>
      </c>
      <c r="I96" s="110"/>
      <c r="J96" s="110">
        <f t="shared" si="11"/>
        <v>20214091466.630001</v>
      </c>
      <c r="K96" s="617">
        <f t="shared" si="9"/>
        <v>0</v>
      </c>
      <c r="L96" s="603">
        <f t="shared" si="6"/>
        <v>1</v>
      </c>
    </row>
    <row r="97" spans="1:12" ht="25.5">
      <c r="C97" s="586" t="s">
        <v>95</v>
      </c>
      <c r="D97" s="560">
        <v>20214091466.630001</v>
      </c>
      <c r="E97" s="560"/>
      <c r="F97" s="560">
        <f t="shared" si="10"/>
        <v>20214091466.630001</v>
      </c>
      <c r="G97" s="531"/>
      <c r="H97" s="101">
        <f>+'SERVICIO A LA DEUDA PUBLICA'!G14</f>
        <v>20214091466.630001</v>
      </c>
      <c r="I97" s="101"/>
      <c r="J97" s="101">
        <f t="shared" si="11"/>
        <v>20214091466.630001</v>
      </c>
      <c r="K97" s="606">
        <f t="shared" si="9"/>
        <v>0</v>
      </c>
      <c r="L97" s="603">
        <f t="shared" si="6"/>
        <v>1</v>
      </c>
    </row>
    <row r="98" spans="1:12" ht="102">
      <c r="C98" s="592" t="s">
        <v>96</v>
      </c>
      <c r="D98" s="565">
        <f>+D88+D78+D52+D13</f>
        <v>1897390262870</v>
      </c>
      <c r="E98" s="565">
        <f>+E83</f>
        <v>175999602000</v>
      </c>
      <c r="F98" s="565">
        <f t="shared" si="10"/>
        <v>2073389864870</v>
      </c>
      <c r="G98" s="540"/>
      <c r="H98" s="111">
        <f>+H88+H78+H52+H13</f>
        <v>3691823502049.0166</v>
      </c>
      <c r="I98" s="111">
        <f>+I83</f>
        <v>175999602000</v>
      </c>
      <c r="J98" s="111">
        <f t="shared" si="11"/>
        <v>3867823104049.0166</v>
      </c>
      <c r="K98" s="611">
        <f t="shared" si="9"/>
        <v>-1794433239179.0166</v>
      </c>
      <c r="L98" s="603">
        <f t="shared" si="6"/>
        <v>0.53606119232792193</v>
      </c>
    </row>
    <row r="99" spans="1:12">
      <c r="C99" s="592" t="s">
        <v>91</v>
      </c>
      <c r="D99" s="565">
        <v>23617306192.639999</v>
      </c>
      <c r="E99" s="565">
        <v>0</v>
      </c>
      <c r="F99" s="565">
        <f t="shared" si="10"/>
        <v>23617306192.639999</v>
      </c>
      <c r="G99" s="540"/>
      <c r="H99" s="111">
        <f>+H93</f>
        <v>23617306192.639999</v>
      </c>
      <c r="I99" s="111">
        <v>0</v>
      </c>
      <c r="J99" s="111">
        <f t="shared" si="11"/>
        <v>23617306192.639999</v>
      </c>
      <c r="K99" s="611">
        <f t="shared" si="9"/>
        <v>0</v>
      </c>
      <c r="L99" s="603">
        <f t="shared" si="6"/>
        <v>1</v>
      </c>
    </row>
    <row r="100" spans="1:12">
      <c r="C100" s="592" t="s">
        <v>97</v>
      </c>
      <c r="D100" s="565">
        <v>1537539532</v>
      </c>
      <c r="E100" s="565">
        <v>0</v>
      </c>
      <c r="F100" s="565">
        <f t="shared" si="10"/>
        <v>1537539532</v>
      </c>
      <c r="G100" s="540"/>
      <c r="H100" s="111">
        <f>'GASTOS DE INVERSIÓN'!D10</f>
        <v>76646417505</v>
      </c>
      <c r="I100" s="111">
        <v>0</v>
      </c>
      <c r="J100" s="111">
        <f t="shared" si="11"/>
        <v>76646417505</v>
      </c>
      <c r="K100" s="611">
        <f t="shared" si="9"/>
        <v>-75108877973</v>
      </c>
      <c r="L100" s="603">
        <f t="shared" si="6"/>
        <v>2.0060161740758455E-2</v>
      </c>
    </row>
    <row r="101" spans="1:12">
      <c r="C101" s="593" t="s">
        <v>98</v>
      </c>
      <c r="D101" s="550">
        <f>+D98+D99+D100</f>
        <v>1922545108594.6399</v>
      </c>
      <c r="E101" s="550">
        <f>+E98+E99+E100</f>
        <v>175999602000</v>
      </c>
      <c r="F101" s="550">
        <f t="shared" si="10"/>
        <v>2098544710594.6399</v>
      </c>
      <c r="G101" s="533"/>
      <c r="H101" s="104">
        <f>+H98+H99+H100</f>
        <v>3792087225746.6567</v>
      </c>
      <c r="I101" s="104">
        <f>+I98+I99+I100</f>
        <v>175999602000</v>
      </c>
      <c r="J101" s="104">
        <f t="shared" si="11"/>
        <v>3968086827746.6567</v>
      </c>
      <c r="K101" s="618">
        <f t="shared" si="9"/>
        <v>-1869542117152.0168</v>
      </c>
      <c r="L101" s="603">
        <f t="shared" si="6"/>
        <v>0.52885554215211894</v>
      </c>
    </row>
    <row r="102" spans="1:12">
      <c r="C102" s="55"/>
      <c r="D102" s="55"/>
      <c r="E102" s="55"/>
      <c r="F102" s="55"/>
      <c r="G102" s="55"/>
      <c r="H102" s="12"/>
      <c r="I102" s="12"/>
      <c r="J102" s="508"/>
      <c r="K102" s="13"/>
    </row>
    <row r="103" spans="1:12">
      <c r="C103" s="55" t="s">
        <v>453</v>
      </c>
      <c r="D103" s="594" t="s">
        <v>453</v>
      </c>
      <c r="E103" s="594" t="s">
        <v>462</v>
      </c>
      <c r="F103" s="594" t="s">
        <v>463</v>
      </c>
      <c r="G103" s="55"/>
      <c r="H103" s="12"/>
      <c r="I103" s="12"/>
      <c r="J103" s="508"/>
      <c r="K103" s="13"/>
    </row>
    <row r="104" spans="1:12">
      <c r="C104" s="540" t="s">
        <v>450</v>
      </c>
      <c r="D104" s="567">
        <v>2073389864870</v>
      </c>
      <c r="E104" s="568">
        <f>+F13+F52+F78+F83+F88</f>
        <v>2073389864870</v>
      </c>
      <c r="F104" s="566">
        <f>+D104-E104</f>
        <v>0</v>
      </c>
      <c r="G104" s="55"/>
      <c r="H104" s="12"/>
      <c r="I104" s="12"/>
      <c r="J104" s="508"/>
      <c r="K104" s="13"/>
    </row>
    <row r="105" spans="1:12">
      <c r="C105" s="540" t="s">
        <v>452</v>
      </c>
      <c r="D105" s="567">
        <f>+D93</f>
        <v>23617306192.639999</v>
      </c>
      <c r="E105" s="540">
        <v>0</v>
      </c>
      <c r="F105" s="566"/>
      <c r="G105" s="55"/>
      <c r="H105" s="12"/>
      <c r="I105" s="12"/>
      <c r="J105" s="508"/>
      <c r="K105" s="13"/>
    </row>
    <row r="106" spans="1:12">
      <c r="C106" s="540" t="s">
        <v>451</v>
      </c>
      <c r="D106" s="567">
        <v>1537539532</v>
      </c>
      <c r="E106" s="568">
        <f>+D100</f>
        <v>1537539532</v>
      </c>
      <c r="F106" s="567">
        <v>0</v>
      </c>
      <c r="G106" s="55"/>
      <c r="H106" s="12"/>
      <c r="I106" s="12"/>
      <c r="J106" s="12"/>
      <c r="K106" s="13"/>
    </row>
    <row r="107" spans="1:12">
      <c r="C107" s="55"/>
      <c r="D107" s="583">
        <f>+D104+D105+D106</f>
        <v>2098544710594.6399</v>
      </c>
      <c r="E107" s="583">
        <f>+E104+E105+E106</f>
        <v>2074927404402</v>
      </c>
      <c r="F107" s="583"/>
      <c r="G107" s="55"/>
      <c r="H107" s="12"/>
      <c r="I107" s="12"/>
      <c r="J107" s="12"/>
      <c r="K107" s="13"/>
    </row>
    <row r="108" spans="1:12">
      <c r="C108" s="55"/>
      <c r="D108" s="55"/>
      <c r="E108" s="55"/>
      <c r="F108" s="55"/>
      <c r="G108" s="55"/>
      <c r="H108" s="12"/>
      <c r="I108" s="12"/>
      <c r="J108" s="12"/>
      <c r="K108" s="13"/>
    </row>
    <row r="109" spans="1:12" ht="32.25" customHeight="1">
      <c r="A109" s="528" t="s">
        <v>99</v>
      </c>
      <c r="B109" s="529"/>
      <c r="C109" s="51"/>
      <c r="D109" s="51"/>
      <c r="E109" s="51"/>
      <c r="F109" s="51"/>
      <c r="G109" s="51"/>
      <c r="H109" s="51"/>
      <c r="I109" s="51"/>
      <c r="J109" s="51"/>
      <c r="K109" s="51"/>
    </row>
    <row r="110" spans="1:12" ht="17.25" customHeight="1">
      <c r="A110" s="523" t="s">
        <v>100</v>
      </c>
      <c r="B110" s="524"/>
      <c r="C110" s="525"/>
      <c r="D110" s="509"/>
      <c r="E110" s="509"/>
      <c r="F110" s="509"/>
      <c r="G110" s="543"/>
      <c r="H110" s="524" t="s">
        <v>101</v>
      </c>
      <c r="I110" s="524"/>
      <c r="J110" s="525"/>
      <c r="K110" s="56" t="s">
        <v>102</v>
      </c>
    </row>
    <row r="111" spans="1:12">
      <c r="A111" s="65"/>
      <c r="B111" s="66"/>
      <c r="C111" s="66"/>
      <c r="D111" s="66"/>
      <c r="E111" s="66"/>
      <c r="F111" s="66"/>
      <c r="G111" s="543"/>
      <c r="H111" s="61"/>
      <c r="I111" s="61"/>
      <c r="J111" s="61"/>
      <c r="K111" s="67"/>
    </row>
    <row r="112" spans="1:12">
      <c r="A112" s="62"/>
      <c r="B112" s="63"/>
      <c r="C112" s="63"/>
      <c r="D112" s="63"/>
      <c r="E112" s="63"/>
      <c r="F112" s="63"/>
      <c r="G112" s="51"/>
      <c r="H112" s="63"/>
      <c r="I112" s="63"/>
      <c r="J112" s="63"/>
      <c r="K112" s="63"/>
    </row>
    <row r="113" spans="1:13">
      <c r="A113" s="530" t="s">
        <v>103</v>
      </c>
      <c r="B113" s="530"/>
      <c r="C113" s="530"/>
      <c r="D113" s="530"/>
      <c r="E113" s="530"/>
      <c r="F113" s="683"/>
      <c r="G113" s="684"/>
      <c r="H113" s="685"/>
      <c r="I113" s="530"/>
      <c r="J113" s="530"/>
      <c r="K113" s="530"/>
    </row>
    <row r="114" spans="1:13" ht="25.5" customHeight="1">
      <c r="A114" s="526" t="s">
        <v>104</v>
      </c>
      <c r="B114" s="526"/>
      <c r="C114" s="677" t="s">
        <v>105</v>
      </c>
      <c r="D114" s="678"/>
      <c r="E114" s="678"/>
      <c r="F114" s="678"/>
      <c r="G114" s="678"/>
      <c r="H114" s="678"/>
      <c r="I114" s="679"/>
      <c r="J114" s="70" t="s">
        <v>3</v>
      </c>
      <c r="K114" s="70" t="s">
        <v>106</v>
      </c>
    </row>
    <row r="115" spans="1:13" ht="57.75" customHeight="1">
      <c r="A115" s="527" t="s">
        <v>107</v>
      </c>
      <c r="B115" s="527"/>
      <c r="C115" s="680" t="s">
        <v>108</v>
      </c>
      <c r="D115" s="681"/>
      <c r="E115" s="681"/>
      <c r="F115" s="681"/>
      <c r="G115" s="681"/>
      <c r="H115" s="681"/>
      <c r="I115" s="682"/>
      <c r="J115" s="69">
        <v>44630</v>
      </c>
      <c r="K115" s="71" t="s">
        <v>109</v>
      </c>
    </row>
    <row r="116" spans="1:13">
      <c r="A116" s="64"/>
      <c r="C116" s="51"/>
      <c r="D116" s="51"/>
      <c r="E116" s="51"/>
      <c r="F116" s="51"/>
      <c r="G116" s="51"/>
      <c r="H116" s="51"/>
      <c r="I116" s="51"/>
      <c r="J116" s="51"/>
      <c r="K116" s="51"/>
    </row>
    <row r="125" spans="1:13">
      <c r="F125" s="57" t="s">
        <v>467</v>
      </c>
      <c r="G125" s="544" t="s">
        <v>468</v>
      </c>
      <c r="H125" s="52" t="s">
        <v>469</v>
      </c>
    </row>
    <row r="126" spans="1:13" ht="38.25">
      <c r="E126" s="588" t="s">
        <v>62</v>
      </c>
      <c r="F126" s="551">
        <v>1641583929414.249</v>
      </c>
      <c r="G126" s="105">
        <v>3410725894744.9258</v>
      </c>
      <c r="H126" s="609">
        <f>+F126-G126</f>
        <v>-1769141965330.6768</v>
      </c>
      <c r="I126" s="672"/>
      <c r="L126" s="263"/>
      <c r="M126" s="263"/>
    </row>
    <row r="127" spans="1:13" ht="25.5">
      <c r="E127" s="585" t="s">
        <v>63</v>
      </c>
      <c r="F127" s="549">
        <v>89247460452.710007</v>
      </c>
      <c r="G127" s="99">
        <v>133520891318.774</v>
      </c>
      <c r="H127" s="609">
        <f t="shared" ref="H127:H133" si="12">+F127-G127</f>
        <v>-44273430866.063995</v>
      </c>
      <c r="I127" s="672"/>
      <c r="L127" s="675"/>
      <c r="M127" s="674"/>
    </row>
    <row r="128" spans="1:13" ht="51">
      <c r="E128" s="226" t="s">
        <v>64</v>
      </c>
      <c r="F128" s="558">
        <v>0</v>
      </c>
      <c r="G128" s="101">
        <v>0</v>
      </c>
      <c r="H128" s="609">
        <f t="shared" si="12"/>
        <v>0</v>
      </c>
      <c r="I128" s="672"/>
      <c r="L128" s="675"/>
      <c r="M128" s="675"/>
    </row>
    <row r="129" spans="5:13" ht="38.25">
      <c r="E129" s="589" t="s">
        <v>65</v>
      </c>
      <c r="F129" s="561">
        <v>0</v>
      </c>
      <c r="G129" s="106">
        <v>0</v>
      </c>
      <c r="H129" s="609">
        <f t="shared" si="12"/>
        <v>0</v>
      </c>
      <c r="I129" s="672"/>
      <c r="L129" s="675"/>
      <c r="M129" s="675"/>
    </row>
    <row r="130" spans="5:13" ht="89.25">
      <c r="E130" s="226" t="s">
        <v>66</v>
      </c>
      <c r="F130" s="558">
        <v>11757632129.75</v>
      </c>
      <c r="G130" s="101">
        <v>13179032129.75</v>
      </c>
      <c r="H130" s="609">
        <f t="shared" si="12"/>
        <v>-1421400000</v>
      </c>
      <c r="I130" s="672"/>
      <c r="L130" s="675"/>
      <c r="M130" s="675"/>
    </row>
    <row r="131" spans="5:13" ht="89.25">
      <c r="E131" s="226" t="s">
        <v>67</v>
      </c>
      <c r="F131" s="558">
        <v>65327578322.960007</v>
      </c>
      <c r="G131" s="101">
        <v>90192459189.024002</v>
      </c>
      <c r="H131" s="609">
        <f t="shared" si="12"/>
        <v>-24864880866.063995</v>
      </c>
      <c r="L131" s="675"/>
      <c r="M131" s="675"/>
    </row>
    <row r="132" spans="5:13" ht="51">
      <c r="E132" s="226" t="s">
        <v>68</v>
      </c>
      <c r="F132" s="558">
        <v>10943850000</v>
      </c>
      <c r="G132" s="101">
        <v>28931000000</v>
      </c>
      <c r="H132" s="609">
        <f t="shared" si="12"/>
        <v>-17987150000</v>
      </c>
    </row>
    <row r="133" spans="5:13" ht="38.25">
      <c r="E133" s="590" t="s">
        <v>69</v>
      </c>
      <c r="F133" s="562">
        <v>1218400000</v>
      </c>
      <c r="G133" s="101">
        <v>1218400000</v>
      </c>
      <c r="H133" s="609">
        <f t="shared" si="12"/>
        <v>0</v>
      </c>
    </row>
    <row r="135" spans="5:13">
      <c r="H135" s="673"/>
      <c r="I135" s="676"/>
    </row>
    <row r="136" spans="5:13">
      <c r="H136" s="673"/>
      <c r="I136" s="673"/>
    </row>
    <row r="137" spans="5:13">
      <c r="H137" s="673"/>
      <c r="I137" s="673"/>
    </row>
    <row r="138" spans="5:13">
      <c r="H138" s="673"/>
      <c r="I138" s="673"/>
    </row>
    <row r="139" spans="5:13">
      <c r="H139" s="673"/>
      <c r="I139" s="673"/>
    </row>
  </sheetData>
  <sheetProtection formatRows="0" insertRows="0"/>
  <autoFilter ref="A12:P101" xr:uid="{00000000-0001-0000-0000-000000000000}"/>
  <mergeCells count="3">
    <mergeCell ref="C114:I114"/>
    <mergeCell ref="C115:I115"/>
    <mergeCell ref="F113:H113"/>
  </mergeCells>
  <printOptions horizontalCentered="1" verticalCentered="1" gridLines="1"/>
  <pageMargins left="0.23622047244094491" right="0.23622047244094491" top="0.74803149606299213" bottom="0.74803149606299213" header="0.31496062992125984" footer="0.31496062992125984"/>
  <pageSetup paperSize="256" scale="28" fitToHeight="0" orientation="portrait" r:id="rId1"/>
  <ignoredErrors>
    <ignoredError sqref="H66 H100 I84:J84 I86:J86 J85 J81:J82 J73:J74 H79 J89:J92 I98 J101 J87 J76:J79" unlockedFormula="1"/>
    <ignoredError sqref="K115 A115" numberStoredAsText="1"/>
    <ignoredError sqref="H95" formula="1"/>
  </ignoredErrors>
  <drawing r:id="rId2"/>
  <legacyDrawing r:id="rId3"/>
  <oleObjects>
    <mc:AlternateContent xmlns:mc="http://schemas.openxmlformats.org/markup-compatibility/2006">
      <mc:Choice Requires="x14">
        <oleObject progId="PBrush" shapeId="134191" r:id="rId4">
          <objectPr defaultSize="0" autoPict="0" r:id="rId5">
            <anchor moveWithCells="1" sizeWithCells="1">
              <from>
                <xdr:col>2</xdr:col>
                <xdr:colOff>342900</xdr:colOff>
                <xdr:row>0</xdr:row>
                <xdr:rowOff>76200</xdr:rowOff>
              </from>
              <to>
                <xdr:col>2</xdr:col>
                <xdr:colOff>828675</xdr:colOff>
                <xdr:row>2</xdr:row>
                <xdr:rowOff>76200</xdr:rowOff>
              </to>
            </anchor>
          </objectPr>
        </oleObject>
      </mc:Choice>
      <mc:Fallback>
        <oleObject progId="PBrush" shapeId="134191" r:id="rId4"/>
      </mc:Fallback>
    </mc:AlternateContent>
  </oleObjec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1763A00-840A-4CBC-8C25-7C6F16C78F50}">
          <x14:formula1>
            <xm:f>Hoja2!$C$3:$C$12</xm:f>
          </x14:formula1>
          <xm:sqref>H7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02321-44F7-4677-B234-793CE80DA6D3}">
  <sheetPr>
    <tabColor theme="8" tint="-0.249977111117893"/>
  </sheetPr>
  <dimension ref="A3:P76"/>
  <sheetViews>
    <sheetView showGridLines="0" view="pageBreakPreview" topLeftCell="A26" zoomScale="85" zoomScaleNormal="100" zoomScaleSheetLayoutView="85" workbookViewId="0">
      <selection activeCell="D40" sqref="D40"/>
    </sheetView>
  </sheetViews>
  <sheetFormatPr baseColWidth="10" defaultColWidth="11.42578125" defaultRowHeight="12.75"/>
  <cols>
    <col min="1" max="1" width="31" style="90" customWidth="1"/>
    <col min="2" max="2" width="28" style="90" customWidth="1"/>
    <col min="3" max="3" width="17.85546875" style="90" customWidth="1"/>
    <col min="4" max="4" width="23.140625" style="90" customWidth="1"/>
    <col min="5" max="5" width="19.85546875" style="90" customWidth="1"/>
    <col min="6" max="6" width="22.7109375" style="90" customWidth="1"/>
    <col min="7" max="7" width="21.28515625" style="90" customWidth="1"/>
    <col min="8" max="8" width="21.140625" style="90" customWidth="1"/>
    <col min="9" max="9" width="28.42578125" style="90" customWidth="1"/>
    <col min="10" max="10" width="16.7109375" style="90" bestFit="1" customWidth="1"/>
    <col min="11" max="11" width="7.28515625" style="90" customWidth="1"/>
    <col min="12" max="12" width="17.85546875" style="90" bestFit="1" customWidth="1"/>
    <col min="13" max="14" width="16.5703125" style="90" bestFit="1" customWidth="1"/>
    <col min="15" max="15" width="15.5703125" style="90" bestFit="1" customWidth="1"/>
    <col min="16" max="16" width="16.5703125" style="90" bestFit="1" customWidth="1"/>
    <col min="17" max="16384" width="11.42578125" style="90"/>
  </cols>
  <sheetData>
    <row r="3" spans="1:12" ht="29.25" customHeight="1">
      <c r="A3" s="741" t="s">
        <v>193</v>
      </c>
      <c r="B3" s="741"/>
      <c r="C3" s="741"/>
      <c r="D3" s="741"/>
      <c r="E3" s="741"/>
      <c r="F3" s="741"/>
      <c r="G3" s="741"/>
      <c r="H3" s="741"/>
      <c r="I3" s="741"/>
    </row>
    <row r="4" spans="1:12" ht="26.25" thickBot="1">
      <c r="A4" s="84" t="s">
        <v>168</v>
      </c>
      <c r="B4" s="84" t="s">
        <v>138</v>
      </c>
      <c r="C4" s="84" t="s">
        <v>194</v>
      </c>
      <c r="D4" s="84" t="s">
        <v>195</v>
      </c>
      <c r="E4" s="84" t="s">
        <v>196</v>
      </c>
      <c r="F4" s="84" t="s">
        <v>140</v>
      </c>
      <c r="G4" s="84" t="s">
        <v>141</v>
      </c>
      <c r="H4" s="84" t="s">
        <v>197</v>
      </c>
      <c r="I4" s="84" t="s">
        <v>157</v>
      </c>
      <c r="K4" s="479" t="s">
        <v>7</v>
      </c>
      <c r="L4" s="480">
        <f>'PRESUPUESTO T+1 '!B12</f>
        <v>0.03</v>
      </c>
    </row>
    <row r="5" spans="1:12" ht="16.5" customHeight="1" thickTop="1">
      <c r="A5" s="742" t="s">
        <v>198</v>
      </c>
      <c r="B5" s="743"/>
      <c r="C5" s="743"/>
      <c r="D5" s="743"/>
      <c r="E5" s="743"/>
      <c r="F5" s="743"/>
      <c r="G5" s="743"/>
      <c r="H5" s="743"/>
      <c r="I5" s="744"/>
    </row>
    <row r="6" spans="1:12" ht="33" customHeight="1">
      <c r="A6" s="168"/>
      <c r="B6" s="169"/>
      <c r="C6" s="242"/>
      <c r="D6" s="242"/>
      <c r="E6" s="169"/>
      <c r="F6" s="170">
        <f>(E6*D6*C6)</f>
        <v>0</v>
      </c>
      <c r="G6" s="243"/>
      <c r="H6" s="170">
        <f>(F6*G6)*(1+$L$4)</f>
        <v>0</v>
      </c>
      <c r="I6" s="168"/>
    </row>
    <row r="7" spans="1:12" ht="33" customHeight="1">
      <c r="A7" s="481" t="s">
        <v>402</v>
      </c>
      <c r="B7" s="482" t="s">
        <v>403</v>
      </c>
      <c r="C7" s="475">
        <v>30</v>
      </c>
      <c r="D7" s="476">
        <v>60</v>
      </c>
      <c r="E7" s="477">
        <v>425000</v>
      </c>
      <c r="F7" s="478">
        <f t="shared" ref="F7:F23" si="0">H7/12</f>
        <v>17166666.666666668</v>
      </c>
      <c r="G7" s="475">
        <v>12</v>
      </c>
      <c r="H7" s="477">
        <f>(200000000*3%)+200000000</f>
        <v>206000000</v>
      </c>
      <c r="I7" s="745" t="s">
        <v>404</v>
      </c>
      <c r="J7" s="483"/>
    </row>
    <row r="8" spans="1:12" ht="33" customHeight="1">
      <c r="A8" s="481" t="s">
        <v>405</v>
      </c>
      <c r="B8" s="482" t="s">
        <v>403</v>
      </c>
      <c r="C8" s="475">
        <v>20</v>
      </c>
      <c r="D8" s="476">
        <v>30</v>
      </c>
      <c r="E8" s="477">
        <v>425000</v>
      </c>
      <c r="F8" s="478">
        <f t="shared" si="0"/>
        <v>1716666.6666666667</v>
      </c>
      <c r="G8" s="475">
        <v>12</v>
      </c>
      <c r="H8" s="477">
        <f>(20000000*3%)+20000000</f>
        <v>20600000</v>
      </c>
      <c r="I8" s="746"/>
    </row>
    <row r="9" spans="1:12" ht="33" customHeight="1">
      <c r="A9" s="481" t="s">
        <v>111</v>
      </c>
      <c r="B9" s="482" t="s">
        <v>403</v>
      </c>
      <c r="C9" s="475">
        <v>20</v>
      </c>
      <c r="D9" s="476">
        <v>30</v>
      </c>
      <c r="E9" s="477">
        <v>425000</v>
      </c>
      <c r="F9" s="478">
        <f t="shared" si="0"/>
        <v>1716666.6666666667</v>
      </c>
      <c r="G9" s="475">
        <v>12</v>
      </c>
      <c r="H9" s="477">
        <f>(20000000*3%)+20000000</f>
        <v>20600000</v>
      </c>
      <c r="I9" s="746"/>
    </row>
    <row r="10" spans="1:12" ht="33" customHeight="1">
      <c r="A10" s="481" t="s">
        <v>406</v>
      </c>
      <c r="B10" s="482" t="s">
        <v>403</v>
      </c>
      <c r="C10" s="475">
        <v>4</v>
      </c>
      <c r="D10" s="475">
        <v>10</v>
      </c>
      <c r="E10" s="477">
        <v>365000</v>
      </c>
      <c r="F10" s="478">
        <f t="shared" si="0"/>
        <v>429166.66666666669</v>
      </c>
      <c r="G10" s="475">
        <v>12</v>
      </c>
      <c r="H10" s="477">
        <f>(5000000*3%)+5000000</f>
        <v>5150000</v>
      </c>
      <c r="I10" s="746"/>
    </row>
    <row r="11" spans="1:12" ht="33" customHeight="1">
      <c r="A11" s="481" t="s">
        <v>113</v>
      </c>
      <c r="B11" s="482" t="s">
        <v>403</v>
      </c>
      <c r="C11" s="475">
        <v>42</v>
      </c>
      <c r="D11" s="475">
        <v>65</v>
      </c>
      <c r="E11" s="477">
        <v>365000</v>
      </c>
      <c r="F11" s="478">
        <f t="shared" si="0"/>
        <v>36050000</v>
      </c>
      <c r="G11" s="475">
        <v>12</v>
      </c>
      <c r="H11" s="477">
        <f>(420000000*3%)+420000000</f>
        <v>432600000</v>
      </c>
      <c r="I11" s="746"/>
    </row>
    <row r="12" spans="1:12" ht="33" customHeight="1">
      <c r="A12" s="481" t="s">
        <v>407</v>
      </c>
      <c r="B12" s="482" t="s">
        <v>403</v>
      </c>
      <c r="C12" s="475">
        <v>150</v>
      </c>
      <c r="D12" s="475">
        <v>70</v>
      </c>
      <c r="E12" s="477">
        <v>325000</v>
      </c>
      <c r="F12" s="478">
        <f t="shared" si="0"/>
        <v>166666666.66666666</v>
      </c>
      <c r="G12" s="475">
        <v>12</v>
      </c>
      <c r="H12" s="477">
        <v>2000000000</v>
      </c>
      <c r="I12" s="746"/>
    </row>
    <row r="13" spans="1:12" ht="33" customHeight="1">
      <c r="A13" s="481" t="s">
        <v>408</v>
      </c>
      <c r="B13" s="482" t="s">
        <v>403</v>
      </c>
      <c r="C13" s="475">
        <v>1250</v>
      </c>
      <c r="D13" s="476">
        <v>100</v>
      </c>
      <c r="E13" s="477">
        <v>251000</v>
      </c>
      <c r="F13" s="478">
        <v>2666875000</v>
      </c>
      <c r="G13" s="475">
        <v>12</v>
      </c>
      <c r="H13" s="477">
        <f>F13*G13</f>
        <v>32002500000</v>
      </c>
      <c r="I13" s="746"/>
    </row>
    <row r="14" spans="1:12" ht="33" customHeight="1">
      <c r="A14" s="481" t="s">
        <v>409</v>
      </c>
      <c r="B14" s="482" t="s">
        <v>403</v>
      </c>
      <c r="C14" s="475">
        <v>10</v>
      </c>
      <c r="D14" s="475">
        <v>30</v>
      </c>
      <c r="E14" s="477">
        <v>425000</v>
      </c>
      <c r="F14" s="478">
        <f t="shared" si="0"/>
        <v>28325000</v>
      </c>
      <c r="G14" s="475">
        <v>12</v>
      </c>
      <c r="H14" s="477">
        <f>(330000000*3%)+330000000</f>
        <v>339900000</v>
      </c>
      <c r="I14" s="746"/>
    </row>
    <row r="15" spans="1:12" ht="33" customHeight="1">
      <c r="A15" s="481" t="s">
        <v>410</v>
      </c>
      <c r="B15" s="482" t="s">
        <v>403</v>
      </c>
      <c r="C15" s="475">
        <v>1415</v>
      </c>
      <c r="D15" s="475">
        <v>130</v>
      </c>
      <c r="E15" s="477">
        <v>251000</v>
      </c>
      <c r="F15" s="478">
        <v>3906815000</v>
      </c>
      <c r="G15" s="475">
        <v>12</v>
      </c>
      <c r="H15" s="477">
        <f>F15*G15</f>
        <v>46881780000</v>
      </c>
      <c r="I15" s="746"/>
      <c r="L15" s="656" t="s">
        <v>322</v>
      </c>
    </row>
    <row r="16" spans="1:12" ht="33" customHeight="1">
      <c r="A16" s="481" t="s">
        <v>402</v>
      </c>
      <c r="B16" s="482" t="s">
        <v>411</v>
      </c>
      <c r="C16" s="475">
        <v>30</v>
      </c>
      <c r="D16" s="475">
        <v>60</v>
      </c>
      <c r="E16" s="477">
        <v>0</v>
      </c>
      <c r="F16" s="478">
        <f t="shared" si="0"/>
        <v>1250000</v>
      </c>
      <c r="G16" s="475">
        <v>12</v>
      </c>
      <c r="H16" s="477">
        <v>15000000</v>
      </c>
      <c r="I16" s="746"/>
    </row>
    <row r="17" spans="1:9" ht="33" customHeight="1">
      <c r="A17" s="481" t="s">
        <v>405</v>
      </c>
      <c r="B17" s="482" t="s">
        <v>411</v>
      </c>
      <c r="C17" s="475">
        <v>20</v>
      </c>
      <c r="D17" s="475">
        <v>30</v>
      </c>
      <c r="E17" s="477">
        <v>0</v>
      </c>
      <c r="F17" s="478">
        <f t="shared" si="0"/>
        <v>250000</v>
      </c>
      <c r="G17" s="475">
        <v>12</v>
      </c>
      <c r="H17" s="477">
        <v>3000000</v>
      </c>
      <c r="I17" s="746"/>
    </row>
    <row r="18" spans="1:9" ht="33" customHeight="1">
      <c r="A18" s="481" t="s">
        <v>111</v>
      </c>
      <c r="B18" s="482" t="s">
        <v>411</v>
      </c>
      <c r="C18" s="475">
        <v>20</v>
      </c>
      <c r="D18" s="475">
        <v>30</v>
      </c>
      <c r="E18" s="477">
        <v>0</v>
      </c>
      <c r="F18" s="478">
        <f t="shared" si="0"/>
        <v>250000</v>
      </c>
      <c r="G18" s="475">
        <v>12</v>
      </c>
      <c r="H18" s="477">
        <v>3000000</v>
      </c>
      <c r="I18" s="746"/>
    </row>
    <row r="19" spans="1:9" ht="33" customHeight="1">
      <c r="A19" s="481" t="s">
        <v>406</v>
      </c>
      <c r="B19" s="482" t="s">
        <v>411</v>
      </c>
      <c r="C19" s="475">
        <v>4</v>
      </c>
      <c r="D19" s="475">
        <v>10</v>
      </c>
      <c r="E19" s="477">
        <v>0</v>
      </c>
      <c r="F19" s="478">
        <f t="shared" si="0"/>
        <v>83333.333333333328</v>
      </c>
      <c r="G19" s="475">
        <v>12</v>
      </c>
      <c r="H19" s="477">
        <v>1000000</v>
      </c>
      <c r="I19" s="746"/>
    </row>
    <row r="20" spans="1:9" ht="33" customHeight="1">
      <c r="A20" s="481" t="s">
        <v>113</v>
      </c>
      <c r="B20" s="482" t="s">
        <v>411</v>
      </c>
      <c r="C20" s="475">
        <v>42</v>
      </c>
      <c r="D20" s="475">
        <v>65</v>
      </c>
      <c r="E20" s="477">
        <v>0</v>
      </c>
      <c r="F20" s="478">
        <f t="shared" si="0"/>
        <v>2916666.6666666665</v>
      </c>
      <c r="G20" s="475">
        <v>12</v>
      </c>
      <c r="H20" s="477">
        <v>35000000</v>
      </c>
      <c r="I20" s="746"/>
    </row>
    <row r="21" spans="1:9" ht="33" customHeight="1">
      <c r="A21" s="481" t="s">
        <v>407</v>
      </c>
      <c r="B21" s="482" t="s">
        <v>411</v>
      </c>
      <c r="C21" s="475">
        <v>150</v>
      </c>
      <c r="D21" s="475">
        <v>70</v>
      </c>
      <c r="E21" s="477">
        <v>0</v>
      </c>
      <c r="F21" s="478">
        <f t="shared" si="0"/>
        <v>13750000</v>
      </c>
      <c r="G21" s="475">
        <v>12</v>
      </c>
      <c r="H21" s="477">
        <v>165000000</v>
      </c>
      <c r="I21" s="746"/>
    </row>
    <row r="22" spans="1:9" ht="33" customHeight="1">
      <c r="A22" s="481" t="s">
        <v>408</v>
      </c>
      <c r="B22" s="482" t="s">
        <v>411</v>
      </c>
      <c r="C22" s="475">
        <v>1250</v>
      </c>
      <c r="D22" s="475">
        <v>100</v>
      </c>
      <c r="E22" s="477">
        <v>0</v>
      </c>
      <c r="F22" s="478">
        <v>93000000</v>
      </c>
      <c r="G22" s="475">
        <v>12</v>
      </c>
      <c r="H22" s="477">
        <f>F22*G22</f>
        <v>1116000000</v>
      </c>
      <c r="I22" s="746"/>
    </row>
    <row r="23" spans="1:9" ht="33" customHeight="1">
      <c r="A23" s="481" t="s">
        <v>409</v>
      </c>
      <c r="B23" s="482" t="s">
        <v>411</v>
      </c>
      <c r="C23" s="475">
        <v>10</v>
      </c>
      <c r="D23" s="475">
        <v>30</v>
      </c>
      <c r="E23" s="477">
        <v>0</v>
      </c>
      <c r="F23" s="478">
        <f t="shared" si="0"/>
        <v>3333333.3333333335</v>
      </c>
      <c r="G23" s="475">
        <v>12</v>
      </c>
      <c r="H23" s="477">
        <v>40000000</v>
      </c>
      <c r="I23" s="746"/>
    </row>
    <row r="24" spans="1:9" s="4" customFormat="1" ht="67.5" customHeight="1">
      <c r="A24" s="481" t="s">
        <v>410</v>
      </c>
      <c r="B24" s="482" t="s">
        <v>411</v>
      </c>
      <c r="C24" s="475">
        <v>1415</v>
      </c>
      <c r="D24" s="475">
        <v>130</v>
      </c>
      <c r="E24" s="477">
        <v>0</v>
      </c>
      <c r="F24" s="478">
        <v>117000000</v>
      </c>
      <c r="G24" s="475">
        <v>12</v>
      </c>
      <c r="H24" s="477">
        <f>F24*G24</f>
        <v>1404000000</v>
      </c>
      <c r="I24" s="746"/>
    </row>
    <row r="25" spans="1:9" s="4" customFormat="1" ht="67.5" customHeight="1">
      <c r="A25" s="496" t="s">
        <v>414</v>
      </c>
      <c r="B25" s="497" t="s">
        <v>415</v>
      </c>
      <c r="C25" s="498">
        <v>5</v>
      </c>
      <c r="D25" s="499">
        <v>30</v>
      </c>
      <c r="E25" s="500">
        <v>150000</v>
      </c>
      <c r="F25" s="170">
        <f>(E25*D25*C25)</f>
        <v>22500000</v>
      </c>
      <c r="G25" s="243">
        <v>12</v>
      </c>
      <c r="H25" s="170">
        <v>278100000</v>
      </c>
      <c r="I25" s="746"/>
    </row>
    <row r="26" spans="1:9" s="4" customFormat="1" ht="67.5" customHeight="1">
      <c r="A26" s="501" t="s">
        <v>416</v>
      </c>
      <c r="B26" s="497" t="s">
        <v>417</v>
      </c>
      <c r="C26" s="498">
        <v>5</v>
      </c>
      <c r="D26" s="498">
        <v>30</v>
      </c>
      <c r="E26" s="500">
        <v>150000</v>
      </c>
      <c r="F26" s="170">
        <f>(E26*D26*C26)</f>
        <v>22500000</v>
      </c>
      <c r="G26" s="243">
        <v>12</v>
      </c>
      <c r="H26" s="170">
        <v>278100000</v>
      </c>
      <c r="I26" s="746"/>
    </row>
    <row r="27" spans="1:9" s="4" customFormat="1" ht="16.5">
      <c r="A27" s="494" t="s">
        <v>408</v>
      </c>
      <c r="B27" s="489" t="s">
        <v>403</v>
      </c>
      <c r="C27" s="489">
        <v>21</v>
      </c>
      <c r="D27" s="489">
        <v>180</v>
      </c>
      <c r="E27" s="489">
        <v>251000</v>
      </c>
      <c r="F27" s="490">
        <v>81804961.170599997</v>
      </c>
      <c r="G27" s="490">
        <v>12</v>
      </c>
      <c r="H27" s="491">
        <f>+(730000000*3%)+730000000</f>
        <v>751900000</v>
      </c>
      <c r="I27" s="168"/>
    </row>
    <row r="28" spans="1:9" s="4" customFormat="1" ht="16.5">
      <c r="A28" s="494" t="s">
        <v>410</v>
      </c>
      <c r="B28" s="489" t="s">
        <v>403</v>
      </c>
      <c r="C28" s="489">
        <v>96</v>
      </c>
      <c r="D28" s="489">
        <v>180</v>
      </c>
      <c r="E28" s="489">
        <v>251000</v>
      </c>
      <c r="F28" s="490">
        <v>353392209.66553301</v>
      </c>
      <c r="G28" s="490">
        <v>12</v>
      </c>
      <c r="H28" s="491">
        <f>(6000000000*3%)+6000000000</f>
        <v>6180000000</v>
      </c>
      <c r="I28" s="168"/>
    </row>
    <row r="29" spans="1:9" s="4" customFormat="1" ht="16.5">
      <c r="A29" s="494" t="s">
        <v>408</v>
      </c>
      <c r="B29" s="489" t="s">
        <v>411</v>
      </c>
      <c r="C29" s="489">
        <v>21</v>
      </c>
      <c r="D29" s="489">
        <v>180</v>
      </c>
      <c r="E29" s="489"/>
      <c r="F29" s="490">
        <v>8374048.6533333333</v>
      </c>
      <c r="G29" s="490">
        <v>12</v>
      </c>
      <c r="H29" s="491">
        <v>125000000</v>
      </c>
      <c r="I29" s="168"/>
    </row>
    <row r="30" spans="1:9" s="4" customFormat="1" ht="16.5">
      <c r="A30" s="494" t="s">
        <v>410</v>
      </c>
      <c r="B30" s="489" t="s">
        <v>411</v>
      </c>
      <c r="C30" s="489">
        <v>96</v>
      </c>
      <c r="D30" s="489">
        <v>180</v>
      </c>
      <c r="E30" s="489"/>
      <c r="F30" s="490">
        <v>40049290.840800002</v>
      </c>
      <c r="G30" s="490">
        <v>12</v>
      </c>
      <c r="H30" s="491">
        <v>825000000</v>
      </c>
      <c r="I30" s="168"/>
    </row>
    <row r="31" spans="1:9" ht="17.25" customHeight="1">
      <c r="A31" s="734" t="s">
        <v>145</v>
      </c>
      <c r="B31" s="734"/>
      <c r="C31" s="485"/>
      <c r="D31" s="485"/>
      <c r="E31" s="485"/>
      <c r="F31" s="486">
        <f>SUM(F6:F30)</f>
        <v>7586214676.9969339</v>
      </c>
      <c r="G31" s="486"/>
      <c r="H31" s="486">
        <f>SUM(H6:H30)</f>
        <v>93129230000</v>
      </c>
      <c r="I31" s="484"/>
    </row>
    <row r="32" spans="1:9" ht="15.75" customHeight="1">
      <c r="A32" s="738" t="s">
        <v>199</v>
      </c>
      <c r="B32" s="739"/>
      <c r="C32" s="739"/>
      <c r="D32" s="739"/>
      <c r="E32" s="739"/>
      <c r="F32" s="739"/>
      <c r="G32" s="739"/>
      <c r="H32" s="739"/>
      <c r="I32" s="740"/>
    </row>
    <row r="33" spans="1:12" s="4" customFormat="1" ht="16.5">
      <c r="A33" s="494"/>
      <c r="B33" s="489"/>
      <c r="C33" s="489"/>
      <c r="D33" s="489"/>
      <c r="E33" s="489"/>
      <c r="F33" s="490"/>
      <c r="G33" s="490"/>
      <c r="H33" s="491"/>
      <c r="I33" s="168"/>
    </row>
    <row r="34" spans="1:12" s="4" customFormat="1" ht="16.5">
      <c r="A34" s="494"/>
      <c r="B34" s="489"/>
      <c r="C34" s="489"/>
      <c r="D34" s="489"/>
      <c r="E34" s="489"/>
      <c r="F34" s="490"/>
      <c r="G34" s="490"/>
      <c r="H34" s="491"/>
      <c r="I34" s="168"/>
    </row>
    <row r="35" spans="1:12" s="4" customFormat="1" ht="16.5">
      <c r="A35" s="494"/>
      <c r="B35" s="489"/>
      <c r="C35" s="489"/>
      <c r="D35" s="489"/>
      <c r="E35" s="489"/>
      <c r="F35" s="490"/>
      <c r="G35" s="490"/>
      <c r="H35" s="491"/>
      <c r="I35" s="168"/>
    </row>
    <row r="36" spans="1:12" s="4" customFormat="1" ht="16.5">
      <c r="A36" s="494"/>
      <c r="B36" s="489"/>
      <c r="C36" s="489"/>
      <c r="D36" s="489"/>
      <c r="E36" s="489"/>
      <c r="F36" s="490"/>
      <c r="G36" s="490"/>
      <c r="H36" s="491"/>
      <c r="I36" s="168"/>
    </row>
    <row r="37" spans="1:12" ht="17.25" customHeight="1">
      <c r="A37" s="734" t="s">
        <v>145</v>
      </c>
      <c r="B37" s="734"/>
      <c r="C37" s="485"/>
      <c r="D37" s="485"/>
      <c r="E37" s="485"/>
      <c r="F37" s="486">
        <f>+SUM(F33:F36)</f>
        <v>0</v>
      </c>
      <c r="G37" s="485"/>
      <c r="H37" s="486">
        <f>+SUM(H33:H36)</f>
        <v>0</v>
      </c>
      <c r="I37" s="484"/>
    </row>
    <row r="38" spans="1:12" ht="15.75" customHeight="1">
      <c r="A38" s="738" t="s">
        <v>200</v>
      </c>
      <c r="B38" s="739"/>
      <c r="C38" s="739"/>
      <c r="D38" s="739"/>
      <c r="E38" s="739"/>
      <c r="F38" s="739"/>
      <c r="G38" s="739"/>
      <c r="H38" s="739"/>
      <c r="I38" s="740"/>
    </row>
    <row r="39" spans="1:12" s="4" customFormat="1" ht="15.75" customHeight="1">
      <c r="A39" s="494" t="s">
        <v>402</v>
      </c>
      <c r="B39" s="489" t="s">
        <v>412</v>
      </c>
      <c r="C39" s="489">
        <v>20</v>
      </c>
      <c r="D39" s="489">
        <v>30</v>
      </c>
      <c r="E39" s="489">
        <v>330000</v>
      </c>
      <c r="F39" s="490">
        <f t="shared" ref="F39:F56" si="1">H39/G39</f>
        <v>10749522.9</v>
      </c>
      <c r="G39" s="490">
        <v>12</v>
      </c>
      <c r="H39" s="492">
        <f>+(125237160*3%)+125237160</f>
        <v>128994274.8</v>
      </c>
      <c r="I39" s="491"/>
      <c r="J39" s="638">
        <f>+H39*$M$58</f>
        <v>109749153.98268352</v>
      </c>
      <c r="L39" s="639">
        <f>+J39-H39</f>
        <v>-19245120.817316473</v>
      </c>
    </row>
    <row r="40" spans="1:12" s="4" customFormat="1" ht="15.75" customHeight="1">
      <c r="A40" s="494" t="s">
        <v>405</v>
      </c>
      <c r="B40" s="489" t="s">
        <v>412</v>
      </c>
      <c r="C40" s="489">
        <v>18</v>
      </c>
      <c r="D40" s="489">
        <v>20</v>
      </c>
      <c r="E40" s="489">
        <v>295000</v>
      </c>
      <c r="F40" s="490">
        <f t="shared" si="1"/>
        <v>1948554</v>
      </c>
      <c r="G40" s="490">
        <v>12</v>
      </c>
      <c r="H40" s="492">
        <f>(22701600*3%)+22701600</f>
        <v>23382648</v>
      </c>
      <c r="I40" s="491"/>
      <c r="J40" s="638">
        <f t="shared" ref="J40:J56" si="2">+H40*$M$58</f>
        <v>19894106.462117862</v>
      </c>
      <c r="L40" s="639">
        <f t="shared" ref="L40:L66" si="3">+J40-H40</f>
        <v>-3488541.537882138</v>
      </c>
    </row>
    <row r="41" spans="1:12" s="4" customFormat="1" ht="15.75" customHeight="1">
      <c r="A41" s="494" t="s">
        <v>111</v>
      </c>
      <c r="B41" s="489" t="s">
        <v>412</v>
      </c>
      <c r="C41" s="489">
        <v>15</v>
      </c>
      <c r="D41" s="489">
        <v>25</v>
      </c>
      <c r="E41" s="489">
        <v>350000</v>
      </c>
      <c r="F41" s="490">
        <f t="shared" si="1"/>
        <v>1716666.6666666667</v>
      </c>
      <c r="G41" s="490">
        <v>12</v>
      </c>
      <c r="H41" s="492">
        <f>(20000000*3%)+20000000</f>
        <v>20600000</v>
      </c>
      <c r="I41" s="491"/>
      <c r="J41" s="638">
        <f t="shared" si="2"/>
        <v>17526611.747293461</v>
      </c>
      <c r="L41" s="639">
        <f t="shared" si="3"/>
        <v>-3073388.2527065389</v>
      </c>
    </row>
    <row r="42" spans="1:12" s="4" customFormat="1" ht="15.75" customHeight="1">
      <c r="A42" s="494" t="s">
        <v>406</v>
      </c>
      <c r="B42" s="489" t="s">
        <v>412</v>
      </c>
      <c r="C42" s="489">
        <v>6</v>
      </c>
      <c r="D42" s="489">
        <v>7</v>
      </c>
      <c r="E42" s="489">
        <v>350000</v>
      </c>
      <c r="F42" s="490">
        <f t="shared" si="1"/>
        <v>257500</v>
      </c>
      <c r="G42" s="490">
        <v>12</v>
      </c>
      <c r="H42" s="492">
        <f>(3000000*3%)+3000000</f>
        <v>3090000</v>
      </c>
      <c r="I42" s="491"/>
      <c r="J42" s="638">
        <f t="shared" si="2"/>
        <v>2628991.762094019</v>
      </c>
      <c r="L42" s="639">
        <f t="shared" si="3"/>
        <v>-461008.23790598102</v>
      </c>
    </row>
    <row r="43" spans="1:12" s="4" customFormat="1" ht="15.75" customHeight="1">
      <c r="A43" s="494" t="s">
        <v>113</v>
      </c>
      <c r="B43" s="489" t="s">
        <v>412</v>
      </c>
      <c r="C43" s="489">
        <v>50</v>
      </c>
      <c r="D43" s="489">
        <v>35</v>
      </c>
      <c r="E43" s="489">
        <v>320000</v>
      </c>
      <c r="F43" s="490">
        <f t="shared" si="1"/>
        <v>12875000</v>
      </c>
      <c r="G43" s="490">
        <v>12</v>
      </c>
      <c r="H43" s="492">
        <f>(150000000*3%)+150000000</f>
        <v>154500000</v>
      </c>
      <c r="I43" s="491"/>
      <c r="J43" s="638">
        <f t="shared" si="2"/>
        <v>131449588.10470095</v>
      </c>
      <c r="L43" s="639">
        <f t="shared" si="3"/>
        <v>-23050411.895299047</v>
      </c>
    </row>
    <row r="44" spans="1:12" s="4" customFormat="1" ht="15.75" customHeight="1">
      <c r="A44" s="494" t="s">
        <v>407</v>
      </c>
      <c r="B44" s="489" t="s">
        <v>412</v>
      </c>
      <c r="C44" s="489">
        <v>160</v>
      </c>
      <c r="D44" s="489">
        <v>60</v>
      </c>
      <c r="E44" s="489">
        <v>270000</v>
      </c>
      <c r="F44" s="490">
        <f t="shared" si="1"/>
        <v>188833333.33333334</v>
      </c>
      <c r="G44" s="490">
        <v>12</v>
      </c>
      <c r="H44" s="492">
        <f>(2200000000*3%)+2200000000</f>
        <v>2266000000</v>
      </c>
      <c r="I44" s="491"/>
      <c r="J44" s="638">
        <f t="shared" si="2"/>
        <v>1927927292.2022805</v>
      </c>
      <c r="L44" s="639">
        <f t="shared" si="3"/>
        <v>-338072707.79771948</v>
      </c>
    </row>
    <row r="45" spans="1:12" s="4" customFormat="1" ht="15.75" customHeight="1">
      <c r="A45" s="494" t="s">
        <v>408</v>
      </c>
      <c r="B45" s="489" t="s">
        <v>412</v>
      </c>
      <c r="C45" s="489">
        <v>26</v>
      </c>
      <c r="D45" s="489">
        <v>25</v>
      </c>
      <c r="E45" s="489">
        <v>250000</v>
      </c>
      <c r="F45" s="490">
        <f t="shared" si="1"/>
        <v>24033333.333333332</v>
      </c>
      <c r="G45" s="490">
        <v>12</v>
      </c>
      <c r="H45" s="492">
        <f>(280000000*3%)+280000000</f>
        <v>288400000</v>
      </c>
      <c r="I45" s="491"/>
      <c r="J45" s="638">
        <f t="shared" si="2"/>
        <v>245372564.46210843</v>
      </c>
      <c r="L45" s="639">
        <f t="shared" si="3"/>
        <v>-43027435.537891567</v>
      </c>
    </row>
    <row r="46" spans="1:12" s="4" customFormat="1" ht="15.75" customHeight="1">
      <c r="A46" s="494" t="s">
        <v>409</v>
      </c>
      <c r="B46" s="489" t="s">
        <v>412</v>
      </c>
      <c r="C46" s="489">
        <v>10</v>
      </c>
      <c r="D46" s="489">
        <v>15</v>
      </c>
      <c r="E46" s="489">
        <v>320000</v>
      </c>
      <c r="F46" s="490">
        <f t="shared" si="1"/>
        <v>6008333.333333333</v>
      </c>
      <c r="G46" s="490">
        <v>12</v>
      </c>
      <c r="H46" s="492">
        <f>(70000000*3%)+70000000</f>
        <v>72100000</v>
      </c>
      <c r="I46" s="491"/>
      <c r="J46" s="638">
        <f t="shared" si="2"/>
        <v>61343141.115527108</v>
      </c>
      <c r="L46" s="639">
        <f t="shared" si="3"/>
        <v>-10756858.884472892</v>
      </c>
    </row>
    <row r="47" spans="1:12" s="4" customFormat="1" ht="15.75" customHeight="1">
      <c r="A47" s="494" t="s">
        <v>410</v>
      </c>
      <c r="B47" s="489" t="s">
        <v>412</v>
      </c>
      <c r="C47" s="493">
        <v>75</v>
      </c>
      <c r="D47" s="489">
        <v>95</v>
      </c>
      <c r="E47" s="489">
        <v>290000</v>
      </c>
      <c r="F47" s="490">
        <f t="shared" si="1"/>
        <v>68666666.666666672</v>
      </c>
      <c r="G47" s="490">
        <v>12</v>
      </c>
      <c r="H47" s="492">
        <f>(800000000*3%)+800000000</f>
        <v>824000000</v>
      </c>
      <c r="I47" s="491"/>
      <c r="J47" s="638">
        <f t="shared" si="2"/>
        <v>701064469.89173841</v>
      </c>
      <c r="L47" s="639">
        <f t="shared" si="3"/>
        <v>-122935530.10826159</v>
      </c>
    </row>
    <row r="48" spans="1:12" s="4" customFormat="1" ht="15.75" customHeight="1">
      <c r="A48" s="494" t="s">
        <v>402</v>
      </c>
      <c r="B48" s="489" t="s">
        <v>411</v>
      </c>
      <c r="C48" s="489">
        <v>20</v>
      </c>
      <c r="D48" s="489">
        <v>30</v>
      </c>
      <c r="E48" s="489"/>
      <c r="F48" s="490">
        <f t="shared" si="1"/>
        <v>766666.66666666663</v>
      </c>
      <c r="G48" s="490">
        <v>12</v>
      </c>
      <c r="H48" s="492">
        <v>9200000</v>
      </c>
      <c r="I48" s="491"/>
      <c r="J48" s="638">
        <f t="shared" si="2"/>
        <v>7827418.8385970788</v>
      </c>
      <c r="L48" s="639">
        <f t="shared" si="3"/>
        <v>-1372581.1614029212</v>
      </c>
    </row>
    <row r="49" spans="1:16" s="4" customFormat="1" ht="15.75" customHeight="1">
      <c r="A49" s="494" t="s">
        <v>405</v>
      </c>
      <c r="B49" s="489" t="s">
        <v>411</v>
      </c>
      <c r="C49" s="489">
        <v>18</v>
      </c>
      <c r="D49" s="489">
        <v>20</v>
      </c>
      <c r="E49" s="489"/>
      <c r="F49" s="490">
        <f t="shared" si="1"/>
        <v>766666.66666666663</v>
      </c>
      <c r="G49" s="490">
        <v>12</v>
      </c>
      <c r="H49" s="492">
        <v>9200000</v>
      </c>
      <c r="I49" s="491"/>
      <c r="J49" s="638">
        <f t="shared" si="2"/>
        <v>7827418.8385970788</v>
      </c>
      <c r="L49" s="639">
        <f t="shared" si="3"/>
        <v>-1372581.1614029212</v>
      </c>
    </row>
    <row r="50" spans="1:16" s="4" customFormat="1" ht="15.75" customHeight="1">
      <c r="A50" s="494" t="s">
        <v>111</v>
      </c>
      <c r="B50" s="489" t="s">
        <v>411</v>
      </c>
      <c r="C50" s="489">
        <v>15</v>
      </c>
      <c r="D50" s="489">
        <v>25</v>
      </c>
      <c r="E50" s="489"/>
      <c r="F50" s="490">
        <f t="shared" si="1"/>
        <v>125000</v>
      </c>
      <c r="G50" s="490">
        <v>12</v>
      </c>
      <c r="H50" s="492">
        <v>1500000</v>
      </c>
      <c r="I50" s="491"/>
      <c r="J50" s="638">
        <f t="shared" si="2"/>
        <v>1276209.5932495238</v>
      </c>
      <c r="L50" s="639">
        <f t="shared" si="3"/>
        <v>-223790.40675047622</v>
      </c>
    </row>
    <row r="51" spans="1:16" s="4" customFormat="1" ht="15.75" customHeight="1">
      <c r="A51" s="494" t="s">
        <v>406</v>
      </c>
      <c r="B51" s="489" t="s">
        <v>411</v>
      </c>
      <c r="C51" s="489">
        <v>6</v>
      </c>
      <c r="D51" s="489">
        <v>7</v>
      </c>
      <c r="E51" s="489">
        <v>0</v>
      </c>
      <c r="F51" s="490">
        <f t="shared" si="1"/>
        <v>62500</v>
      </c>
      <c r="G51" s="490">
        <v>12</v>
      </c>
      <c r="H51" s="492">
        <v>750000</v>
      </c>
      <c r="I51" s="491"/>
      <c r="J51" s="638">
        <f t="shared" si="2"/>
        <v>638104.79662476189</v>
      </c>
      <c r="L51" s="639">
        <f t="shared" si="3"/>
        <v>-111895.20337523811</v>
      </c>
    </row>
    <row r="52" spans="1:16" s="4" customFormat="1" ht="15.75" customHeight="1">
      <c r="A52" s="494" t="s">
        <v>113</v>
      </c>
      <c r="B52" s="489" t="s">
        <v>411</v>
      </c>
      <c r="C52" s="489">
        <v>50</v>
      </c>
      <c r="D52" s="489">
        <v>35</v>
      </c>
      <c r="E52" s="489"/>
      <c r="F52" s="490">
        <f t="shared" si="1"/>
        <v>1875000</v>
      </c>
      <c r="G52" s="490">
        <v>12</v>
      </c>
      <c r="H52" s="492">
        <v>22500000</v>
      </c>
      <c r="I52" s="491"/>
      <c r="J52" s="638">
        <f t="shared" si="2"/>
        <v>19143143.898742858</v>
      </c>
      <c r="L52" s="639">
        <f t="shared" si="3"/>
        <v>-3356856.1012571417</v>
      </c>
    </row>
    <row r="53" spans="1:16" s="4" customFormat="1" ht="15.75" customHeight="1">
      <c r="A53" s="494" t="s">
        <v>407</v>
      </c>
      <c r="B53" s="489" t="s">
        <v>411</v>
      </c>
      <c r="C53" s="489">
        <v>160</v>
      </c>
      <c r="D53" s="489">
        <v>60</v>
      </c>
      <c r="E53" s="489"/>
      <c r="F53" s="490">
        <f t="shared" si="1"/>
        <v>7500000</v>
      </c>
      <c r="G53" s="490">
        <v>12</v>
      </c>
      <c r="H53" s="492">
        <v>90000000</v>
      </c>
      <c r="I53" s="491"/>
      <c r="J53" s="638">
        <f t="shared" si="2"/>
        <v>76572575.594971433</v>
      </c>
      <c r="L53" s="639">
        <f t="shared" si="3"/>
        <v>-13427424.405028567</v>
      </c>
    </row>
    <row r="54" spans="1:16" s="4" customFormat="1" ht="15.75" customHeight="1">
      <c r="A54" s="494" t="s">
        <v>408</v>
      </c>
      <c r="B54" s="489" t="s">
        <v>411</v>
      </c>
      <c r="C54" s="489">
        <v>26</v>
      </c>
      <c r="D54" s="489">
        <v>25</v>
      </c>
      <c r="E54" s="489"/>
      <c r="F54" s="490">
        <f t="shared" si="1"/>
        <v>1875000</v>
      </c>
      <c r="G54" s="490">
        <v>12</v>
      </c>
      <c r="H54" s="492">
        <v>22500000</v>
      </c>
      <c r="I54" s="491"/>
      <c r="J54" s="638">
        <f t="shared" si="2"/>
        <v>19143143.898742858</v>
      </c>
      <c r="L54" s="639">
        <f t="shared" si="3"/>
        <v>-3356856.1012571417</v>
      </c>
    </row>
    <row r="55" spans="1:16" s="4" customFormat="1" ht="15.75" customHeight="1">
      <c r="A55" s="494" t="s">
        <v>409</v>
      </c>
      <c r="B55" s="489" t="s">
        <v>411</v>
      </c>
      <c r="C55" s="489">
        <v>10</v>
      </c>
      <c r="D55" s="489">
        <v>15</v>
      </c>
      <c r="E55" s="489"/>
      <c r="F55" s="490">
        <f t="shared" si="1"/>
        <v>833333.33333333337</v>
      </c>
      <c r="G55" s="490">
        <v>12</v>
      </c>
      <c r="H55" s="492">
        <v>10000000</v>
      </c>
      <c r="I55" s="491"/>
      <c r="J55" s="638">
        <f t="shared" si="2"/>
        <v>8508063.9549968243</v>
      </c>
      <c r="L55" s="639">
        <f t="shared" si="3"/>
        <v>-1491936.0450031757</v>
      </c>
    </row>
    <row r="56" spans="1:16" s="4" customFormat="1" ht="15.75" customHeight="1">
      <c r="A56" s="494" t="s">
        <v>410</v>
      </c>
      <c r="B56" s="489" t="s">
        <v>411</v>
      </c>
      <c r="C56" s="489">
        <v>30</v>
      </c>
      <c r="D56" s="489">
        <v>60</v>
      </c>
      <c r="E56" s="489"/>
      <c r="F56" s="490">
        <f t="shared" si="1"/>
        <v>17500000</v>
      </c>
      <c r="G56" s="490">
        <v>12</v>
      </c>
      <c r="H56" s="491">
        <v>210000000</v>
      </c>
      <c r="I56" s="491"/>
      <c r="J56" s="638">
        <f t="shared" si="2"/>
        <v>178669343.05493334</v>
      </c>
      <c r="L56" s="639">
        <f t="shared" si="3"/>
        <v>-31330656.945066661</v>
      </c>
    </row>
    <row r="57" spans="1:16" ht="16.5" customHeight="1">
      <c r="A57" s="168"/>
      <c r="B57" s="169"/>
      <c r="C57" s="242"/>
      <c r="D57" s="242"/>
      <c r="E57" s="169"/>
      <c r="F57" s="170">
        <f>(E57*D57*C57)</f>
        <v>0</v>
      </c>
      <c r="G57" s="243"/>
      <c r="H57" s="170">
        <f>(F57*G57)*(1+$L$4)</f>
        <v>0</v>
      </c>
      <c r="I57" s="168"/>
      <c r="L57" s="638"/>
    </row>
    <row r="58" spans="1:16" ht="17.25" customHeight="1">
      <c r="A58" s="734" t="s">
        <v>145</v>
      </c>
      <c r="B58" s="734"/>
      <c r="C58" s="485"/>
      <c r="D58" s="485"/>
      <c r="E58" s="485"/>
      <c r="F58" s="486">
        <f>SUM(F39:F57)</f>
        <v>346393076.90000004</v>
      </c>
      <c r="G58" s="485"/>
      <c r="H58" s="486">
        <f>SUM(H39:H57)</f>
        <v>4156716922.8000002</v>
      </c>
      <c r="I58" s="484"/>
      <c r="J58" s="514">
        <v>3536561342.2000003</v>
      </c>
      <c r="L58" s="639">
        <f>+J58-SUM(J39:J56)</f>
        <v>0</v>
      </c>
      <c r="M58" s="636">
        <f>+J58/H58</f>
        <v>0.85080639549968251</v>
      </c>
      <c r="N58" s="636"/>
      <c r="O58" s="636"/>
      <c r="P58" s="483"/>
    </row>
    <row r="59" spans="1:16" ht="24" customHeight="1">
      <c r="A59" s="175" t="s">
        <v>201</v>
      </c>
      <c r="B59" s="171"/>
      <c r="C59" s="174"/>
      <c r="D59" s="172"/>
      <c r="E59" s="174"/>
      <c r="F59" s="173">
        <f>F31+F37+F58</f>
        <v>7932607753.8969336</v>
      </c>
      <c r="G59" s="174"/>
      <c r="H59" s="173">
        <f>H31+H37+H58</f>
        <v>97285946922.800003</v>
      </c>
      <c r="I59" s="175"/>
      <c r="L59" s="639"/>
      <c r="M59" s="636"/>
      <c r="N59" s="636"/>
      <c r="O59" s="636"/>
    </row>
    <row r="60" spans="1:16" ht="25.5">
      <c r="A60" s="176" t="s">
        <v>168</v>
      </c>
      <c r="B60" s="176" t="s">
        <v>138</v>
      </c>
      <c r="C60" s="176" t="s">
        <v>153</v>
      </c>
      <c r="D60" s="176" t="s">
        <v>154</v>
      </c>
      <c r="E60" s="176" t="s">
        <v>196</v>
      </c>
      <c r="F60" s="176" t="s">
        <v>155</v>
      </c>
      <c r="G60" s="176" t="s">
        <v>141</v>
      </c>
      <c r="H60" s="176" t="s">
        <v>156</v>
      </c>
      <c r="I60" s="176" t="s">
        <v>157</v>
      </c>
      <c r="L60" s="639"/>
      <c r="M60" s="636"/>
      <c r="N60" s="636"/>
      <c r="O60" s="636"/>
    </row>
    <row r="61" spans="1:16">
      <c r="A61" s="738" t="s">
        <v>202</v>
      </c>
      <c r="B61" s="739"/>
      <c r="C61" s="739"/>
      <c r="D61" s="739"/>
      <c r="E61" s="739"/>
      <c r="F61" s="739"/>
      <c r="G61" s="739"/>
      <c r="H61" s="739"/>
      <c r="I61" s="740"/>
      <c r="L61" s="639">
        <f t="shared" si="3"/>
        <v>0</v>
      </c>
      <c r="M61" s="636"/>
      <c r="N61" s="636"/>
      <c r="O61" s="636"/>
    </row>
    <row r="62" spans="1:16" s="487" customFormat="1" ht="63.75">
      <c r="A62" s="168" t="s">
        <v>311</v>
      </c>
      <c r="B62" s="169" t="s">
        <v>346</v>
      </c>
      <c r="C62" s="242">
        <v>696</v>
      </c>
      <c r="D62" s="242">
        <v>835000</v>
      </c>
      <c r="E62" s="169"/>
      <c r="F62" s="170">
        <v>581160000</v>
      </c>
      <c r="G62" s="243">
        <v>12</v>
      </c>
      <c r="H62" s="170">
        <v>7183137600</v>
      </c>
      <c r="I62" s="168" t="s">
        <v>347</v>
      </c>
      <c r="J62" s="635">
        <f>+H62</f>
        <v>7183137600</v>
      </c>
      <c r="L62" s="639">
        <f t="shared" si="3"/>
        <v>0</v>
      </c>
      <c r="M62" s="637">
        <f>+J62/H62</f>
        <v>1</v>
      </c>
      <c r="N62" s="637"/>
      <c r="O62" s="637"/>
    </row>
    <row r="63" spans="1:16" s="487" customFormat="1" ht="16.5" customHeight="1">
      <c r="A63" s="168"/>
      <c r="B63" s="169"/>
      <c r="C63" s="242"/>
      <c r="D63" s="242"/>
      <c r="E63" s="169"/>
      <c r="F63" s="170">
        <f>(D63*C63)</f>
        <v>0</v>
      </c>
      <c r="G63" s="243"/>
      <c r="H63" s="170">
        <f>(F63*G63)*(1+$L$4)</f>
        <v>0</v>
      </c>
      <c r="I63" s="168"/>
      <c r="L63" s="639">
        <f t="shared" si="3"/>
        <v>0</v>
      </c>
      <c r="M63" s="637"/>
      <c r="N63" s="637"/>
      <c r="O63" s="637"/>
    </row>
    <row r="64" spans="1:16" s="487" customFormat="1" ht="16.5" customHeight="1">
      <c r="A64" s="168"/>
      <c r="B64" s="169"/>
      <c r="C64" s="242"/>
      <c r="D64" s="242"/>
      <c r="E64" s="169"/>
      <c r="F64" s="170">
        <f>(D64*C64)</f>
        <v>0</v>
      </c>
      <c r="G64" s="243"/>
      <c r="H64" s="170">
        <f>(F64*G64)*(1+$L$4)</f>
        <v>0</v>
      </c>
      <c r="I64" s="168"/>
      <c r="L64" s="639">
        <f t="shared" si="3"/>
        <v>0</v>
      </c>
      <c r="M64" s="637"/>
      <c r="N64" s="637"/>
      <c r="O64" s="637"/>
    </row>
    <row r="65" spans="1:15" ht="17.25" customHeight="1">
      <c r="A65" s="734" t="s">
        <v>145</v>
      </c>
      <c r="B65" s="734"/>
      <c r="C65" s="485"/>
      <c r="D65" s="485"/>
      <c r="E65" s="485"/>
      <c r="F65" s="486">
        <f>SUM(F62:F64)</f>
        <v>581160000</v>
      </c>
      <c r="G65" s="485"/>
      <c r="H65" s="486">
        <f>SUM(H62:H64)</f>
        <v>7183137600</v>
      </c>
      <c r="I65" s="484"/>
      <c r="J65" s="514">
        <f>+H65</f>
        <v>7183137600</v>
      </c>
      <c r="L65" s="639">
        <f t="shared" si="3"/>
        <v>0</v>
      </c>
      <c r="M65" s="636"/>
      <c r="N65" s="636"/>
      <c r="O65" s="636"/>
    </row>
    <row r="66" spans="1:15">
      <c r="A66" s="738" t="s">
        <v>203</v>
      </c>
      <c r="B66" s="739"/>
      <c r="C66" s="739"/>
      <c r="D66" s="739"/>
      <c r="E66" s="739"/>
      <c r="F66" s="739"/>
      <c r="G66" s="739"/>
      <c r="H66" s="739"/>
      <c r="I66" s="740"/>
      <c r="J66" s="635"/>
      <c r="K66" s="487"/>
      <c r="L66" s="639">
        <f t="shared" si="3"/>
        <v>0</v>
      </c>
      <c r="M66" s="636"/>
      <c r="N66" s="636"/>
      <c r="O66" s="636"/>
    </row>
    <row r="67" spans="1:15" s="487" customFormat="1" ht="63.75">
      <c r="A67" s="168" t="s">
        <v>311</v>
      </c>
      <c r="B67" s="169" t="s">
        <v>346</v>
      </c>
      <c r="C67" s="242">
        <v>592</v>
      </c>
      <c r="D67" s="242">
        <v>485000</v>
      </c>
      <c r="E67" s="169"/>
      <c r="F67" s="170">
        <v>287120000</v>
      </c>
      <c r="G67" s="243">
        <v>12</v>
      </c>
      <c r="H67" s="170">
        <v>3548803200</v>
      </c>
      <c r="I67" s="168" t="s">
        <v>347</v>
      </c>
      <c r="J67" s="635">
        <v>3087458784</v>
      </c>
      <c r="L67" s="640">
        <f>+J67-H67</f>
        <v>-461344416</v>
      </c>
      <c r="M67" s="636">
        <f>+J67/H67</f>
        <v>0.87</v>
      </c>
      <c r="N67" s="637"/>
      <c r="O67" s="637"/>
    </row>
    <row r="68" spans="1:15" s="487" customFormat="1" ht="16.5" customHeight="1">
      <c r="A68" s="168"/>
      <c r="B68" s="169"/>
      <c r="C68" s="242"/>
      <c r="D68" s="242"/>
      <c r="E68" s="169"/>
      <c r="F68" s="170">
        <f>(D68*C68)</f>
        <v>0</v>
      </c>
      <c r="G68" s="243"/>
      <c r="H68" s="170">
        <f>(F68*G68)*(1+$L$4)</f>
        <v>0</v>
      </c>
      <c r="I68" s="168"/>
      <c r="M68" s="637"/>
      <c r="N68" s="637"/>
      <c r="O68" s="637"/>
    </row>
    <row r="69" spans="1:15" ht="17.25" customHeight="1">
      <c r="A69" s="734" t="s">
        <v>145</v>
      </c>
      <c r="B69" s="734"/>
      <c r="C69" s="485"/>
      <c r="D69" s="485"/>
      <c r="E69" s="485"/>
      <c r="F69" s="486">
        <f>SUM(F67:F68)</f>
        <v>287120000</v>
      </c>
      <c r="G69" s="485"/>
      <c r="H69" s="486">
        <f>SUM(H67:H68)</f>
        <v>3548803200</v>
      </c>
      <c r="I69" s="484"/>
    </row>
    <row r="70" spans="1:15" ht="21" customHeight="1">
      <c r="A70" s="175" t="s">
        <v>204</v>
      </c>
      <c r="B70" s="171"/>
      <c r="C70" s="174"/>
      <c r="D70" s="172"/>
      <c r="E70" s="174"/>
      <c r="F70" s="173">
        <f>F65+F69</f>
        <v>868280000</v>
      </c>
      <c r="G70" s="174"/>
      <c r="H70" s="173">
        <f>H65+H69</f>
        <v>10731940800</v>
      </c>
      <c r="I70" s="175"/>
      <c r="J70" s="514">
        <f>+J67+J65</f>
        <v>10270596384</v>
      </c>
      <c r="L70" s="514">
        <f>+J70-SUM(J67+J62)</f>
        <v>0</v>
      </c>
    </row>
    <row r="71" spans="1:15" ht="27" customHeight="1">
      <c r="A71" s="737" t="s">
        <v>205</v>
      </c>
      <c r="B71" s="737"/>
      <c r="C71" s="177"/>
      <c r="D71" s="177" t="s">
        <v>206</v>
      </c>
      <c r="E71" s="177"/>
      <c r="F71" s="177">
        <f>F59+F70</f>
        <v>8800887753.8969345</v>
      </c>
      <c r="G71" s="177"/>
      <c r="H71" s="177">
        <f>H59+H70</f>
        <v>108017887722.8</v>
      </c>
      <c r="I71" s="177"/>
    </row>
    <row r="72" spans="1:15">
      <c r="E72" s="488"/>
    </row>
    <row r="73" spans="1:15">
      <c r="A73" s="735" t="s">
        <v>100</v>
      </c>
      <c r="B73" s="735"/>
      <c r="C73" s="735"/>
      <c r="D73" s="735" t="s">
        <v>165</v>
      </c>
      <c r="E73" s="735"/>
      <c r="F73" s="735"/>
      <c r="G73" s="735"/>
      <c r="H73" s="736" t="s">
        <v>136</v>
      </c>
      <c r="I73" s="736"/>
    </row>
    <row r="76" spans="1:15">
      <c r="H76" s="514"/>
    </row>
  </sheetData>
  <sheetProtection formatRows="0" insertRows="0"/>
  <mergeCells count="16">
    <mergeCell ref="A3:I3"/>
    <mergeCell ref="A5:I5"/>
    <mergeCell ref="A32:I32"/>
    <mergeCell ref="A38:I38"/>
    <mergeCell ref="A61:I61"/>
    <mergeCell ref="A31:B31"/>
    <mergeCell ref="A37:B37"/>
    <mergeCell ref="A58:B58"/>
    <mergeCell ref="I7:I26"/>
    <mergeCell ref="A65:B65"/>
    <mergeCell ref="A69:B69"/>
    <mergeCell ref="A73:C73"/>
    <mergeCell ref="H73:I73"/>
    <mergeCell ref="D73:G73"/>
    <mergeCell ref="A71:B71"/>
    <mergeCell ref="A66:I66"/>
  </mergeCells>
  <dataValidations count="1">
    <dataValidation type="whole" operator="greaterThanOrEqual" allowBlank="1" showErrorMessage="1" errorTitle="SOLO NUMEROS ENTEROS" error="SOLO NUMEROS ENTEROS" sqref="G62:G64 C62:E64 G67:G68 G39:G57 C39:E57 C67:E68 G33:G36 C33:E36 G6:G30 C6:E30" xr:uid="{8BF13DE1-153B-4BD3-A3F3-2358402C5944}">
      <formula1>0</formula1>
    </dataValidation>
  </dataValidations>
  <pageMargins left="0.70866141732283472" right="0.70866141732283472" top="0.74803149606299213" bottom="0.74803149606299213" header="0.31496062992125984" footer="0.31496062992125984"/>
  <pageSetup scale="50" fitToHeight="0" orientation="landscape" horizontalDpi="4294967294" verticalDpi="4294967294" r:id="rId1"/>
  <ignoredErrors>
    <ignoredError sqref="G31 G37 F65:G65 F69:H69 H58" unlocked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7200-3A4A-43A5-8771-BC6C42A54FD2}">
  <sheetPr>
    <tabColor theme="8" tint="-0.249977111117893"/>
    <pageSetUpPr fitToPage="1"/>
  </sheetPr>
  <dimension ref="A1:T225"/>
  <sheetViews>
    <sheetView showGridLines="0" view="pageBreakPreview" topLeftCell="A209" zoomScaleNormal="100" zoomScaleSheetLayoutView="100" workbookViewId="0">
      <selection activeCell="C217" sqref="C217"/>
    </sheetView>
  </sheetViews>
  <sheetFormatPr baseColWidth="10" defaultColWidth="11.42578125" defaultRowHeight="12.75"/>
  <cols>
    <col min="1" max="1" width="30.28515625" style="8" bestFit="1" customWidth="1"/>
    <col min="2" max="2" width="30.7109375" style="8" customWidth="1"/>
    <col min="3" max="4" width="16.5703125" style="8" bestFit="1" customWidth="1"/>
    <col min="5" max="14" width="14.85546875" style="8" bestFit="1" customWidth="1"/>
    <col min="15" max="15" width="21.42578125" style="8" customWidth="1"/>
    <col min="16" max="16" width="22" style="8" customWidth="1"/>
    <col min="17" max="17" width="45.7109375" style="460" customWidth="1"/>
    <col min="18" max="16384" width="11.42578125" style="8"/>
  </cols>
  <sheetData>
    <row r="1" spans="1:20" hidden="1"/>
    <row r="2" spans="1:20" ht="13.5" hidden="1" thickBot="1"/>
    <row r="3" spans="1:20" ht="32.25" customHeight="1">
      <c r="A3" s="760" t="s">
        <v>207</v>
      </c>
      <c r="B3" s="761"/>
      <c r="C3" s="761"/>
      <c r="D3" s="761"/>
      <c r="E3" s="761"/>
      <c r="F3" s="761"/>
      <c r="G3" s="761"/>
      <c r="H3" s="761"/>
      <c r="I3" s="761"/>
      <c r="J3" s="761"/>
      <c r="K3" s="761"/>
      <c r="L3" s="761"/>
      <c r="M3" s="761"/>
      <c r="N3" s="761"/>
      <c r="O3" s="761"/>
      <c r="P3" s="761"/>
      <c r="Q3" s="762"/>
    </row>
    <row r="4" spans="1:20" ht="26.25" thickBot="1">
      <c r="A4" s="42" t="s">
        <v>208</v>
      </c>
      <c r="B4" s="43" t="s">
        <v>138</v>
      </c>
      <c r="C4" s="43" t="s">
        <v>209</v>
      </c>
      <c r="D4" s="43" t="s">
        <v>210</v>
      </c>
      <c r="E4" s="43" t="s">
        <v>211</v>
      </c>
      <c r="F4" s="43" t="s">
        <v>212</v>
      </c>
      <c r="G4" s="43" t="s">
        <v>213</v>
      </c>
      <c r="H4" s="43" t="s">
        <v>214</v>
      </c>
      <c r="I4" s="43" t="s">
        <v>215</v>
      </c>
      <c r="J4" s="43" t="s">
        <v>216</v>
      </c>
      <c r="K4" s="43" t="s">
        <v>217</v>
      </c>
      <c r="L4" s="43" t="s">
        <v>218</v>
      </c>
      <c r="M4" s="43" t="s">
        <v>219</v>
      </c>
      <c r="N4" s="43" t="s">
        <v>220</v>
      </c>
      <c r="O4" s="43" t="s">
        <v>221</v>
      </c>
      <c r="P4" s="43" t="s">
        <v>156</v>
      </c>
      <c r="Q4" s="44" t="s">
        <v>157</v>
      </c>
      <c r="S4" s="93" t="s">
        <v>7</v>
      </c>
      <c r="T4" s="94">
        <f>'[1]PRESUPUESTO T+1 '!B12</f>
        <v>0.03</v>
      </c>
    </row>
    <row r="5" spans="1:20" ht="13.5" thickTop="1">
      <c r="A5" s="763" t="s">
        <v>348</v>
      </c>
      <c r="B5" s="764"/>
      <c r="C5" s="764"/>
      <c r="D5" s="764"/>
      <c r="E5" s="764"/>
      <c r="F5" s="764"/>
      <c r="G5" s="764"/>
      <c r="H5" s="764"/>
      <c r="I5" s="764"/>
      <c r="J5" s="764"/>
      <c r="K5" s="764"/>
      <c r="L5" s="764"/>
      <c r="M5" s="764"/>
      <c r="N5" s="764"/>
      <c r="O5" s="764"/>
      <c r="P5" s="764"/>
      <c r="Q5" s="765"/>
    </row>
    <row r="6" spans="1:20" ht="12.75" customHeight="1">
      <c r="A6" s="405" t="s">
        <v>222</v>
      </c>
      <c r="B6" s="406" t="s">
        <v>349</v>
      </c>
      <c r="C6" s="407">
        <v>53789170</v>
      </c>
      <c r="D6" s="407">
        <v>57656050</v>
      </c>
      <c r="E6" s="407">
        <v>57284920</v>
      </c>
      <c r="F6" s="407">
        <v>54854500</v>
      </c>
      <c r="G6" s="407">
        <v>53602780</v>
      </c>
      <c r="H6" s="407">
        <v>52658160</v>
      </c>
      <c r="I6" s="407">
        <v>54262920</v>
      </c>
      <c r="J6" s="407">
        <v>52729890</v>
      </c>
      <c r="K6" s="407">
        <v>54930760</v>
      </c>
      <c r="L6" s="407">
        <v>53148720</v>
      </c>
      <c r="M6" s="407">
        <v>57284920</v>
      </c>
      <c r="N6" s="407">
        <v>55170760</v>
      </c>
      <c r="O6" s="408">
        <f t="shared" ref="O6:O11" si="0">SUM(C6:N6)</f>
        <v>657373550</v>
      </c>
      <c r="P6" s="408">
        <f>O6*(1+$T$4)</f>
        <v>677094756.5</v>
      </c>
      <c r="Q6" s="766" t="s">
        <v>350</v>
      </c>
    </row>
    <row r="7" spans="1:20">
      <c r="A7" s="405" t="s">
        <v>223</v>
      </c>
      <c r="B7" s="406" t="s">
        <v>351</v>
      </c>
      <c r="C7" s="407">
        <v>142633890</v>
      </c>
      <c r="D7" s="407">
        <v>140578390</v>
      </c>
      <c r="E7" s="407">
        <v>138371280</v>
      </c>
      <c r="F7" s="407">
        <v>130554710</v>
      </c>
      <c r="G7" s="407">
        <v>134781790</v>
      </c>
      <c r="H7" s="407">
        <v>130575030</v>
      </c>
      <c r="I7" s="407">
        <v>132125360</v>
      </c>
      <c r="J7" s="407">
        <v>130362550</v>
      </c>
      <c r="K7" s="409">
        <v>133932180</v>
      </c>
      <c r="L7" s="407">
        <v>131948490</v>
      </c>
      <c r="M7" s="407">
        <v>131060990</v>
      </c>
      <c r="N7" s="407">
        <v>134547630</v>
      </c>
      <c r="O7" s="408">
        <f t="shared" si="0"/>
        <v>1611472290</v>
      </c>
      <c r="P7" s="408">
        <f>+(O7*$T$4)+O7</f>
        <v>1659816458.7</v>
      </c>
      <c r="Q7" s="767"/>
    </row>
    <row r="8" spans="1:20">
      <c r="A8" s="405" t="s">
        <v>224</v>
      </c>
      <c r="B8" s="406" t="str">
        <f>+B7</f>
        <v>02-02-02-006-009</v>
      </c>
      <c r="C8" s="407"/>
      <c r="D8" s="409"/>
      <c r="E8" s="407"/>
      <c r="F8" s="407"/>
      <c r="G8" s="407"/>
      <c r="H8" s="407"/>
      <c r="I8" s="407"/>
      <c r="J8" s="407"/>
      <c r="K8" s="407"/>
      <c r="L8" s="407"/>
      <c r="M8" s="407"/>
      <c r="N8" s="407"/>
      <c r="O8" s="408">
        <f t="shared" si="0"/>
        <v>0</v>
      </c>
      <c r="P8" s="408">
        <f>+(O8*$T$4)+O8</f>
        <v>0</v>
      </c>
      <c r="Q8" s="767"/>
    </row>
    <row r="9" spans="1:20">
      <c r="A9" s="410" t="s">
        <v>225</v>
      </c>
      <c r="B9" s="411"/>
      <c r="C9" s="407"/>
      <c r="D9" s="407"/>
      <c r="E9" s="407"/>
      <c r="F9" s="407"/>
      <c r="G9" s="407"/>
      <c r="H9" s="407"/>
      <c r="I9" s="407"/>
      <c r="J9" s="407"/>
      <c r="K9" s="407"/>
      <c r="L9" s="407"/>
      <c r="M9" s="407"/>
      <c r="N9" s="407"/>
      <c r="O9" s="408">
        <f t="shared" si="0"/>
        <v>0</v>
      </c>
      <c r="P9" s="408">
        <f>+(O9*$T$4)+O9</f>
        <v>0</v>
      </c>
      <c r="Q9" s="768"/>
    </row>
    <row r="10" spans="1:20" ht="13.5" customHeight="1">
      <c r="A10" s="405" t="s">
        <v>226</v>
      </c>
      <c r="B10" s="412" t="s">
        <v>352</v>
      </c>
      <c r="C10" s="407">
        <v>12000000</v>
      </c>
      <c r="D10" s="407">
        <v>12000000</v>
      </c>
      <c r="E10" s="407">
        <v>12000000</v>
      </c>
      <c r="F10" s="407">
        <v>12000000</v>
      </c>
      <c r="G10" s="407">
        <v>12000000</v>
      </c>
      <c r="H10" s="407">
        <v>12000000</v>
      </c>
      <c r="I10" s="407">
        <v>12000000</v>
      </c>
      <c r="J10" s="407">
        <v>12000000</v>
      </c>
      <c r="K10" s="407">
        <v>12000000</v>
      </c>
      <c r="L10" s="407">
        <v>12000000</v>
      </c>
      <c r="M10" s="407">
        <v>12000000</v>
      </c>
      <c r="N10" s="407">
        <v>12000000</v>
      </c>
      <c r="O10" s="408">
        <f t="shared" si="0"/>
        <v>144000000</v>
      </c>
      <c r="P10" s="408">
        <f>+(O10*$T$4)+O10</f>
        <v>148320000</v>
      </c>
      <c r="Q10" s="413" t="s">
        <v>353</v>
      </c>
    </row>
    <row r="11" spans="1:20" s="11" customFormat="1">
      <c r="A11" s="414" t="s">
        <v>227</v>
      </c>
      <c r="B11" s="415"/>
      <c r="C11" s="416">
        <v>0</v>
      </c>
      <c r="D11" s="417">
        <v>0</v>
      </c>
      <c r="E11" s="417">
        <v>0</v>
      </c>
      <c r="F11" s="417">
        <v>0</v>
      </c>
      <c r="G11" s="417">
        <v>0</v>
      </c>
      <c r="H11" s="417">
        <v>0</v>
      </c>
      <c r="I11" s="417">
        <v>0</v>
      </c>
      <c r="J11" s="417">
        <v>0</v>
      </c>
      <c r="K11" s="417">
        <v>0</v>
      </c>
      <c r="L11" s="417">
        <v>0</v>
      </c>
      <c r="M11" s="407">
        <v>0</v>
      </c>
      <c r="N11" s="407">
        <v>0</v>
      </c>
      <c r="O11" s="408">
        <f t="shared" si="0"/>
        <v>0</v>
      </c>
      <c r="P11" s="408">
        <f>+(O11*$T$4)+O11</f>
        <v>0</v>
      </c>
      <c r="Q11" s="418"/>
    </row>
    <row r="12" spans="1:20">
      <c r="A12" s="419" t="s">
        <v>162</v>
      </c>
      <c r="B12" s="420"/>
      <c r="C12" s="420">
        <f>SUM(C6:C10)</f>
        <v>208423060</v>
      </c>
      <c r="D12" s="420">
        <f t="shared" ref="D12:L12" si="1">SUM(D6:D10)</f>
        <v>210234440</v>
      </c>
      <c r="E12" s="420">
        <f t="shared" si="1"/>
        <v>207656200</v>
      </c>
      <c r="F12" s="420">
        <f t="shared" si="1"/>
        <v>197409210</v>
      </c>
      <c r="G12" s="420">
        <f t="shared" si="1"/>
        <v>200384570</v>
      </c>
      <c r="H12" s="420">
        <f t="shared" si="1"/>
        <v>195233190</v>
      </c>
      <c r="I12" s="420">
        <f t="shared" si="1"/>
        <v>198388280</v>
      </c>
      <c r="J12" s="420">
        <f t="shared" si="1"/>
        <v>195092440</v>
      </c>
      <c r="K12" s="420">
        <f t="shared" si="1"/>
        <v>200862940</v>
      </c>
      <c r="L12" s="420">
        <f t="shared" si="1"/>
        <v>197097210</v>
      </c>
      <c r="M12" s="420">
        <f>SUM(M6:M11)</f>
        <v>200345910</v>
      </c>
      <c r="N12" s="420">
        <f>SUM(N6:N11)</f>
        <v>201718390</v>
      </c>
      <c r="O12" s="420">
        <f>SUM(O6:O10)</f>
        <v>2412845840</v>
      </c>
      <c r="P12" s="420">
        <f>SUM(P6:P10)</f>
        <v>2485231215.1999998</v>
      </c>
      <c r="Q12" s="421"/>
    </row>
    <row r="13" spans="1:20">
      <c r="A13" s="754" t="s">
        <v>354</v>
      </c>
      <c r="B13" s="755"/>
      <c r="C13" s="755"/>
      <c r="D13" s="755"/>
      <c r="E13" s="755"/>
      <c r="F13" s="755"/>
      <c r="G13" s="755"/>
      <c r="H13" s="755"/>
      <c r="I13" s="755"/>
      <c r="J13" s="755"/>
      <c r="K13" s="755"/>
      <c r="L13" s="755"/>
      <c r="M13" s="755"/>
      <c r="N13" s="755"/>
      <c r="O13" s="755"/>
      <c r="P13" s="755"/>
      <c r="Q13" s="756"/>
    </row>
    <row r="14" spans="1:20">
      <c r="A14" s="405" t="s">
        <v>222</v>
      </c>
      <c r="B14" s="406" t="s">
        <v>349</v>
      </c>
      <c r="C14" s="422"/>
      <c r="D14" s="422"/>
      <c r="E14" s="423"/>
      <c r="F14" s="422"/>
      <c r="G14" s="422"/>
      <c r="H14" s="422"/>
      <c r="I14" s="422"/>
      <c r="J14" s="422"/>
      <c r="K14" s="422"/>
      <c r="L14" s="422"/>
      <c r="M14" s="422"/>
      <c r="N14" s="422"/>
      <c r="O14" s="408">
        <f t="shared" ref="O14:O19" si="2">SUM(C14:N14)</f>
        <v>0</v>
      </c>
      <c r="P14" s="408">
        <f>O14*(1+$T$4)</f>
        <v>0</v>
      </c>
      <c r="Q14" s="751" t="s">
        <v>355</v>
      </c>
    </row>
    <row r="15" spans="1:20">
      <c r="A15" s="405" t="s">
        <v>228</v>
      </c>
      <c r="B15" s="406" t="s">
        <v>351</v>
      </c>
      <c r="C15" s="422">
        <v>7462940</v>
      </c>
      <c r="D15" s="422">
        <v>6090500</v>
      </c>
      <c r="E15" s="424">
        <v>5505810</v>
      </c>
      <c r="F15" s="423">
        <v>5642300</v>
      </c>
      <c r="G15" s="422">
        <v>5674290</v>
      </c>
      <c r="H15" s="422">
        <v>5498660</v>
      </c>
      <c r="I15" s="422">
        <v>6312170</v>
      </c>
      <c r="J15" s="422">
        <v>5273630</v>
      </c>
      <c r="K15" s="422">
        <v>3224270</v>
      </c>
      <c r="L15" s="422">
        <v>9157700</v>
      </c>
      <c r="M15" s="422">
        <v>7341520</v>
      </c>
      <c r="N15" s="422">
        <v>6729850</v>
      </c>
      <c r="O15" s="408">
        <f t="shared" si="2"/>
        <v>73913640</v>
      </c>
      <c r="P15" s="408">
        <f>+(O15*$T$4)+O15</f>
        <v>76131049.200000003</v>
      </c>
      <c r="Q15" s="753"/>
    </row>
    <row r="16" spans="1:20">
      <c r="A16" s="405" t="s">
        <v>224</v>
      </c>
      <c r="B16" s="406" t="str">
        <f>+B15</f>
        <v>02-02-02-006-009</v>
      </c>
      <c r="C16" s="406">
        <v>0</v>
      </c>
      <c r="D16" s="406">
        <v>0</v>
      </c>
      <c r="E16" s="406">
        <v>0</v>
      </c>
      <c r="F16" s="406">
        <v>0</v>
      </c>
      <c r="G16" s="406">
        <v>0</v>
      </c>
      <c r="H16" s="406">
        <v>0</v>
      </c>
      <c r="I16" s="406">
        <v>0</v>
      </c>
      <c r="J16" s="406">
        <v>0</v>
      </c>
      <c r="K16" s="406">
        <v>0</v>
      </c>
      <c r="L16" s="406">
        <v>0</v>
      </c>
      <c r="M16" s="422">
        <v>0</v>
      </c>
      <c r="N16" s="422">
        <v>0</v>
      </c>
      <c r="O16" s="408">
        <f t="shared" si="2"/>
        <v>0</v>
      </c>
      <c r="P16" s="408">
        <f>+(O16*$T$4)+O16</f>
        <v>0</v>
      </c>
      <c r="Q16" s="425"/>
    </row>
    <row r="17" spans="1:17">
      <c r="A17" s="405" t="s">
        <v>229</v>
      </c>
      <c r="B17" s="411"/>
      <c r="C17" s="406">
        <v>0</v>
      </c>
      <c r="D17" s="406">
        <v>0</v>
      </c>
      <c r="E17" s="406">
        <v>0</v>
      </c>
      <c r="F17" s="406">
        <v>0</v>
      </c>
      <c r="G17" s="406">
        <v>0</v>
      </c>
      <c r="H17" s="406">
        <v>0</v>
      </c>
      <c r="I17" s="406">
        <v>0</v>
      </c>
      <c r="J17" s="406">
        <v>0</v>
      </c>
      <c r="K17" s="406">
        <v>0</v>
      </c>
      <c r="L17" s="406">
        <v>0</v>
      </c>
      <c r="M17" s="422">
        <v>0</v>
      </c>
      <c r="N17" s="422">
        <v>0</v>
      </c>
      <c r="O17" s="408">
        <f t="shared" si="2"/>
        <v>0</v>
      </c>
      <c r="P17" s="408">
        <f>+(O17*$T$4)+O17</f>
        <v>0</v>
      </c>
      <c r="Q17" s="425"/>
    </row>
    <row r="18" spans="1:17" ht="11.25" customHeight="1">
      <c r="A18" s="405" t="s">
        <v>226</v>
      </c>
      <c r="B18" s="412" t="s">
        <v>352</v>
      </c>
      <c r="C18" s="422">
        <v>84050</v>
      </c>
      <c r="D18" s="422">
        <v>84050</v>
      </c>
      <c r="E18" s="422">
        <v>72260</v>
      </c>
      <c r="F18" s="422">
        <v>84050</v>
      </c>
      <c r="G18" s="422">
        <v>84050</v>
      </c>
      <c r="H18" s="422">
        <v>84050</v>
      </c>
      <c r="I18" s="422">
        <v>84050</v>
      </c>
      <c r="J18" s="422">
        <v>84050</v>
      </c>
      <c r="K18" s="422">
        <v>84050</v>
      </c>
      <c r="L18" s="422">
        <v>84050</v>
      </c>
      <c r="M18" s="422">
        <v>84050</v>
      </c>
      <c r="N18" s="422">
        <v>84050</v>
      </c>
      <c r="O18" s="408">
        <f t="shared" si="2"/>
        <v>996810</v>
      </c>
      <c r="P18" s="408">
        <f>+(O18*$T$4)+O18</f>
        <v>1026714.3</v>
      </c>
      <c r="Q18" s="413" t="s">
        <v>356</v>
      </c>
    </row>
    <row r="19" spans="1:17">
      <c r="A19" s="405" t="s">
        <v>227</v>
      </c>
      <c r="B19" s="415"/>
      <c r="C19" s="406">
        <v>0</v>
      </c>
      <c r="D19" s="406">
        <v>0</v>
      </c>
      <c r="E19" s="406">
        <v>0</v>
      </c>
      <c r="F19" s="406">
        <v>0</v>
      </c>
      <c r="G19" s="406">
        <v>0</v>
      </c>
      <c r="H19" s="406">
        <v>0</v>
      </c>
      <c r="I19" s="406">
        <v>0</v>
      </c>
      <c r="J19" s="406">
        <v>0</v>
      </c>
      <c r="K19" s="406">
        <v>0</v>
      </c>
      <c r="L19" s="406">
        <v>0</v>
      </c>
      <c r="M19" s="422">
        <v>0</v>
      </c>
      <c r="N19" s="422">
        <v>0</v>
      </c>
      <c r="O19" s="408">
        <f t="shared" si="2"/>
        <v>0</v>
      </c>
      <c r="P19" s="408">
        <f>+(O19*$T$4)+O19</f>
        <v>0</v>
      </c>
      <c r="Q19" s="425"/>
    </row>
    <row r="20" spans="1:17" s="35" customFormat="1">
      <c r="A20" s="426" t="s">
        <v>162</v>
      </c>
      <c r="B20" s="420"/>
      <c r="C20" s="420">
        <f t="shared" ref="C20:P20" si="3">SUM(C14:C19)</f>
        <v>7546990</v>
      </c>
      <c r="D20" s="420">
        <f t="shared" si="3"/>
        <v>6174550</v>
      </c>
      <c r="E20" s="420">
        <f t="shared" si="3"/>
        <v>5578070</v>
      </c>
      <c r="F20" s="420">
        <f t="shared" si="3"/>
        <v>5726350</v>
      </c>
      <c r="G20" s="420">
        <f t="shared" si="3"/>
        <v>5758340</v>
      </c>
      <c r="H20" s="420">
        <f t="shared" si="3"/>
        <v>5582710</v>
      </c>
      <c r="I20" s="420">
        <f t="shared" si="3"/>
        <v>6396220</v>
      </c>
      <c r="J20" s="420">
        <f t="shared" si="3"/>
        <v>5357680</v>
      </c>
      <c r="K20" s="420">
        <f t="shared" si="3"/>
        <v>3308320</v>
      </c>
      <c r="L20" s="420">
        <f t="shared" si="3"/>
        <v>9241750</v>
      </c>
      <c r="M20" s="420">
        <f t="shared" si="3"/>
        <v>7425570</v>
      </c>
      <c r="N20" s="420">
        <f t="shared" si="3"/>
        <v>6813900</v>
      </c>
      <c r="O20" s="427">
        <f>SUM(O14:O19)</f>
        <v>74910450</v>
      </c>
      <c r="P20" s="427">
        <f t="shared" si="3"/>
        <v>77157763.5</v>
      </c>
      <c r="Q20" s="420"/>
    </row>
    <row r="21" spans="1:17">
      <c r="A21" s="763" t="s">
        <v>357</v>
      </c>
      <c r="B21" s="764"/>
      <c r="C21" s="764"/>
      <c r="D21" s="764"/>
      <c r="E21" s="764"/>
      <c r="F21" s="764"/>
      <c r="G21" s="764"/>
      <c r="H21" s="764"/>
      <c r="I21" s="764"/>
      <c r="J21" s="764"/>
      <c r="K21" s="764"/>
      <c r="L21" s="764"/>
      <c r="M21" s="764"/>
      <c r="N21" s="764"/>
      <c r="O21" s="764"/>
      <c r="P21" s="764"/>
      <c r="Q21" s="765"/>
    </row>
    <row r="22" spans="1:17">
      <c r="A22" s="405" t="s">
        <v>222</v>
      </c>
      <c r="B22" s="406" t="s">
        <v>349</v>
      </c>
      <c r="C22" s="428">
        <f>46105.13+53628.37+27453.85</f>
        <v>127187.35</v>
      </c>
      <c r="D22" s="428">
        <f>47618.63+47618.63+31346.91</f>
        <v>126584.17</v>
      </c>
      <c r="E22" s="428">
        <f>27832.07+30721.19+26037.84</f>
        <v>84591.099999999991</v>
      </c>
      <c r="F22" s="428">
        <f>40036.79+46077.02+26039.27</f>
        <v>112153.08</v>
      </c>
      <c r="G22" s="428">
        <f>42222.29+43782.21+26786.21</f>
        <v>112790.70999999999</v>
      </c>
      <c r="H22" s="428">
        <f>46593.29+54467.99+26786.21</f>
        <v>127847.48999999999</v>
      </c>
      <c r="I22" s="428">
        <f>45971.34+53439.84+26786.21</f>
        <v>126197.38999999998</v>
      </c>
      <c r="J22" s="428">
        <f>39184.11+44762.4+27751.38</f>
        <v>111697.89000000001</v>
      </c>
      <c r="K22" s="428">
        <f>36921.7+41869.92+27751.38</f>
        <v>106543</v>
      </c>
      <c r="L22" s="428">
        <f>45988.68+53635.34+27329.87</f>
        <v>126953.88999999998</v>
      </c>
      <c r="M22" s="407">
        <f>45988.68+53635.34+27329.86</f>
        <v>126953.87999999999</v>
      </c>
      <c r="N22" s="407">
        <f>48473.33+56531.94+27453.85</f>
        <v>132459.12</v>
      </c>
      <c r="O22" s="408">
        <f t="shared" ref="O22:O27" si="4">SUM(C22:N22)</f>
        <v>1421959.0699999998</v>
      </c>
      <c r="P22" s="408">
        <f>O22*(1+$T$4)</f>
        <v>1464617.8420999998</v>
      </c>
      <c r="Q22" s="751" t="s">
        <v>355</v>
      </c>
    </row>
    <row r="23" spans="1:17">
      <c r="A23" s="405" t="s">
        <v>223</v>
      </c>
      <c r="B23" s="406" t="s">
        <v>351</v>
      </c>
      <c r="C23" s="406">
        <f>766841.63</f>
        <v>766841.63</v>
      </c>
      <c r="D23" s="428">
        <v>798342.98</v>
      </c>
      <c r="E23" s="428">
        <f>569120.82</f>
        <v>569120.81999999995</v>
      </c>
      <c r="F23" s="428">
        <f>654638.45</f>
        <v>654638.44999999995</v>
      </c>
      <c r="G23" s="428">
        <v>727018.62</v>
      </c>
      <c r="H23" s="428">
        <f>676685.54</f>
        <v>676685.54</v>
      </c>
      <c r="I23" s="428">
        <f>732302.44</f>
        <v>732302.44</v>
      </c>
      <c r="J23" s="428">
        <f>688107.5</f>
        <v>688107.5</v>
      </c>
      <c r="K23" s="428">
        <f xml:space="preserve"> 671720.79</f>
        <v>671720.79</v>
      </c>
      <c r="L23" s="428">
        <f>719830.5</f>
        <v>719830.5</v>
      </c>
      <c r="M23" s="407">
        <f>743720.57</f>
        <v>743720.57</v>
      </c>
      <c r="N23" s="407">
        <f>713428.86</f>
        <v>713428.86</v>
      </c>
      <c r="O23" s="408">
        <f t="shared" si="4"/>
        <v>8461758.7000000011</v>
      </c>
      <c r="P23" s="408">
        <f>+(O23*$T$4)+O23</f>
        <v>8715611.4610000011</v>
      </c>
      <c r="Q23" s="752"/>
    </row>
    <row r="24" spans="1:17">
      <c r="A24" s="405" t="s">
        <v>224</v>
      </c>
      <c r="B24" s="406" t="str">
        <f>+B23</f>
        <v>02-02-02-006-009</v>
      </c>
      <c r="C24" s="406">
        <f>14750.02</f>
        <v>14750.02</v>
      </c>
      <c r="D24" s="429">
        <v>18787.78</v>
      </c>
      <c r="E24" s="406">
        <f>27123.08</f>
        <v>27123.08</v>
      </c>
      <c r="F24" s="406">
        <v>32957.47</v>
      </c>
      <c r="G24" s="430">
        <f>33726.67</f>
        <v>33726.67</v>
      </c>
      <c r="H24" s="406">
        <f>30031.97</f>
        <v>30031.97</v>
      </c>
      <c r="I24" s="406">
        <f>18100.17</f>
        <v>18100.169999999998</v>
      </c>
      <c r="J24" s="406">
        <f>15190.61</f>
        <v>15190.61</v>
      </c>
      <c r="K24" s="406">
        <f>14683.21</f>
        <v>14683.21</v>
      </c>
      <c r="L24" s="406">
        <f>25920.61</f>
        <v>25920.61</v>
      </c>
      <c r="M24" s="407">
        <f>19459.55</f>
        <v>19459.55</v>
      </c>
      <c r="N24" s="407">
        <f>14750.02</f>
        <v>14750.02</v>
      </c>
      <c r="O24" s="408">
        <f t="shared" si="4"/>
        <v>265481.15999999997</v>
      </c>
      <c r="P24" s="408">
        <f>+(O24*$T$4)+O24</f>
        <v>273445.59479999996</v>
      </c>
      <c r="Q24" s="753"/>
    </row>
    <row r="25" spans="1:17">
      <c r="A25" s="405" t="s">
        <v>225</v>
      </c>
      <c r="B25" s="411"/>
      <c r="C25" s="406">
        <v>0</v>
      </c>
      <c r="D25" s="406">
        <v>0</v>
      </c>
      <c r="E25" s="406">
        <v>0</v>
      </c>
      <c r="F25" s="406">
        <v>0</v>
      </c>
      <c r="G25" s="406">
        <v>0</v>
      </c>
      <c r="H25" s="406">
        <v>0</v>
      </c>
      <c r="I25" s="406">
        <v>0</v>
      </c>
      <c r="J25" s="406">
        <v>0</v>
      </c>
      <c r="K25" s="406">
        <v>0</v>
      </c>
      <c r="L25" s="406">
        <v>0</v>
      </c>
      <c r="M25" s="407">
        <v>0</v>
      </c>
      <c r="N25" s="407">
        <v>0</v>
      </c>
      <c r="O25" s="408">
        <f t="shared" si="4"/>
        <v>0</v>
      </c>
      <c r="P25" s="408">
        <f>+(O25*$T$4)+O25</f>
        <v>0</v>
      </c>
      <c r="Q25" s="431"/>
    </row>
    <row r="26" spans="1:17">
      <c r="A26" s="405" t="s">
        <v>226</v>
      </c>
      <c r="B26" s="412" t="s">
        <v>352</v>
      </c>
      <c r="C26" s="406">
        <v>0</v>
      </c>
      <c r="D26" s="406">
        <v>0</v>
      </c>
      <c r="E26" s="406">
        <v>0</v>
      </c>
      <c r="F26" s="406">
        <v>0</v>
      </c>
      <c r="G26" s="406">
        <v>0</v>
      </c>
      <c r="H26" s="406">
        <v>0</v>
      </c>
      <c r="I26" s="406">
        <v>0</v>
      </c>
      <c r="J26" s="406">
        <v>0</v>
      </c>
      <c r="K26" s="406">
        <v>0</v>
      </c>
      <c r="L26" s="406">
        <v>0</v>
      </c>
      <c r="M26" s="407">
        <v>0</v>
      </c>
      <c r="N26" s="407">
        <v>0</v>
      </c>
      <c r="O26" s="408">
        <f t="shared" si="4"/>
        <v>0</v>
      </c>
      <c r="P26" s="408">
        <f>+(O26*$T$4)+O26</f>
        <v>0</v>
      </c>
      <c r="Q26" s="425"/>
    </row>
    <row r="27" spans="1:17">
      <c r="A27" s="414" t="s">
        <v>227</v>
      </c>
      <c r="B27" s="415"/>
      <c r="C27" s="406">
        <v>0</v>
      </c>
      <c r="D27" s="406">
        <v>0</v>
      </c>
      <c r="E27" s="406">
        <v>0</v>
      </c>
      <c r="F27" s="406">
        <v>0</v>
      </c>
      <c r="G27" s="406">
        <v>0</v>
      </c>
      <c r="H27" s="406">
        <v>0</v>
      </c>
      <c r="I27" s="406">
        <v>0</v>
      </c>
      <c r="J27" s="406">
        <v>0</v>
      </c>
      <c r="K27" s="406">
        <v>0</v>
      </c>
      <c r="L27" s="406">
        <v>0</v>
      </c>
      <c r="M27" s="432">
        <v>0</v>
      </c>
      <c r="N27" s="432">
        <v>0</v>
      </c>
      <c r="O27" s="408">
        <f t="shared" si="4"/>
        <v>0</v>
      </c>
      <c r="P27" s="408">
        <f>+(O27*$T$4)+O27</f>
        <v>0</v>
      </c>
      <c r="Q27" s="431"/>
    </row>
    <row r="28" spans="1:17">
      <c r="A28" s="419" t="s">
        <v>162</v>
      </c>
      <c r="B28" s="420"/>
      <c r="C28" s="420">
        <f t="shared" ref="C28:P28" si="5">SUM(C22:C27)</f>
        <v>908779</v>
      </c>
      <c r="D28" s="420">
        <f t="shared" si="5"/>
        <v>943714.93</v>
      </c>
      <c r="E28" s="420">
        <f t="shared" si="5"/>
        <v>680834.99999999988</v>
      </c>
      <c r="F28" s="420">
        <f t="shared" si="5"/>
        <v>799748.99999999988</v>
      </c>
      <c r="G28" s="420">
        <f t="shared" si="5"/>
        <v>873536</v>
      </c>
      <c r="H28" s="420">
        <f t="shared" si="5"/>
        <v>834565</v>
      </c>
      <c r="I28" s="420">
        <f t="shared" si="5"/>
        <v>876600</v>
      </c>
      <c r="J28" s="420">
        <f t="shared" si="5"/>
        <v>814996</v>
      </c>
      <c r="K28" s="420">
        <f t="shared" si="5"/>
        <v>792947</v>
      </c>
      <c r="L28" s="420">
        <f t="shared" si="5"/>
        <v>872705</v>
      </c>
      <c r="M28" s="420">
        <f t="shared" si="5"/>
        <v>890134</v>
      </c>
      <c r="N28" s="420">
        <f t="shared" si="5"/>
        <v>860638</v>
      </c>
      <c r="O28" s="420">
        <f>SUM(O22:O27)</f>
        <v>10149198.930000002</v>
      </c>
      <c r="P28" s="420">
        <f t="shared" si="5"/>
        <v>10453674.8979</v>
      </c>
      <c r="Q28" s="421"/>
    </row>
    <row r="29" spans="1:17">
      <c r="A29" s="754" t="s">
        <v>358</v>
      </c>
      <c r="B29" s="755"/>
      <c r="C29" s="755"/>
      <c r="D29" s="755"/>
      <c r="E29" s="755"/>
      <c r="F29" s="755"/>
      <c r="G29" s="755"/>
      <c r="H29" s="755"/>
      <c r="I29" s="755"/>
      <c r="J29" s="755"/>
      <c r="K29" s="755"/>
      <c r="L29" s="755"/>
      <c r="M29" s="755"/>
      <c r="N29" s="755"/>
      <c r="O29" s="755"/>
      <c r="P29" s="755"/>
      <c r="Q29" s="756"/>
    </row>
    <row r="30" spans="1:17" ht="15" customHeight="1">
      <c r="A30" s="405" t="s">
        <v>222</v>
      </c>
      <c r="B30" s="406" t="s">
        <v>349</v>
      </c>
      <c r="C30" s="422">
        <v>100000</v>
      </c>
      <c r="D30" s="406">
        <v>100000</v>
      </c>
      <c r="E30" s="422">
        <v>100000</v>
      </c>
      <c r="F30" s="406">
        <v>100000</v>
      </c>
      <c r="G30" s="422">
        <v>100000</v>
      </c>
      <c r="H30" s="406">
        <v>100000</v>
      </c>
      <c r="I30" s="422">
        <v>100000</v>
      </c>
      <c r="J30" s="406">
        <v>100000</v>
      </c>
      <c r="K30" s="422">
        <v>100000</v>
      </c>
      <c r="L30" s="406">
        <v>100000</v>
      </c>
      <c r="M30" s="422">
        <v>100000</v>
      </c>
      <c r="N30" s="406">
        <v>100000</v>
      </c>
      <c r="O30" s="408">
        <f t="shared" ref="O30:O35" si="6">SUM(C30:N30)</f>
        <v>1200000</v>
      </c>
      <c r="P30" s="408">
        <f>O30*(1+$T$4)</f>
        <v>1236000</v>
      </c>
      <c r="Q30" s="751" t="s">
        <v>359</v>
      </c>
    </row>
    <row r="31" spans="1:17" ht="12" customHeight="1">
      <c r="A31" s="405" t="s">
        <v>223</v>
      </c>
      <c r="B31" s="406" t="s">
        <v>351</v>
      </c>
      <c r="C31" s="422">
        <v>150000</v>
      </c>
      <c r="D31" s="422">
        <v>150000</v>
      </c>
      <c r="E31" s="422">
        <v>150000</v>
      </c>
      <c r="F31" s="422">
        <v>150000</v>
      </c>
      <c r="G31" s="422">
        <v>150000</v>
      </c>
      <c r="H31" s="422">
        <v>150000</v>
      </c>
      <c r="I31" s="422">
        <v>150000</v>
      </c>
      <c r="J31" s="422">
        <v>150000</v>
      </c>
      <c r="K31" s="422">
        <v>150000</v>
      </c>
      <c r="L31" s="422">
        <v>150000</v>
      </c>
      <c r="M31" s="422">
        <v>150000</v>
      </c>
      <c r="N31" s="422">
        <v>150000</v>
      </c>
      <c r="O31" s="408">
        <f t="shared" si="6"/>
        <v>1800000</v>
      </c>
      <c r="P31" s="408">
        <f>+(O31*$T$4)+O31</f>
        <v>1854000</v>
      </c>
      <c r="Q31" s="753"/>
    </row>
    <row r="32" spans="1:17">
      <c r="A32" s="405" t="s">
        <v>224</v>
      </c>
      <c r="B32" s="406" t="str">
        <f>+B31</f>
        <v>02-02-02-006-009</v>
      </c>
      <c r="C32" s="406">
        <v>0</v>
      </c>
      <c r="D32" s="406">
        <v>0</v>
      </c>
      <c r="E32" s="406">
        <v>0</v>
      </c>
      <c r="F32" s="406">
        <v>0</v>
      </c>
      <c r="G32" s="406">
        <v>0</v>
      </c>
      <c r="H32" s="406">
        <v>0</v>
      </c>
      <c r="I32" s="406">
        <v>0</v>
      </c>
      <c r="J32" s="406">
        <v>0</v>
      </c>
      <c r="K32" s="406">
        <v>0</v>
      </c>
      <c r="L32" s="406">
        <v>0</v>
      </c>
      <c r="M32" s="406">
        <v>0</v>
      </c>
      <c r="N32" s="406">
        <v>0</v>
      </c>
      <c r="O32" s="408">
        <f t="shared" si="6"/>
        <v>0</v>
      </c>
      <c r="P32" s="408">
        <f>+(O32*$T$4)+O32</f>
        <v>0</v>
      </c>
      <c r="Q32" s="425"/>
    </row>
    <row r="33" spans="1:17">
      <c r="A33" s="405" t="s">
        <v>225</v>
      </c>
      <c r="B33" s="411"/>
      <c r="C33" s="406">
        <v>0</v>
      </c>
      <c r="D33" s="406">
        <v>0</v>
      </c>
      <c r="E33" s="406">
        <v>0</v>
      </c>
      <c r="F33" s="406">
        <v>0</v>
      </c>
      <c r="G33" s="406">
        <v>0</v>
      </c>
      <c r="H33" s="406">
        <v>0</v>
      </c>
      <c r="I33" s="406">
        <v>0</v>
      </c>
      <c r="J33" s="406">
        <v>0</v>
      </c>
      <c r="K33" s="406">
        <v>0</v>
      </c>
      <c r="L33" s="406">
        <v>0</v>
      </c>
      <c r="M33" s="406">
        <v>0</v>
      </c>
      <c r="N33" s="406">
        <v>0</v>
      </c>
      <c r="O33" s="408">
        <f t="shared" si="6"/>
        <v>0</v>
      </c>
      <c r="P33" s="408">
        <f>+(O33*$T$4)+O33</f>
        <v>0</v>
      </c>
      <c r="Q33" s="425"/>
    </row>
    <row r="34" spans="1:17">
      <c r="A34" s="405" t="s">
        <v>226</v>
      </c>
      <c r="B34" s="412" t="s">
        <v>352</v>
      </c>
      <c r="C34" s="422">
        <v>0</v>
      </c>
      <c r="D34" s="422">
        <v>0</v>
      </c>
      <c r="E34" s="422">
        <v>0</v>
      </c>
      <c r="F34" s="422">
        <v>0</v>
      </c>
      <c r="G34" s="422">
        <v>0</v>
      </c>
      <c r="H34" s="422">
        <v>0</v>
      </c>
      <c r="I34" s="422">
        <v>0</v>
      </c>
      <c r="J34" s="422">
        <v>0</v>
      </c>
      <c r="K34" s="422">
        <v>0</v>
      </c>
      <c r="L34" s="422">
        <v>0</v>
      </c>
      <c r="M34" s="422">
        <v>0</v>
      </c>
      <c r="N34" s="422">
        <v>0</v>
      </c>
      <c r="O34" s="408">
        <f t="shared" si="6"/>
        <v>0</v>
      </c>
      <c r="P34" s="408">
        <f>+(O34*$T$4)+O34</f>
        <v>0</v>
      </c>
      <c r="Q34" s="425"/>
    </row>
    <row r="35" spans="1:17">
      <c r="A35" s="414" t="s">
        <v>227</v>
      </c>
      <c r="B35" s="415"/>
      <c r="C35" s="406">
        <v>0</v>
      </c>
      <c r="D35" s="406">
        <v>0</v>
      </c>
      <c r="E35" s="406">
        <v>0</v>
      </c>
      <c r="F35" s="406">
        <v>0</v>
      </c>
      <c r="G35" s="406">
        <v>0</v>
      </c>
      <c r="H35" s="406">
        <v>0</v>
      </c>
      <c r="I35" s="406">
        <v>0</v>
      </c>
      <c r="J35" s="406">
        <v>0</v>
      </c>
      <c r="K35" s="406">
        <v>0</v>
      </c>
      <c r="L35" s="406">
        <v>0</v>
      </c>
      <c r="M35" s="406">
        <v>0</v>
      </c>
      <c r="N35" s="406">
        <v>0</v>
      </c>
      <c r="O35" s="408">
        <f t="shared" si="6"/>
        <v>0</v>
      </c>
      <c r="P35" s="408">
        <f>+(O35*$T$4)+O35</f>
        <v>0</v>
      </c>
      <c r="Q35" s="425"/>
    </row>
    <row r="36" spans="1:17">
      <c r="A36" s="419" t="s">
        <v>162</v>
      </c>
      <c r="B36" s="420"/>
      <c r="C36" s="420">
        <f t="shared" ref="C36:P36" si="7">SUM(C30:C35)</f>
        <v>250000</v>
      </c>
      <c r="D36" s="420">
        <f t="shared" si="7"/>
        <v>250000</v>
      </c>
      <c r="E36" s="420">
        <f t="shared" si="7"/>
        <v>250000</v>
      </c>
      <c r="F36" s="420">
        <f t="shared" si="7"/>
        <v>250000</v>
      </c>
      <c r="G36" s="420">
        <f t="shared" si="7"/>
        <v>250000</v>
      </c>
      <c r="H36" s="420">
        <f t="shared" si="7"/>
        <v>250000</v>
      </c>
      <c r="I36" s="420">
        <f t="shared" si="7"/>
        <v>250000</v>
      </c>
      <c r="J36" s="420">
        <f t="shared" si="7"/>
        <v>250000</v>
      </c>
      <c r="K36" s="420">
        <f t="shared" si="7"/>
        <v>250000</v>
      </c>
      <c r="L36" s="420">
        <f t="shared" si="7"/>
        <v>250000</v>
      </c>
      <c r="M36" s="420">
        <f t="shared" si="7"/>
        <v>250000</v>
      </c>
      <c r="N36" s="420">
        <f t="shared" si="7"/>
        <v>250000</v>
      </c>
      <c r="O36" s="420">
        <f>SUM(O30:O35)</f>
        <v>3000000</v>
      </c>
      <c r="P36" s="420">
        <f t="shared" si="7"/>
        <v>3090000</v>
      </c>
      <c r="Q36" s="421"/>
    </row>
    <row r="37" spans="1:17">
      <c r="A37" s="754" t="s">
        <v>360</v>
      </c>
      <c r="B37" s="755"/>
      <c r="C37" s="755"/>
      <c r="D37" s="755"/>
      <c r="E37" s="755"/>
      <c r="F37" s="755"/>
      <c r="G37" s="755"/>
      <c r="H37" s="755"/>
      <c r="I37" s="755"/>
      <c r="J37" s="755"/>
      <c r="K37" s="755"/>
      <c r="L37" s="755"/>
      <c r="M37" s="755"/>
      <c r="N37" s="755"/>
      <c r="O37" s="755"/>
      <c r="P37" s="755"/>
      <c r="Q37" s="756"/>
    </row>
    <row r="38" spans="1:17" ht="15">
      <c r="A38" s="405" t="s">
        <v>222</v>
      </c>
      <c r="B38" s="406" t="s">
        <v>349</v>
      </c>
      <c r="C38" s="433">
        <v>64300</v>
      </c>
      <c r="D38" s="406">
        <v>73630</v>
      </c>
      <c r="E38" s="422">
        <v>75129</v>
      </c>
      <c r="F38" s="406">
        <v>69557</v>
      </c>
      <c r="G38" s="422">
        <v>75431</v>
      </c>
      <c r="H38" s="406">
        <v>71991</v>
      </c>
      <c r="I38" s="422">
        <v>66311</v>
      </c>
      <c r="J38" s="406">
        <v>71458</v>
      </c>
      <c r="K38" s="422">
        <v>71161</v>
      </c>
      <c r="L38" s="406">
        <v>65292</v>
      </c>
      <c r="M38" s="422">
        <v>70911</v>
      </c>
      <c r="N38" s="406">
        <v>64900</v>
      </c>
      <c r="O38" s="408">
        <f t="shared" ref="O38:O43" si="8">SUM(C38:N38)</f>
        <v>840071</v>
      </c>
      <c r="P38" s="408">
        <f>O38*(1+$T$4)</f>
        <v>865273.13</v>
      </c>
      <c r="Q38" s="751" t="s">
        <v>361</v>
      </c>
    </row>
    <row r="39" spans="1:17" ht="15">
      <c r="A39" s="405" t="s">
        <v>223</v>
      </c>
      <c r="B39" s="406" t="s">
        <v>351</v>
      </c>
      <c r="C39" s="422">
        <v>151203</v>
      </c>
      <c r="D39" s="422">
        <f>179668</f>
        <v>179668</v>
      </c>
      <c r="E39" s="422">
        <v>164550</v>
      </c>
      <c r="F39" s="422">
        <v>170408</v>
      </c>
      <c r="G39" s="422">
        <v>186272</v>
      </c>
      <c r="H39" s="422">
        <v>174937</v>
      </c>
      <c r="I39" s="433">
        <v>181803</v>
      </c>
      <c r="J39" s="422">
        <v>219218</v>
      </c>
      <c r="K39" s="422">
        <v>224646</v>
      </c>
      <c r="L39" s="422">
        <v>203604</v>
      </c>
      <c r="M39" s="422">
        <v>199322</v>
      </c>
      <c r="N39" s="422">
        <v>182000</v>
      </c>
      <c r="O39" s="408">
        <f t="shared" si="8"/>
        <v>2237631</v>
      </c>
      <c r="P39" s="408">
        <f>+(O39*$T$4)+O39</f>
        <v>2304759.9300000002</v>
      </c>
      <c r="Q39" s="753"/>
    </row>
    <row r="40" spans="1:17">
      <c r="A40" s="405" t="s">
        <v>224</v>
      </c>
      <c r="B40" s="406" t="str">
        <f>+B39</f>
        <v>02-02-02-006-009</v>
      </c>
      <c r="C40" s="406">
        <v>0</v>
      </c>
      <c r="D40" s="406">
        <v>0</v>
      </c>
      <c r="E40" s="406">
        <v>0</v>
      </c>
      <c r="F40" s="406">
        <v>0</v>
      </c>
      <c r="G40" s="406">
        <v>0</v>
      </c>
      <c r="H40" s="406">
        <v>0</v>
      </c>
      <c r="I40" s="406">
        <v>0</v>
      </c>
      <c r="J40" s="406">
        <v>0</v>
      </c>
      <c r="K40" s="406">
        <v>0</v>
      </c>
      <c r="L40" s="406">
        <v>0</v>
      </c>
      <c r="M40" s="407">
        <v>0</v>
      </c>
      <c r="N40" s="407">
        <v>0</v>
      </c>
      <c r="O40" s="408">
        <f t="shared" si="8"/>
        <v>0</v>
      </c>
      <c r="P40" s="408">
        <f>+(O40*$T$4)+O40</f>
        <v>0</v>
      </c>
      <c r="Q40" s="425"/>
    </row>
    <row r="41" spans="1:17">
      <c r="A41" s="405" t="s">
        <v>225</v>
      </c>
      <c r="B41" s="411"/>
      <c r="C41" s="406">
        <v>0</v>
      </c>
      <c r="D41" s="406">
        <v>0</v>
      </c>
      <c r="E41" s="406">
        <v>0</v>
      </c>
      <c r="F41" s="406">
        <v>0</v>
      </c>
      <c r="G41" s="406">
        <v>0</v>
      </c>
      <c r="H41" s="406">
        <v>0</v>
      </c>
      <c r="I41" s="406">
        <v>0</v>
      </c>
      <c r="J41" s="406">
        <v>0</v>
      </c>
      <c r="K41" s="406">
        <v>0</v>
      </c>
      <c r="L41" s="406">
        <v>0</v>
      </c>
      <c r="M41" s="407">
        <v>0</v>
      </c>
      <c r="N41" s="407">
        <v>0</v>
      </c>
      <c r="O41" s="408">
        <f t="shared" si="8"/>
        <v>0</v>
      </c>
      <c r="P41" s="408">
        <f>+(O41*$T$4)+O41</f>
        <v>0</v>
      </c>
      <c r="Q41" s="425"/>
    </row>
    <row r="42" spans="1:17">
      <c r="A42" s="405" t="s">
        <v>226</v>
      </c>
      <c r="B42" s="412" t="s">
        <v>352</v>
      </c>
      <c r="C42" s="422">
        <v>0</v>
      </c>
      <c r="D42" s="422">
        <v>0</v>
      </c>
      <c r="E42" s="422">
        <v>0</v>
      </c>
      <c r="F42" s="422">
        <v>0</v>
      </c>
      <c r="G42" s="422">
        <v>0</v>
      </c>
      <c r="H42" s="422">
        <v>0</v>
      </c>
      <c r="I42" s="422">
        <v>0</v>
      </c>
      <c r="J42" s="422">
        <v>0</v>
      </c>
      <c r="K42" s="422">
        <v>0</v>
      </c>
      <c r="L42" s="422">
        <v>0</v>
      </c>
      <c r="M42" s="407">
        <v>0</v>
      </c>
      <c r="N42" s="407">
        <v>0</v>
      </c>
      <c r="O42" s="408">
        <f t="shared" si="8"/>
        <v>0</v>
      </c>
      <c r="P42" s="408">
        <f>+(O42*$T$4)+O42</f>
        <v>0</v>
      </c>
      <c r="Q42" s="425"/>
    </row>
    <row r="43" spans="1:17">
      <c r="A43" s="405" t="s">
        <v>227</v>
      </c>
      <c r="B43" s="415"/>
      <c r="C43" s="406">
        <v>0</v>
      </c>
      <c r="D43" s="406">
        <v>0</v>
      </c>
      <c r="E43" s="406">
        <v>0</v>
      </c>
      <c r="F43" s="406">
        <v>0</v>
      </c>
      <c r="G43" s="406">
        <v>0</v>
      </c>
      <c r="H43" s="406">
        <v>0</v>
      </c>
      <c r="I43" s="406">
        <v>0</v>
      </c>
      <c r="J43" s="406">
        <v>0</v>
      </c>
      <c r="K43" s="406">
        <v>0</v>
      </c>
      <c r="L43" s="406">
        <v>0</v>
      </c>
      <c r="M43" s="407">
        <v>0</v>
      </c>
      <c r="N43" s="407">
        <v>0</v>
      </c>
      <c r="O43" s="408">
        <f t="shared" si="8"/>
        <v>0</v>
      </c>
      <c r="P43" s="408">
        <f>+(O43*$T$4)+O43</f>
        <v>0</v>
      </c>
      <c r="Q43" s="425"/>
    </row>
    <row r="44" spans="1:17">
      <c r="A44" s="419" t="s">
        <v>162</v>
      </c>
      <c r="B44" s="434"/>
      <c r="C44" s="435">
        <f t="shared" ref="C44:P44" si="9">SUM(C38:C43)</f>
        <v>215503</v>
      </c>
      <c r="D44" s="435">
        <f t="shared" si="9"/>
        <v>253298</v>
      </c>
      <c r="E44" s="435">
        <f t="shared" si="9"/>
        <v>239679</v>
      </c>
      <c r="F44" s="435">
        <f t="shared" si="9"/>
        <v>239965</v>
      </c>
      <c r="G44" s="435">
        <f t="shared" si="9"/>
        <v>261703</v>
      </c>
      <c r="H44" s="435">
        <f t="shared" si="9"/>
        <v>246928</v>
      </c>
      <c r="I44" s="435">
        <f t="shared" si="9"/>
        <v>248114</v>
      </c>
      <c r="J44" s="435">
        <f t="shared" si="9"/>
        <v>290676</v>
      </c>
      <c r="K44" s="435">
        <f t="shared" si="9"/>
        <v>295807</v>
      </c>
      <c r="L44" s="435">
        <f t="shared" si="9"/>
        <v>268896</v>
      </c>
      <c r="M44" s="435">
        <f t="shared" si="9"/>
        <v>270233</v>
      </c>
      <c r="N44" s="435">
        <f t="shared" si="9"/>
        <v>246900</v>
      </c>
      <c r="O44" s="435">
        <f>SUM(O38:O43)</f>
        <v>3077702</v>
      </c>
      <c r="P44" s="435">
        <f t="shared" si="9"/>
        <v>3170033.06</v>
      </c>
      <c r="Q44" s="421"/>
    </row>
    <row r="45" spans="1:17">
      <c r="A45" s="754" t="s">
        <v>362</v>
      </c>
      <c r="B45" s="755"/>
      <c r="C45" s="755"/>
      <c r="D45" s="755"/>
      <c r="E45" s="755"/>
      <c r="F45" s="755"/>
      <c r="G45" s="755"/>
      <c r="H45" s="755"/>
      <c r="I45" s="755"/>
      <c r="J45" s="755"/>
      <c r="K45" s="755"/>
      <c r="L45" s="755"/>
      <c r="M45" s="755"/>
      <c r="N45" s="755"/>
      <c r="O45" s="755"/>
      <c r="P45" s="755"/>
      <c r="Q45" s="756"/>
    </row>
    <row r="46" spans="1:17" ht="15">
      <c r="A46" s="405" t="s">
        <v>222</v>
      </c>
      <c r="B46" s="406" t="s">
        <v>349</v>
      </c>
      <c r="C46" s="406">
        <v>75963</v>
      </c>
      <c r="D46" s="433">
        <v>76723</v>
      </c>
      <c r="E46" s="406">
        <v>73087</v>
      </c>
      <c r="F46" s="436">
        <v>73087</v>
      </c>
      <c r="G46" s="406">
        <v>73087</v>
      </c>
      <c r="H46" s="422">
        <v>75963</v>
      </c>
      <c r="I46" s="406">
        <v>75963</v>
      </c>
      <c r="J46" s="422">
        <v>75963</v>
      </c>
      <c r="K46" s="406">
        <v>75963</v>
      </c>
      <c r="L46" s="422">
        <v>75963</v>
      </c>
      <c r="M46" s="406">
        <v>75963</v>
      </c>
      <c r="N46" s="430"/>
      <c r="O46" s="408">
        <f t="shared" ref="O46:O51" si="10">SUM(C46:N46)</f>
        <v>827725</v>
      </c>
      <c r="P46" s="408">
        <f>O46*(1+$T$4)</f>
        <v>852556.75</v>
      </c>
      <c r="Q46" s="751" t="s">
        <v>355</v>
      </c>
    </row>
    <row r="47" spans="1:17">
      <c r="A47" s="405" t="s">
        <v>228</v>
      </c>
      <c r="B47" s="406" t="s">
        <v>351</v>
      </c>
      <c r="C47" s="422">
        <v>997126</v>
      </c>
      <c r="D47" s="422">
        <f>1190946</f>
        <v>1190946</v>
      </c>
      <c r="E47" s="422">
        <v>991637</v>
      </c>
      <c r="F47" s="422">
        <v>755046</v>
      </c>
      <c r="G47" s="422">
        <v>964859</v>
      </c>
      <c r="H47" s="422">
        <v>915324</v>
      </c>
      <c r="I47" s="422">
        <v>833726</v>
      </c>
      <c r="J47" s="422">
        <v>1190622</v>
      </c>
      <c r="K47" s="422">
        <v>1007368</v>
      </c>
      <c r="L47" s="422">
        <v>990802</v>
      </c>
      <c r="M47" s="422">
        <v>935720</v>
      </c>
      <c r="N47" s="422">
        <v>1273226</v>
      </c>
      <c r="O47" s="408">
        <f t="shared" si="10"/>
        <v>12046402</v>
      </c>
      <c r="P47" s="408">
        <f>+(O47*$T$4)+O47</f>
        <v>12407794.060000001</v>
      </c>
      <c r="Q47" s="752"/>
    </row>
    <row r="48" spans="1:17">
      <c r="A48" s="405" t="s">
        <v>224</v>
      </c>
      <c r="B48" s="406" t="str">
        <f>+B47</f>
        <v>02-02-02-006-009</v>
      </c>
      <c r="C48" s="406">
        <v>0</v>
      </c>
      <c r="D48" s="406">
        <v>0</v>
      </c>
      <c r="E48" s="406">
        <v>6740</v>
      </c>
      <c r="F48" s="406">
        <v>0</v>
      </c>
      <c r="G48" s="406">
        <v>0</v>
      </c>
      <c r="H48" s="406">
        <v>6560</v>
      </c>
      <c r="I48" s="406">
        <v>8620</v>
      </c>
      <c r="J48" s="406">
        <v>6590</v>
      </c>
      <c r="K48" s="406">
        <v>0</v>
      </c>
      <c r="L48" s="406">
        <v>8610</v>
      </c>
      <c r="M48" s="406">
        <v>6290</v>
      </c>
      <c r="N48" s="406">
        <v>8810</v>
      </c>
      <c r="O48" s="408">
        <f t="shared" si="10"/>
        <v>52220</v>
      </c>
      <c r="P48" s="408">
        <f>+(O48*$T$4)+O48</f>
        <v>53786.6</v>
      </c>
      <c r="Q48" s="753"/>
    </row>
    <row r="49" spans="1:17">
      <c r="A49" s="405" t="s">
        <v>229</v>
      </c>
      <c r="B49" s="411"/>
      <c r="C49" s="406">
        <v>0</v>
      </c>
      <c r="D49" s="406">
        <v>0</v>
      </c>
      <c r="E49" s="406">
        <v>0</v>
      </c>
      <c r="F49" s="406">
        <v>0</v>
      </c>
      <c r="G49" s="406">
        <v>0</v>
      </c>
      <c r="H49" s="406">
        <v>0</v>
      </c>
      <c r="I49" s="406">
        <v>0</v>
      </c>
      <c r="J49" s="406">
        <v>0</v>
      </c>
      <c r="K49" s="406">
        <v>0</v>
      </c>
      <c r="L49" s="406">
        <v>0</v>
      </c>
      <c r="M49" s="406">
        <v>0</v>
      </c>
      <c r="N49" s="406">
        <v>0</v>
      </c>
      <c r="O49" s="408">
        <f t="shared" si="10"/>
        <v>0</v>
      </c>
      <c r="P49" s="408">
        <f>+(O49*$T$4)+O49</f>
        <v>0</v>
      </c>
      <c r="Q49" s="425"/>
    </row>
    <row r="50" spans="1:17">
      <c r="A50" s="405" t="s">
        <v>226</v>
      </c>
      <c r="B50" s="412" t="s">
        <v>352</v>
      </c>
      <c r="C50" s="422">
        <v>0</v>
      </c>
      <c r="D50" s="422">
        <v>0</v>
      </c>
      <c r="E50" s="422">
        <v>0</v>
      </c>
      <c r="F50" s="422">
        <v>0</v>
      </c>
      <c r="G50" s="422">
        <v>0</v>
      </c>
      <c r="H50" s="422">
        <v>0</v>
      </c>
      <c r="I50" s="422">
        <v>0</v>
      </c>
      <c r="J50" s="422">
        <v>0</v>
      </c>
      <c r="K50" s="422">
        <v>0</v>
      </c>
      <c r="L50" s="422">
        <v>0</v>
      </c>
      <c r="M50" s="422">
        <v>0</v>
      </c>
      <c r="N50" s="422">
        <v>0</v>
      </c>
      <c r="O50" s="408">
        <f t="shared" si="10"/>
        <v>0</v>
      </c>
      <c r="P50" s="408">
        <f>+(O50*$T$4)+O50</f>
        <v>0</v>
      </c>
      <c r="Q50" s="425"/>
    </row>
    <row r="51" spans="1:17">
      <c r="A51" s="405" t="s">
        <v>227</v>
      </c>
      <c r="B51" s="415"/>
      <c r="C51" s="406">
        <v>0</v>
      </c>
      <c r="D51" s="406">
        <v>0</v>
      </c>
      <c r="E51" s="406">
        <v>0</v>
      </c>
      <c r="F51" s="406">
        <v>0</v>
      </c>
      <c r="G51" s="406">
        <v>0</v>
      </c>
      <c r="H51" s="406">
        <v>0</v>
      </c>
      <c r="I51" s="406">
        <v>0</v>
      </c>
      <c r="J51" s="406">
        <v>0</v>
      </c>
      <c r="K51" s="406">
        <v>0</v>
      </c>
      <c r="L51" s="406">
        <v>0</v>
      </c>
      <c r="M51" s="406">
        <v>0</v>
      </c>
      <c r="N51" s="406">
        <v>0</v>
      </c>
      <c r="O51" s="408">
        <f t="shared" si="10"/>
        <v>0</v>
      </c>
      <c r="P51" s="408">
        <f>+(O51*$T$4)+O51</f>
        <v>0</v>
      </c>
      <c r="Q51" s="425"/>
    </row>
    <row r="52" spans="1:17">
      <c r="A52" s="419" t="s">
        <v>162</v>
      </c>
      <c r="B52" s="434"/>
      <c r="C52" s="420">
        <f t="shared" ref="C52:P52" si="11">SUM(C46:C51)</f>
        <v>1073089</v>
      </c>
      <c r="D52" s="420">
        <f t="shared" si="11"/>
        <v>1267669</v>
      </c>
      <c r="E52" s="420">
        <f t="shared" si="11"/>
        <v>1071464</v>
      </c>
      <c r="F52" s="420">
        <f t="shared" si="11"/>
        <v>828133</v>
      </c>
      <c r="G52" s="420">
        <f t="shared" si="11"/>
        <v>1037946</v>
      </c>
      <c r="H52" s="420">
        <f t="shared" si="11"/>
        <v>997847</v>
      </c>
      <c r="I52" s="420">
        <f t="shared" si="11"/>
        <v>918309</v>
      </c>
      <c r="J52" s="420">
        <f t="shared" si="11"/>
        <v>1273175</v>
      </c>
      <c r="K52" s="420">
        <f t="shared" si="11"/>
        <v>1083331</v>
      </c>
      <c r="L52" s="420">
        <f t="shared" si="11"/>
        <v>1075375</v>
      </c>
      <c r="M52" s="420">
        <f t="shared" si="11"/>
        <v>1017973</v>
      </c>
      <c r="N52" s="420">
        <f t="shared" si="11"/>
        <v>1282036</v>
      </c>
      <c r="O52" s="420">
        <f>SUM(O46:O51)</f>
        <v>12926347</v>
      </c>
      <c r="P52" s="420">
        <f t="shared" si="11"/>
        <v>13314137.41</v>
      </c>
      <c r="Q52" s="421"/>
    </row>
    <row r="53" spans="1:17">
      <c r="A53" s="754" t="s">
        <v>363</v>
      </c>
      <c r="B53" s="755"/>
      <c r="C53" s="755"/>
      <c r="D53" s="755"/>
      <c r="E53" s="755"/>
      <c r="F53" s="755"/>
      <c r="G53" s="755"/>
      <c r="H53" s="755"/>
      <c r="I53" s="755"/>
      <c r="J53" s="755"/>
      <c r="K53" s="755"/>
      <c r="L53" s="755"/>
      <c r="M53" s="755"/>
      <c r="N53" s="755"/>
      <c r="O53" s="755"/>
      <c r="P53" s="755"/>
      <c r="Q53" s="756"/>
    </row>
    <row r="54" spans="1:17" ht="15">
      <c r="A54" s="405" t="s">
        <v>222</v>
      </c>
      <c r="B54" s="406" t="s">
        <v>349</v>
      </c>
      <c r="C54" s="422">
        <v>0</v>
      </c>
      <c r="D54" s="422">
        <v>0</v>
      </c>
      <c r="E54" s="422">
        <v>0</v>
      </c>
      <c r="F54" s="433">
        <v>399001</v>
      </c>
      <c r="G54" s="422">
        <v>398334</v>
      </c>
      <c r="H54" s="422">
        <v>463115</v>
      </c>
      <c r="I54" s="422">
        <v>379927</v>
      </c>
      <c r="J54" s="422">
        <v>395199</v>
      </c>
      <c r="K54" s="422"/>
      <c r="L54" s="422"/>
      <c r="M54" s="429"/>
      <c r="N54" s="437">
        <v>0</v>
      </c>
      <c r="O54" s="408">
        <f t="shared" ref="O54:O59" si="12">SUM(C54:N54)</f>
        <v>2035576</v>
      </c>
      <c r="P54" s="408">
        <f>O54*(1+$T$4)</f>
        <v>2096643.28</v>
      </c>
      <c r="Q54" s="758" t="s">
        <v>364</v>
      </c>
    </row>
    <row r="55" spans="1:17">
      <c r="A55" s="405" t="s">
        <v>228</v>
      </c>
      <c r="B55" s="406" t="s">
        <v>351</v>
      </c>
      <c r="C55" s="422">
        <v>0</v>
      </c>
      <c r="D55" s="429">
        <v>0</v>
      </c>
      <c r="E55" s="422">
        <v>0</v>
      </c>
      <c r="F55" s="422">
        <v>8012680</v>
      </c>
      <c r="G55" s="422">
        <v>8866180</v>
      </c>
      <c r="H55" s="422">
        <v>10535080</v>
      </c>
      <c r="I55" s="422">
        <v>10101220</v>
      </c>
      <c r="J55" s="429">
        <v>11725170</v>
      </c>
      <c r="K55" s="422">
        <v>0</v>
      </c>
      <c r="L55" s="422">
        <v>0</v>
      </c>
      <c r="M55" s="422">
        <v>0</v>
      </c>
      <c r="N55" s="437">
        <v>0</v>
      </c>
      <c r="O55" s="408">
        <f t="shared" si="12"/>
        <v>49240330</v>
      </c>
      <c r="P55" s="408">
        <f>+(O55*$T$4)+O55</f>
        <v>50717539.899999999</v>
      </c>
      <c r="Q55" s="759"/>
    </row>
    <row r="56" spans="1:17">
      <c r="A56" s="405" t="s">
        <v>224</v>
      </c>
      <c r="B56" s="406" t="str">
        <f>+B55</f>
        <v>02-02-02-006-009</v>
      </c>
      <c r="C56" s="406">
        <v>0</v>
      </c>
      <c r="D56" s="406">
        <v>0</v>
      </c>
      <c r="E56" s="406">
        <v>0</v>
      </c>
      <c r="F56" s="406">
        <v>0</v>
      </c>
      <c r="G56" s="406">
        <v>0</v>
      </c>
      <c r="H56" s="406">
        <v>0</v>
      </c>
      <c r="I56" s="406">
        <v>0</v>
      </c>
      <c r="J56" s="406">
        <v>0</v>
      </c>
      <c r="K56" s="406">
        <v>0</v>
      </c>
      <c r="L56" s="406">
        <v>0</v>
      </c>
      <c r="M56" s="406">
        <v>0</v>
      </c>
      <c r="N56" s="406">
        <v>0</v>
      </c>
      <c r="O56" s="408">
        <f t="shared" si="12"/>
        <v>0</v>
      </c>
      <c r="P56" s="408">
        <f>+(O56*$T$4)+O56</f>
        <v>0</v>
      </c>
      <c r="Q56" s="425"/>
    </row>
    <row r="57" spans="1:17">
      <c r="A57" s="405" t="s">
        <v>229</v>
      </c>
      <c r="B57" s="411"/>
      <c r="C57" s="406">
        <v>0</v>
      </c>
      <c r="D57" s="406">
        <v>0</v>
      </c>
      <c r="E57" s="406">
        <v>0</v>
      </c>
      <c r="F57" s="406">
        <v>0</v>
      </c>
      <c r="G57" s="406">
        <v>0</v>
      </c>
      <c r="H57" s="406">
        <v>0</v>
      </c>
      <c r="I57" s="406">
        <v>0</v>
      </c>
      <c r="J57" s="406">
        <v>0</v>
      </c>
      <c r="K57" s="406">
        <v>0</v>
      </c>
      <c r="L57" s="406">
        <v>0</v>
      </c>
      <c r="M57" s="406">
        <v>0</v>
      </c>
      <c r="N57" s="406">
        <v>0</v>
      </c>
      <c r="O57" s="408">
        <f t="shared" si="12"/>
        <v>0</v>
      </c>
      <c r="P57" s="408">
        <f>+(O57*$T$4)+O57</f>
        <v>0</v>
      </c>
      <c r="Q57" s="425"/>
    </row>
    <row r="58" spans="1:17">
      <c r="A58" s="405" t="s">
        <v>226</v>
      </c>
      <c r="B58" s="412" t="s">
        <v>352</v>
      </c>
      <c r="C58" s="422">
        <v>0</v>
      </c>
      <c r="D58" s="422">
        <v>0</v>
      </c>
      <c r="E58" s="422">
        <v>0</v>
      </c>
      <c r="F58" s="422">
        <v>0</v>
      </c>
      <c r="G58" s="422">
        <v>0</v>
      </c>
      <c r="H58" s="422">
        <v>0</v>
      </c>
      <c r="I58" s="422">
        <v>0</v>
      </c>
      <c r="J58" s="422">
        <v>0</v>
      </c>
      <c r="K58" s="422">
        <v>0</v>
      </c>
      <c r="L58" s="422">
        <v>0</v>
      </c>
      <c r="M58" s="422">
        <v>0</v>
      </c>
      <c r="N58" s="422">
        <v>0</v>
      </c>
      <c r="O58" s="408">
        <f t="shared" si="12"/>
        <v>0</v>
      </c>
      <c r="P58" s="408">
        <f>+(O58*$T$4)+O58</f>
        <v>0</v>
      </c>
      <c r="Q58" s="425"/>
    </row>
    <row r="59" spans="1:17">
      <c r="A59" s="405" t="s">
        <v>227</v>
      </c>
      <c r="B59" s="415"/>
      <c r="C59" s="406">
        <v>0</v>
      </c>
      <c r="D59" s="406">
        <v>0</v>
      </c>
      <c r="E59" s="406">
        <v>0</v>
      </c>
      <c r="F59" s="406">
        <v>0</v>
      </c>
      <c r="G59" s="406">
        <v>0</v>
      </c>
      <c r="H59" s="406">
        <v>0</v>
      </c>
      <c r="I59" s="406">
        <v>0</v>
      </c>
      <c r="J59" s="406">
        <v>0</v>
      </c>
      <c r="K59" s="406">
        <v>0</v>
      </c>
      <c r="L59" s="406">
        <v>0</v>
      </c>
      <c r="M59" s="406">
        <v>0</v>
      </c>
      <c r="N59" s="406">
        <v>0</v>
      </c>
      <c r="O59" s="408">
        <f t="shared" si="12"/>
        <v>0</v>
      </c>
      <c r="P59" s="408">
        <f>+(O59*$T$4)+O59</f>
        <v>0</v>
      </c>
      <c r="Q59" s="425"/>
    </row>
    <row r="60" spans="1:17">
      <c r="A60" s="419" t="s">
        <v>162</v>
      </c>
      <c r="B60" s="434"/>
      <c r="C60" s="435">
        <f t="shared" ref="C60:P60" si="13">SUM(C54:C59)</f>
        <v>0</v>
      </c>
      <c r="D60" s="435">
        <f t="shared" si="13"/>
        <v>0</v>
      </c>
      <c r="E60" s="435">
        <f t="shared" si="13"/>
        <v>0</v>
      </c>
      <c r="F60" s="435">
        <f t="shared" si="13"/>
        <v>8411681</v>
      </c>
      <c r="G60" s="435">
        <f t="shared" si="13"/>
        <v>9264514</v>
      </c>
      <c r="H60" s="435">
        <f t="shared" si="13"/>
        <v>10998195</v>
      </c>
      <c r="I60" s="435">
        <f t="shared" si="13"/>
        <v>10481147</v>
      </c>
      <c r="J60" s="435">
        <f t="shared" si="13"/>
        <v>12120369</v>
      </c>
      <c r="K60" s="435">
        <f t="shared" si="13"/>
        <v>0</v>
      </c>
      <c r="L60" s="435">
        <f t="shared" si="13"/>
        <v>0</v>
      </c>
      <c r="M60" s="435">
        <f t="shared" si="13"/>
        <v>0</v>
      </c>
      <c r="N60" s="435">
        <f t="shared" si="13"/>
        <v>0</v>
      </c>
      <c r="O60" s="435">
        <f>SUM(O54:O59)</f>
        <v>51275906</v>
      </c>
      <c r="P60" s="435">
        <f t="shared" si="13"/>
        <v>52814183.18</v>
      </c>
      <c r="Q60" s="438"/>
    </row>
    <row r="61" spans="1:17">
      <c r="A61" s="754" t="s">
        <v>365</v>
      </c>
      <c r="B61" s="755"/>
      <c r="C61" s="755"/>
      <c r="D61" s="755"/>
      <c r="E61" s="755"/>
      <c r="F61" s="755"/>
      <c r="G61" s="755"/>
      <c r="H61" s="755"/>
      <c r="I61" s="755"/>
      <c r="J61" s="755"/>
      <c r="K61" s="755"/>
      <c r="L61" s="755"/>
      <c r="M61" s="755"/>
      <c r="N61" s="755"/>
      <c r="O61" s="755"/>
      <c r="P61" s="755"/>
      <c r="Q61" s="756"/>
    </row>
    <row r="62" spans="1:17" ht="12" customHeight="1">
      <c r="A62" s="405" t="s">
        <v>222</v>
      </c>
      <c r="B62" s="406" t="s">
        <v>349</v>
      </c>
      <c r="C62" s="406">
        <f>+F62</f>
        <v>54375</v>
      </c>
      <c r="D62" s="406">
        <v>130501</v>
      </c>
      <c r="E62" s="406">
        <v>39503</v>
      </c>
      <c r="F62" s="406">
        <v>54375</v>
      </c>
      <c r="G62" s="406">
        <v>47581</v>
      </c>
      <c r="H62" s="406">
        <v>47639</v>
      </c>
      <c r="I62" s="406">
        <v>49047</v>
      </c>
      <c r="J62" s="406">
        <v>49078</v>
      </c>
      <c r="K62" s="406">
        <v>49063</v>
      </c>
      <c r="L62" s="406">
        <v>49078</v>
      </c>
      <c r="M62" s="406">
        <v>49094</v>
      </c>
      <c r="N62" s="439">
        <v>50842</v>
      </c>
      <c r="O62" s="408">
        <f t="shared" ref="O62:O67" si="14">SUM(C62:N62)</f>
        <v>670176</v>
      </c>
      <c r="P62" s="408">
        <f>O62*(1+$T$4)</f>
        <v>690281.28</v>
      </c>
      <c r="Q62" s="751" t="s">
        <v>366</v>
      </c>
    </row>
    <row r="63" spans="1:17">
      <c r="A63" s="405" t="s">
        <v>228</v>
      </c>
      <c r="B63" s="406" t="s">
        <v>351</v>
      </c>
      <c r="C63" s="406">
        <v>100000</v>
      </c>
      <c r="D63" s="406">
        <v>100000</v>
      </c>
      <c r="E63" s="406">
        <v>100000</v>
      </c>
      <c r="F63" s="406">
        <v>100000</v>
      </c>
      <c r="G63" s="406">
        <v>100000</v>
      </c>
      <c r="H63" s="406">
        <v>100000</v>
      </c>
      <c r="I63" s="406">
        <v>100000</v>
      </c>
      <c r="J63" s="406">
        <v>100000</v>
      </c>
      <c r="K63" s="406">
        <v>100000</v>
      </c>
      <c r="L63" s="406">
        <v>100000</v>
      </c>
      <c r="M63" s="406">
        <v>100000</v>
      </c>
      <c r="N63" s="406">
        <v>100000</v>
      </c>
      <c r="O63" s="408">
        <f t="shared" si="14"/>
        <v>1200000</v>
      </c>
      <c r="P63" s="408">
        <f>+(O63*$T$4)+O63</f>
        <v>1236000</v>
      </c>
      <c r="Q63" s="753"/>
    </row>
    <row r="64" spans="1:17">
      <c r="A64" s="405" t="s">
        <v>224</v>
      </c>
      <c r="B64" s="406" t="str">
        <f>+B63</f>
        <v>02-02-02-006-009</v>
      </c>
      <c r="C64" s="406">
        <v>0</v>
      </c>
      <c r="D64" s="406">
        <v>0</v>
      </c>
      <c r="E64" s="406">
        <v>0</v>
      </c>
      <c r="F64" s="406">
        <v>0</v>
      </c>
      <c r="G64" s="406">
        <v>0</v>
      </c>
      <c r="H64" s="406">
        <v>0</v>
      </c>
      <c r="I64" s="406">
        <v>0</v>
      </c>
      <c r="J64" s="406">
        <v>0</v>
      </c>
      <c r="K64" s="406">
        <v>0</v>
      </c>
      <c r="L64" s="406">
        <v>0</v>
      </c>
      <c r="M64" s="406">
        <v>0</v>
      </c>
      <c r="N64" s="439">
        <v>0</v>
      </c>
      <c r="O64" s="408">
        <f t="shared" si="14"/>
        <v>0</v>
      </c>
      <c r="P64" s="408">
        <f>+(O64*$T$4)+O64</f>
        <v>0</v>
      </c>
      <c r="Q64" s="425"/>
    </row>
    <row r="65" spans="1:17">
      <c r="A65" s="405" t="s">
        <v>229</v>
      </c>
      <c r="B65" s="411"/>
      <c r="C65" s="406">
        <v>0</v>
      </c>
      <c r="D65" s="406">
        <v>0</v>
      </c>
      <c r="E65" s="406">
        <v>0</v>
      </c>
      <c r="F65" s="406">
        <v>0</v>
      </c>
      <c r="G65" s="406">
        <v>0</v>
      </c>
      <c r="H65" s="406">
        <v>0</v>
      </c>
      <c r="I65" s="406">
        <v>0</v>
      </c>
      <c r="J65" s="406">
        <v>0</v>
      </c>
      <c r="K65" s="406">
        <v>0</v>
      </c>
      <c r="L65" s="406">
        <v>0</v>
      </c>
      <c r="M65" s="406">
        <v>0</v>
      </c>
      <c r="N65" s="439">
        <v>0</v>
      </c>
      <c r="O65" s="408">
        <f t="shared" si="14"/>
        <v>0</v>
      </c>
      <c r="P65" s="408">
        <f>+(O65*$T$4)+O65</f>
        <v>0</v>
      </c>
      <c r="Q65" s="425"/>
    </row>
    <row r="66" spans="1:17">
      <c r="A66" s="405" t="s">
        <v>226</v>
      </c>
      <c r="B66" s="412" t="s">
        <v>352</v>
      </c>
      <c r="C66" s="422">
        <v>0</v>
      </c>
      <c r="D66" s="422">
        <v>0</v>
      </c>
      <c r="E66" s="422">
        <v>0</v>
      </c>
      <c r="F66" s="422">
        <v>0</v>
      </c>
      <c r="G66" s="422">
        <v>0</v>
      </c>
      <c r="H66" s="422">
        <v>0</v>
      </c>
      <c r="I66" s="422">
        <v>0</v>
      </c>
      <c r="J66" s="422">
        <v>0</v>
      </c>
      <c r="K66" s="422">
        <v>0</v>
      </c>
      <c r="L66" s="422">
        <v>0</v>
      </c>
      <c r="M66" s="406">
        <v>0</v>
      </c>
      <c r="N66" s="439">
        <v>0</v>
      </c>
      <c r="O66" s="408">
        <f t="shared" si="14"/>
        <v>0</v>
      </c>
      <c r="P66" s="408">
        <f>+(O66*$T$4)+O66</f>
        <v>0</v>
      </c>
      <c r="Q66" s="425"/>
    </row>
    <row r="67" spans="1:17">
      <c r="A67" s="405" t="s">
        <v>227</v>
      </c>
      <c r="B67" s="415"/>
      <c r="C67" s="430">
        <v>0</v>
      </c>
      <c r="D67" s="430">
        <v>0</v>
      </c>
      <c r="E67" s="406">
        <v>0</v>
      </c>
      <c r="F67" s="406">
        <v>0</v>
      </c>
      <c r="G67" s="406">
        <v>0</v>
      </c>
      <c r="H67" s="406">
        <v>0</v>
      </c>
      <c r="I67" s="406">
        <v>0</v>
      </c>
      <c r="J67" s="406">
        <v>0</v>
      </c>
      <c r="K67" s="406">
        <v>0</v>
      </c>
      <c r="L67" s="406">
        <v>0</v>
      </c>
      <c r="M67" s="406">
        <v>0</v>
      </c>
      <c r="N67" s="439">
        <v>0</v>
      </c>
      <c r="O67" s="408">
        <f t="shared" si="14"/>
        <v>0</v>
      </c>
      <c r="P67" s="408">
        <f>+(O67*$T$4)+O67</f>
        <v>0</v>
      </c>
      <c r="Q67" s="425"/>
    </row>
    <row r="68" spans="1:17">
      <c r="A68" s="419" t="s">
        <v>162</v>
      </c>
      <c r="B68" s="434"/>
      <c r="C68" s="420">
        <f t="shared" ref="C68:P68" si="15">SUM(C62:C67)</f>
        <v>154375</v>
      </c>
      <c r="D68" s="420">
        <f t="shared" si="15"/>
        <v>230501</v>
      </c>
      <c r="E68" s="420">
        <f t="shared" si="15"/>
        <v>139503</v>
      </c>
      <c r="F68" s="420">
        <f t="shared" si="15"/>
        <v>154375</v>
      </c>
      <c r="G68" s="420">
        <f t="shared" si="15"/>
        <v>147581</v>
      </c>
      <c r="H68" s="420">
        <f t="shared" si="15"/>
        <v>147639</v>
      </c>
      <c r="I68" s="420">
        <f t="shared" si="15"/>
        <v>149047</v>
      </c>
      <c r="J68" s="420">
        <f t="shared" si="15"/>
        <v>149078</v>
      </c>
      <c r="K68" s="420">
        <f t="shared" si="15"/>
        <v>149063</v>
      </c>
      <c r="L68" s="420">
        <f t="shared" si="15"/>
        <v>149078</v>
      </c>
      <c r="M68" s="420">
        <f t="shared" si="15"/>
        <v>149094</v>
      </c>
      <c r="N68" s="420">
        <f t="shared" si="15"/>
        <v>150842</v>
      </c>
      <c r="O68" s="420">
        <f>SUM(O62:O67)</f>
        <v>1870176</v>
      </c>
      <c r="P68" s="420">
        <f t="shared" si="15"/>
        <v>1926281.28</v>
      </c>
      <c r="Q68" s="421"/>
    </row>
    <row r="69" spans="1:17">
      <c r="A69" s="754" t="s">
        <v>367</v>
      </c>
      <c r="B69" s="755"/>
      <c r="C69" s="755"/>
      <c r="D69" s="755"/>
      <c r="E69" s="755"/>
      <c r="F69" s="755"/>
      <c r="G69" s="755"/>
      <c r="H69" s="755"/>
      <c r="I69" s="755"/>
      <c r="J69" s="755"/>
      <c r="K69" s="755"/>
      <c r="L69" s="755"/>
      <c r="M69" s="755"/>
      <c r="N69" s="755"/>
      <c r="O69" s="755"/>
      <c r="P69" s="755"/>
      <c r="Q69" s="756"/>
    </row>
    <row r="70" spans="1:17" ht="15">
      <c r="A70" s="405" t="s">
        <v>222</v>
      </c>
      <c r="B70" s="406" t="s">
        <v>349</v>
      </c>
      <c r="C70" s="422">
        <v>167020</v>
      </c>
      <c r="D70" s="422">
        <v>168260</v>
      </c>
      <c r="E70" s="433">
        <v>130670</v>
      </c>
      <c r="F70" s="433">
        <v>135220</v>
      </c>
      <c r="G70" s="422">
        <v>135220</v>
      </c>
      <c r="H70" s="422">
        <v>137490</v>
      </c>
      <c r="I70" s="422">
        <v>162540</v>
      </c>
      <c r="J70" s="422">
        <v>162540</v>
      </c>
      <c r="K70" s="422">
        <v>170930</v>
      </c>
      <c r="L70" s="422">
        <v>173390</v>
      </c>
      <c r="M70" s="406">
        <v>157540</v>
      </c>
      <c r="N70" s="437">
        <v>158930</v>
      </c>
      <c r="O70" s="408">
        <f t="shared" ref="O70:O75" si="16">SUM(C70:N70)</f>
        <v>1859750</v>
      </c>
      <c r="P70" s="408">
        <f>O70*(1+$T$4)</f>
        <v>1915542.5</v>
      </c>
      <c r="Q70" s="751" t="s">
        <v>368</v>
      </c>
    </row>
    <row r="71" spans="1:17">
      <c r="A71" s="405" t="s">
        <v>228</v>
      </c>
      <c r="B71" s="406" t="s">
        <v>351</v>
      </c>
      <c r="C71" s="422">
        <v>693784</v>
      </c>
      <c r="D71" s="422">
        <v>609223</v>
      </c>
      <c r="E71" s="422">
        <v>515456</v>
      </c>
      <c r="F71" s="422">
        <v>676267</v>
      </c>
      <c r="G71" s="422">
        <v>652359</v>
      </c>
      <c r="H71" s="422">
        <v>739710</v>
      </c>
      <c r="I71" s="422">
        <v>533644</v>
      </c>
      <c r="J71" s="422">
        <v>545952</v>
      </c>
      <c r="K71" s="422">
        <v>601260</v>
      </c>
      <c r="L71" s="422">
        <v>641680</v>
      </c>
      <c r="M71" s="406">
        <v>605727</v>
      </c>
      <c r="N71" s="437">
        <v>666060</v>
      </c>
      <c r="O71" s="408">
        <f t="shared" si="16"/>
        <v>7481122</v>
      </c>
      <c r="P71" s="408">
        <f>+(O71*$T$4)+O71</f>
        <v>7705555.6600000001</v>
      </c>
      <c r="Q71" s="752"/>
    </row>
    <row r="72" spans="1:17">
      <c r="A72" s="405" t="s">
        <v>224</v>
      </c>
      <c r="B72" s="406" t="str">
        <f>+B71</f>
        <v>02-02-02-006-009</v>
      </c>
      <c r="C72" s="406">
        <v>12800</v>
      </c>
      <c r="D72" s="406">
        <v>8211</v>
      </c>
      <c r="E72" s="406">
        <v>13260</v>
      </c>
      <c r="F72" s="406">
        <v>13130</v>
      </c>
      <c r="G72" s="406">
        <v>10190</v>
      </c>
      <c r="H72" s="406">
        <v>8580</v>
      </c>
      <c r="I72" s="406">
        <v>12440</v>
      </c>
      <c r="J72" s="406">
        <v>9870</v>
      </c>
      <c r="K72" s="406">
        <v>10510</v>
      </c>
      <c r="L72" s="406">
        <v>11170</v>
      </c>
      <c r="M72" s="406">
        <v>19790</v>
      </c>
      <c r="N72" s="437">
        <v>23870</v>
      </c>
      <c r="O72" s="408">
        <f t="shared" si="16"/>
        <v>153821</v>
      </c>
      <c r="P72" s="408">
        <f>+(O72*$T$4)+O72</f>
        <v>158435.63</v>
      </c>
      <c r="Q72" s="753"/>
    </row>
    <row r="73" spans="1:17">
      <c r="A73" s="405" t="s">
        <v>229</v>
      </c>
      <c r="B73" s="411"/>
      <c r="C73" s="423"/>
      <c r="D73" s="423"/>
      <c r="E73" s="423"/>
      <c r="F73" s="423"/>
      <c r="G73" s="423"/>
      <c r="H73" s="423"/>
      <c r="I73" s="423"/>
      <c r="J73" s="423"/>
      <c r="K73" s="423"/>
      <c r="L73" s="423"/>
      <c r="M73" s="423"/>
      <c r="N73" s="423"/>
      <c r="O73" s="408">
        <f t="shared" si="16"/>
        <v>0</v>
      </c>
      <c r="P73" s="408">
        <f>+(O73*$T$4)+O73</f>
        <v>0</v>
      </c>
      <c r="Q73" s="425"/>
    </row>
    <row r="74" spans="1:17">
      <c r="A74" s="405" t="s">
        <v>226</v>
      </c>
      <c r="B74" s="412" t="s">
        <v>352</v>
      </c>
      <c r="C74" s="437">
        <v>118449</v>
      </c>
      <c r="D74" s="437">
        <v>118449</v>
      </c>
      <c r="E74" s="437">
        <v>111596</v>
      </c>
      <c r="F74" s="437">
        <v>111596</v>
      </c>
      <c r="G74" s="437">
        <v>111596</v>
      </c>
      <c r="H74" s="437">
        <v>111596</v>
      </c>
      <c r="I74" s="437">
        <v>111596</v>
      </c>
      <c r="J74" s="437">
        <v>111596</v>
      </c>
      <c r="K74" s="437">
        <v>111596</v>
      </c>
      <c r="L74" s="437">
        <v>111596</v>
      </c>
      <c r="M74" s="437">
        <v>111596</v>
      </c>
      <c r="N74" s="437">
        <v>111596</v>
      </c>
      <c r="O74" s="408">
        <f t="shared" si="16"/>
        <v>1352858</v>
      </c>
      <c r="P74" s="408">
        <f>+(O74*$T$4)+O74</f>
        <v>1393443.74</v>
      </c>
      <c r="Q74" s="425"/>
    </row>
    <row r="75" spans="1:17">
      <c r="A75" s="405" t="s">
        <v>227</v>
      </c>
      <c r="B75" s="415"/>
      <c r="C75" s="406">
        <v>0</v>
      </c>
      <c r="D75" s="406">
        <v>0</v>
      </c>
      <c r="E75" s="406">
        <v>0</v>
      </c>
      <c r="F75" s="406">
        <v>0</v>
      </c>
      <c r="G75" s="406">
        <v>0</v>
      </c>
      <c r="H75" s="406">
        <v>0</v>
      </c>
      <c r="I75" s="406">
        <v>0</v>
      </c>
      <c r="J75" s="406">
        <v>0</v>
      </c>
      <c r="K75" s="406">
        <v>0</v>
      </c>
      <c r="L75" s="406">
        <v>0</v>
      </c>
      <c r="M75" s="406">
        <v>0</v>
      </c>
      <c r="N75" s="437">
        <v>0</v>
      </c>
      <c r="O75" s="408">
        <f t="shared" si="16"/>
        <v>0</v>
      </c>
      <c r="P75" s="408">
        <f>+(O75*$T$4)+O75</f>
        <v>0</v>
      </c>
      <c r="Q75" s="425"/>
    </row>
    <row r="76" spans="1:17">
      <c r="A76" s="419" t="s">
        <v>162</v>
      </c>
      <c r="B76" s="420"/>
      <c r="C76" s="420">
        <f t="shared" ref="C76:P76" si="17">SUM(C70:C75)</f>
        <v>992053</v>
      </c>
      <c r="D76" s="420">
        <f t="shared" si="17"/>
        <v>904143</v>
      </c>
      <c r="E76" s="420">
        <f t="shared" si="17"/>
        <v>770982</v>
      </c>
      <c r="F76" s="420">
        <f t="shared" si="17"/>
        <v>936213</v>
      </c>
      <c r="G76" s="420">
        <f t="shared" si="17"/>
        <v>909365</v>
      </c>
      <c r="H76" s="420">
        <f t="shared" si="17"/>
        <v>997376</v>
      </c>
      <c r="I76" s="420">
        <f>SUM(I70:I75)</f>
        <v>820220</v>
      </c>
      <c r="J76" s="420">
        <f t="shared" si="17"/>
        <v>829958</v>
      </c>
      <c r="K76" s="420">
        <f t="shared" si="17"/>
        <v>894296</v>
      </c>
      <c r="L76" s="420">
        <f t="shared" si="17"/>
        <v>937836</v>
      </c>
      <c r="M76" s="420">
        <f>SUM(M70:M75)</f>
        <v>894653</v>
      </c>
      <c r="N76" s="420">
        <f>SUM(N70:N75)</f>
        <v>960456</v>
      </c>
      <c r="O76" s="420">
        <f>SUM(O70:O75)</f>
        <v>10847551</v>
      </c>
      <c r="P76" s="420">
        <f t="shared" si="17"/>
        <v>11172977.530000001</v>
      </c>
      <c r="Q76" s="421"/>
    </row>
    <row r="77" spans="1:17">
      <c r="A77" s="754" t="s">
        <v>369</v>
      </c>
      <c r="B77" s="755"/>
      <c r="C77" s="755"/>
      <c r="D77" s="755"/>
      <c r="E77" s="755"/>
      <c r="F77" s="755"/>
      <c r="G77" s="755"/>
      <c r="H77" s="755"/>
      <c r="I77" s="755"/>
      <c r="J77" s="755"/>
      <c r="K77" s="755"/>
      <c r="L77" s="755"/>
      <c r="M77" s="755"/>
      <c r="N77" s="755"/>
      <c r="O77" s="755"/>
      <c r="P77" s="755"/>
      <c r="Q77" s="756"/>
    </row>
    <row r="78" spans="1:17" ht="15">
      <c r="A78" s="405" t="s">
        <v>222</v>
      </c>
      <c r="B78" s="406" t="s">
        <v>349</v>
      </c>
      <c r="C78" s="440">
        <v>79598</v>
      </c>
      <c r="D78" s="422">
        <v>42976</v>
      </c>
      <c r="E78" s="422">
        <v>95496</v>
      </c>
      <c r="F78" s="422">
        <v>88644</v>
      </c>
      <c r="G78" s="422">
        <v>99006</v>
      </c>
      <c r="H78" s="422">
        <v>93762</v>
      </c>
      <c r="I78" s="429">
        <v>112269</v>
      </c>
      <c r="J78" s="422">
        <v>128124</v>
      </c>
      <c r="K78" s="422">
        <v>91292</v>
      </c>
      <c r="L78" s="422">
        <v>106984</v>
      </c>
      <c r="M78" s="406">
        <v>58603</v>
      </c>
      <c r="N78" s="437">
        <v>63636</v>
      </c>
      <c r="O78" s="408">
        <f t="shared" ref="O78:O83" si="18">SUM(C78:N78)</f>
        <v>1060390</v>
      </c>
      <c r="P78" s="408">
        <f>O78*(1+$T$4)</f>
        <v>1092201.7</v>
      </c>
      <c r="Q78" s="751" t="s">
        <v>370</v>
      </c>
    </row>
    <row r="79" spans="1:17" ht="15">
      <c r="A79" s="405" t="s">
        <v>228</v>
      </c>
      <c r="B79" s="406" t="s">
        <v>351</v>
      </c>
      <c r="C79" s="422">
        <v>919570</v>
      </c>
      <c r="D79" s="422">
        <v>691100</v>
      </c>
      <c r="E79" s="422">
        <v>809607</v>
      </c>
      <c r="F79" s="422">
        <v>860360</v>
      </c>
      <c r="G79" s="422">
        <v>873960</v>
      </c>
      <c r="H79" s="422">
        <v>854960</v>
      </c>
      <c r="I79" s="422">
        <v>898590</v>
      </c>
      <c r="J79" s="440">
        <v>6824934</v>
      </c>
      <c r="K79" s="441">
        <v>1345590</v>
      </c>
      <c r="L79" s="441">
        <v>858890</v>
      </c>
      <c r="M79" s="442">
        <v>1086210</v>
      </c>
      <c r="N79" s="443">
        <v>963800</v>
      </c>
      <c r="O79" s="408">
        <f t="shared" si="18"/>
        <v>16987571</v>
      </c>
      <c r="P79" s="408">
        <f>+(O79*$T$4)+O79</f>
        <v>17497198.129999999</v>
      </c>
      <c r="Q79" s="753"/>
    </row>
    <row r="80" spans="1:17">
      <c r="A80" s="405" t="s">
        <v>224</v>
      </c>
      <c r="B80" s="406" t="str">
        <f>+B79</f>
        <v>02-02-02-006-009</v>
      </c>
      <c r="C80" s="422">
        <v>0</v>
      </c>
      <c r="D80" s="422">
        <v>0</v>
      </c>
      <c r="E80" s="422">
        <v>0</v>
      </c>
      <c r="F80" s="422">
        <v>0</v>
      </c>
      <c r="G80" s="422">
        <v>0</v>
      </c>
      <c r="H80" s="422">
        <v>0</v>
      </c>
      <c r="I80" s="422">
        <v>0</v>
      </c>
      <c r="J80" s="422">
        <v>0</v>
      </c>
      <c r="K80" s="422">
        <v>0</v>
      </c>
      <c r="L80" s="422"/>
      <c r="M80" s="406">
        <v>0</v>
      </c>
      <c r="N80" s="437">
        <v>0</v>
      </c>
      <c r="O80" s="408">
        <f t="shared" si="18"/>
        <v>0</v>
      </c>
      <c r="P80" s="408">
        <f>+(O80*$T$4)+O80</f>
        <v>0</v>
      </c>
      <c r="Q80" s="425"/>
    </row>
    <row r="81" spans="1:17">
      <c r="A81" s="405" t="s">
        <v>229</v>
      </c>
      <c r="B81" s="411"/>
      <c r="C81" s="406">
        <v>0</v>
      </c>
      <c r="D81" s="406">
        <v>0</v>
      </c>
      <c r="E81" s="406">
        <v>0</v>
      </c>
      <c r="F81" s="406">
        <v>0</v>
      </c>
      <c r="G81" s="406">
        <v>0</v>
      </c>
      <c r="H81" s="406">
        <v>0</v>
      </c>
      <c r="I81" s="406">
        <v>0</v>
      </c>
      <c r="J81" s="406">
        <v>0</v>
      </c>
      <c r="K81" s="406">
        <v>0</v>
      </c>
      <c r="L81" s="406">
        <v>0</v>
      </c>
      <c r="M81" s="406">
        <v>0</v>
      </c>
      <c r="N81" s="437">
        <v>0</v>
      </c>
      <c r="O81" s="408">
        <f t="shared" si="18"/>
        <v>0</v>
      </c>
      <c r="P81" s="408">
        <f>+(O81*$T$4)+O81</f>
        <v>0</v>
      </c>
      <c r="Q81" s="425"/>
    </row>
    <row r="82" spans="1:17">
      <c r="A82" s="405" t="s">
        <v>226</v>
      </c>
      <c r="B82" s="412" t="s">
        <v>352</v>
      </c>
      <c r="C82" s="422">
        <v>0</v>
      </c>
      <c r="D82" s="422">
        <v>0</v>
      </c>
      <c r="E82" s="422">
        <v>0</v>
      </c>
      <c r="F82" s="422">
        <v>0</v>
      </c>
      <c r="G82" s="422">
        <v>0</v>
      </c>
      <c r="H82" s="422">
        <v>0</v>
      </c>
      <c r="I82" s="422">
        <v>0</v>
      </c>
      <c r="J82" s="422">
        <v>0</v>
      </c>
      <c r="K82" s="422">
        <v>0</v>
      </c>
      <c r="L82" s="422">
        <v>0</v>
      </c>
      <c r="M82" s="406">
        <v>0</v>
      </c>
      <c r="N82" s="437">
        <v>0</v>
      </c>
      <c r="O82" s="408">
        <f t="shared" si="18"/>
        <v>0</v>
      </c>
      <c r="P82" s="408">
        <f>+(O82*$T$4)+O82</f>
        <v>0</v>
      </c>
      <c r="Q82" s="425"/>
    </row>
    <row r="83" spans="1:17">
      <c r="A83" s="405" t="s">
        <v>227</v>
      </c>
      <c r="B83" s="415"/>
      <c r="C83" s="406">
        <v>0</v>
      </c>
      <c r="D83" s="406">
        <v>0</v>
      </c>
      <c r="E83" s="406">
        <v>0</v>
      </c>
      <c r="F83" s="406">
        <v>0</v>
      </c>
      <c r="G83" s="406">
        <v>0</v>
      </c>
      <c r="H83" s="406">
        <v>0</v>
      </c>
      <c r="I83" s="406">
        <v>0</v>
      </c>
      <c r="J83" s="406">
        <v>0</v>
      </c>
      <c r="K83" s="406">
        <v>0</v>
      </c>
      <c r="L83" s="406">
        <v>0</v>
      </c>
      <c r="M83" s="406">
        <v>0</v>
      </c>
      <c r="N83" s="437">
        <v>0</v>
      </c>
      <c r="O83" s="408">
        <f t="shared" si="18"/>
        <v>0</v>
      </c>
      <c r="P83" s="408">
        <f>+(O83*$T$4)+O83</f>
        <v>0</v>
      </c>
      <c r="Q83" s="425"/>
    </row>
    <row r="84" spans="1:17">
      <c r="A84" s="419" t="s">
        <v>162</v>
      </c>
      <c r="B84" s="434"/>
      <c r="C84" s="420">
        <f t="shared" ref="C84:P84" si="19">SUM(C78:C83)</f>
        <v>999168</v>
      </c>
      <c r="D84" s="420">
        <f t="shared" si="19"/>
        <v>734076</v>
      </c>
      <c r="E84" s="420">
        <f t="shared" si="19"/>
        <v>905103</v>
      </c>
      <c r="F84" s="420">
        <f t="shared" si="19"/>
        <v>949004</v>
      </c>
      <c r="G84" s="420">
        <f t="shared" si="19"/>
        <v>972966</v>
      </c>
      <c r="H84" s="420">
        <f t="shared" si="19"/>
        <v>948722</v>
      </c>
      <c r="I84" s="420">
        <f>SUM(I78:I83)</f>
        <v>1010859</v>
      </c>
      <c r="J84" s="420">
        <f t="shared" si="19"/>
        <v>6953058</v>
      </c>
      <c r="K84" s="420">
        <f t="shared" si="19"/>
        <v>1436882</v>
      </c>
      <c r="L84" s="420">
        <f t="shared" si="19"/>
        <v>965874</v>
      </c>
      <c r="M84" s="420">
        <f>SUM(M78:M83)</f>
        <v>1144813</v>
      </c>
      <c r="N84" s="420">
        <f>SUM(N78:N83)</f>
        <v>1027436</v>
      </c>
      <c r="O84" s="420">
        <f>SUM(O78:O83)</f>
        <v>18047961</v>
      </c>
      <c r="P84" s="420">
        <f t="shared" si="19"/>
        <v>18589399.829999998</v>
      </c>
      <c r="Q84" s="421"/>
    </row>
    <row r="85" spans="1:17">
      <c r="A85" s="754" t="s">
        <v>371</v>
      </c>
      <c r="B85" s="755"/>
      <c r="C85" s="755"/>
      <c r="D85" s="755"/>
      <c r="E85" s="755"/>
      <c r="F85" s="755"/>
      <c r="G85" s="755"/>
      <c r="H85" s="755"/>
      <c r="I85" s="755"/>
      <c r="J85" s="755"/>
      <c r="K85" s="755"/>
      <c r="L85" s="755"/>
      <c r="M85" s="755"/>
      <c r="N85" s="755"/>
      <c r="O85" s="755"/>
      <c r="P85" s="755"/>
      <c r="Q85" s="756"/>
    </row>
    <row r="86" spans="1:17">
      <c r="A86" s="405" t="s">
        <v>222</v>
      </c>
      <c r="B86" s="406" t="s">
        <v>349</v>
      </c>
      <c r="C86" s="422">
        <f>19644+84662</f>
        <v>104306</v>
      </c>
      <c r="D86" s="422">
        <f>177031+89947</f>
        <v>266978</v>
      </c>
      <c r="E86" s="444">
        <f>171858+85087</f>
        <v>256945</v>
      </c>
      <c r="F86" s="444">
        <f>167945+86946</f>
        <v>254891</v>
      </c>
      <c r="G86" s="444">
        <f>87250+204248</f>
        <v>291498</v>
      </c>
      <c r="H86" s="444">
        <f>189806+90807</f>
        <v>280613</v>
      </c>
      <c r="I86" s="444">
        <f>89617+210711</f>
        <v>300328</v>
      </c>
      <c r="J86" s="444">
        <f>196169+84918</f>
        <v>281087</v>
      </c>
      <c r="K86" s="444">
        <f>196373+84559</f>
        <v>280932</v>
      </c>
      <c r="L86" s="444">
        <f>84559+187243</f>
        <v>271802</v>
      </c>
      <c r="M86" s="406">
        <f>193571+81310</f>
        <v>274881</v>
      </c>
      <c r="N86" s="437">
        <f>178979+84810</f>
        <v>263789</v>
      </c>
      <c r="O86" s="408">
        <f t="shared" ref="O86:O91" si="20">SUM(C86:N86)</f>
        <v>3128050</v>
      </c>
      <c r="P86" s="408">
        <f>O86*(1+$T$4)</f>
        <v>3221891.5</v>
      </c>
      <c r="Q86" s="751" t="s">
        <v>372</v>
      </c>
    </row>
    <row r="87" spans="1:17">
      <c r="A87" s="405" t="s">
        <v>228</v>
      </c>
      <c r="B87" s="406" t="s">
        <v>351</v>
      </c>
      <c r="C87" s="444">
        <v>2545969</v>
      </c>
      <c r="D87" s="444">
        <v>3378686</v>
      </c>
      <c r="E87" s="444">
        <v>2308245</v>
      </c>
      <c r="F87" s="444">
        <v>1811096</v>
      </c>
      <c r="G87" s="444">
        <v>1339301</v>
      </c>
      <c r="H87" s="444">
        <v>0</v>
      </c>
      <c r="I87" s="444">
        <v>0</v>
      </c>
      <c r="J87" s="444">
        <v>3768540</v>
      </c>
      <c r="K87" s="444">
        <v>3572350</v>
      </c>
      <c r="L87" s="444">
        <v>2462379</v>
      </c>
      <c r="M87" s="406">
        <v>2106885</v>
      </c>
      <c r="N87" s="437">
        <v>3314649</v>
      </c>
      <c r="O87" s="408">
        <f t="shared" si="20"/>
        <v>26608100</v>
      </c>
      <c r="P87" s="408">
        <f>+(O87*$T$4)+O87</f>
        <v>27406343</v>
      </c>
      <c r="Q87" s="753"/>
    </row>
    <row r="88" spans="1:17">
      <c r="A88" s="405" t="s">
        <v>224</v>
      </c>
      <c r="B88" s="406" t="str">
        <f>+B87</f>
        <v>02-02-02-006-009</v>
      </c>
      <c r="C88" s="406">
        <v>0</v>
      </c>
      <c r="D88" s="406">
        <v>0</v>
      </c>
      <c r="E88" s="406">
        <v>0</v>
      </c>
      <c r="F88" s="406">
        <v>0</v>
      </c>
      <c r="G88" s="406">
        <v>0</v>
      </c>
      <c r="H88" s="406">
        <v>0</v>
      </c>
      <c r="I88" s="406">
        <v>0</v>
      </c>
      <c r="J88" s="406">
        <v>0</v>
      </c>
      <c r="K88" s="406">
        <v>0</v>
      </c>
      <c r="L88" s="406">
        <v>0</v>
      </c>
      <c r="M88" s="406">
        <v>0</v>
      </c>
      <c r="N88" s="437">
        <v>0</v>
      </c>
      <c r="O88" s="408">
        <f t="shared" si="20"/>
        <v>0</v>
      </c>
      <c r="P88" s="408">
        <f>+(O88*$T$4)+O88</f>
        <v>0</v>
      </c>
      <c r="Q88" s="425"/>
    </row>
    <row r="89" spans="1:17">
      <c r="A89" s="405" t="s">
        <v>229</v>
      </c>
      <c r="B89" s="411"/>
      <c r="C89" s="406">
        <v>0</v>
      </c>
      <c r="D89" s="406">
        <v>0</v>
      </c>
      <c r="E89" s="406">
        <v>0</v>
      </c>
      <c r="F89" s="406">
        <v>0</v>
      </c>
      <c r="G89" s="406">
        <v>0</v>
      </c>
      <c r="H89" s="406">
        <v>0</v>
      </c>
      <c r="I89" s="406">
        <v>0</v>
      </c>
      <c r="J89" s="406">
        <v>0</v>
      </c>
      <c r="K89" s="406">
        <v>0</v>
      </c>
      <c r="L89" s="406">
        <v>0</v>
      </c>
      <c r="M89" s="406">
        <v>0</v>
      </c>
      <c r="N89" s="437">
        <v>0</v>
      </c>
      <c r="O89" s="408">
        <f t="shared" si="20"/>
        <v>0</v>
      </c>
      <c r="P89" s="408">
        <f>+(O89*$T$4)+O89</f>
        <v>0</v>
      </c>
      <c r="Q89" s="425"/>
    </row>
    <row r="90" spans="1:17">
      <c r="A90" s="405" t="s">
        <v>226</v>
      </c>
      <c r="B90" s="412" t="s">
        <v>352</v>
      </c>
      <c r="C90" s="444">
        <v>131402</v>
      </c>
      <c r="D90" s="444">
        <v>131402</v>
      </c>
      <c r="E90" s="444">
        <v>119902</v>
      </c>
      <c r="F90" s="444">
        <v>119902</v>
      </c>
      <c r="G90" s="444">
        <v>119902</v>
      </c>
      <c r="H90" s="444">
        <v>119902</v>
      </c>
      <c r="I90" s="444">
        <v>119902</v>
      </c>
      <c r="J90" s="444">
        <v>119902</v>
      </c>
      <c r="K90" s="444">
        <v>119902</v>
      </c>
      <c r="L90" s="444">
        <v>119902</v>
      </c>
      <c r="M90" s="444">
        <v>119902</v>
      </c>
      <c r="N90" s="444">
        <v>119902</v>
      </c>
      <c r="O90" s="408">
        <f t="shared" si="20"/>
        <v>1461824</v>
      </c>
      <c r="P90" s="408">
        <f>+(O90*$T$4)+O90</f>
        <v>1505678.72</v>
      </c>
      <c r="Q90" s="425"/>
    </row>
    <row r="91" spans="1:17">
      <c r="A91" s="405" t="s">
        <v>227</v>
      </c>
      <c r="B91" s="415"/>
      <c r="C91" s="406">
        <v>0</v>
      </c>
      <c r="D91" s="406">
        <v>0</v>
      </c>
      <c r="E91" s="406">
        <v>0</v>
      </c>
      <c r="F91" s="406">
        <v>0</v>
      </c>
      <c r="G91" s="406">
        <v>0</v>
      </c>
      <c r="H91" s="406">
        <v>0</v>
      </c>
      <c r="I91" s="406">
        <v>0</v>
      </c>
      <c r="J91" s="406">
        <v>0</v>
      </c>
      <c r="K91" s="406">
        <v>0</v>
      </c>
      <c r="L91" s="406">
        <v>0</v>
      </c>
      <c r="M91" s="406">
        <v>0</v>
      </c>
      <c r="N91" s="437">
        <v>0</v>
      </c>
      <c r="O91" s="408">
        <f t="shared" si="20"/>
        <v>0</v>
      </c>
      <c r="P91" s="408">
        <f>+(O91*$T$4)+O91</f>
        <v>0</v>
      </c>
      <c r="Q91" s="425"/>
    </row>
    <row r="92" spans="1:17">
      <c r="A92" s="419" t="s">
        <v>162</v>
      </c>
      <c r="B92" s="420"/>
      <c r="C92" s="420">
        <f t="shared" ref="C92:P92" si="21">SUM(C86:C91)</f>
        <v>2781677</v>
      </c>
      <c r="D92" s="420">
        <f t="shared" si="21"/>
        <v>3777066</v>
      </c>
      <c r="E92" s="420">
        <f t="shared" si="21"/>
        <v>2685092</v>
      </c>
      <c r="F92" s="420">
        <f t="shared" si="21"/>
        <v>2185889</v>
      </c>
      <c r="G92" s="420">
        <f t="shared" si="21"/>
        <v>1750701</v>
      </c>
      <c r="H92" s="420">
        <f t="shared" si="21"/>
        <v>400515</v>
      </c>
      <c r="I92" s="420">
        <f>SUM(I86:I91)</f>
        <v>420230</v>
      </c>
      <c r="J92" s="420">
        <f t="shared" si="21"/>
        <v>4169529</v>
      </c>
      <c r="K92" s="420">
        <f t="shared" si="21"/>
        <v>3973184</v>
      </c>
      <c r="L92" s="420">
        <f t="shared" si="21"/>
        <v>2854083</v>
      </c>
      <c r="M92" s="420">
        <f t="shared" si="21"/>
        <v>2501668</v>
      </c>
      <c r="N92" s="420">
        <f t="shared" si="21"/>
        <v>3698340</v>
      </c>
      <c r="O92" s="420">
        <f>SUM(O86:O91)</f>
        <v>31197974</v>
      </c>
      <c r="P92" s="420">
        <f t="shared" si="21"/>
        <v>32133913.219999999</v>
      </c>
      <c r="Q92" s="421"/>
    </row>
    <row r="93" spans="1:17">
      <c r="A93" s="754" t="s">
        <v>373</v>
      </c>
      <c r="B93" s="755"/>
      <c r="C93" s="755"/>
      <c r="D93" s="755"/>
      <c r="E93" s="755"/>
      <c r="F93" s="755"/>
      <c r="G93" s="755"/>
      <c r="H93" s="755"/>
      <c r="I93" s="755"/>
      <c r="J93" s="755"/>
      <c r="K93" s="755"/>
      <c r="L93" s="755"/>
      <c r="M93" s="755"/>
      <c r="N93" s="755"/>
      <c r="O93" s="755"/>
      <c r="P93" s="755"/>
      <c r="Q93" s="756"/>
    </row>
    <row r="94" spans="1:17">
      <c r="A94" s="405" t="s">
        <v>222</v>
      </c>
      <c r="B94" s="406" t="s">
        <v>349</v>
      </c>
      <c r="C94" s="422">
        <v>0</v>
      </c>
      <c r="D94" s="422">
        <v>0</v>
      </c>
      <c r="E94" s="422">
        <v>0</v>
      </c>
      <c r="F94" s="422">
        <v>0</v>
      </c>
      <c r="G94" s="422">
        <v>0</v>
      </c>
      <c r="H94" s="422">
        <v>0</v>
      </c>
      <c r="I94" s="422">
        <v>0</v>
      </c>
      <c r="J94" s="422">
        <v>0</v>
      </c>
      <c r="K94" s="422">
        <v>2349371</v>
      </c>
      <c r="L94" s="422">
        <v>2596936</v>
      </c>
      <c r="M94" s="422">
        <v>0</v>
      </c>
      <c r="N94" s="422">
        <v>0</v>
      </c>
      <c r="O94" s="408">
        <f t="shared" ref="O94:O99" si="22">SUM(C94:N94)</f>
        <v>4946307</v>
      </c>
      <c r="P94" s="408">
        <f>O94*(1+$T$4)</f>
        <v>5094696.21</v>
      </c>
      <c r="Q94" s="751" t="s">
        <v>374</v>
      </c>
    </row>
    <row r="95" spans="1:17">
      <c r="A95" s="405" t="s">
        <v>228</v>
      </c>
      <c r="B95" s="406" t="s">
        <v>351</v>
      </c>
      <c r="C95" s="422">
        <v>0</v>
      </c>
      <c r="D95" s="422">
        <v>0</v>
      </c>
      <c r="E95" s="422">
        <v>0</v>
      </c>
      <c r="F95" s="422">
        <v>0</v>
      </c>
      <c r="G95" s="422">
        <v>0</v>
      </c>
      <c r="H95" s="422">
        <v>0</v>
      </c>
      <c r="I95" s="422">
        <v>0</v>
      </c>
      <c r="J95" s="422">
        <v>0</v>
      </c>
      <c r="K95" s="422">
        <v>11650530</v>
      </c>
      <c r="L95" s="422">
        <v>10436380</v>
      </c>
      <c r="M95" s="422">
        <v>0</v>
      </c>
      <c r="N95" s="422">
        <v>0</v>
      </c>
      <c r="O95" s="408">
        <f t="shared" si="22"/>
        <v>22086910</v>
      </c>
      <c r="P95" s="408">
        <f>+(O95*$T$4)+O95</f>
        <v>22749517.300000001</v>
      </c>
      <c r="Q95" s="753"/>
    </row>
    <row r="96" spans="1:17">
      <c r="A96" s="405" t="s">
        <v>224</v>
      </c>
      <c r="B96" s="406" t="str">
        <f>+B95</f>
        <v>02-02-02-006-009</v>
      </c>
      <c r="C96" s="406">
        <v>0</v>
      </c>
      <c r="D96" s="406">
        <v>0</v>
      </c>
      <c r="E96" s="406">
        <v>0</v>
      </c>
      <c r="F96" s="406">
        <v>0</v>
      </c>
      <c r="G96" s="406">
        <v>0</v>
      </c>
      <c r="H96" s="406">
        <v>0</v>
      </c>
      <c r="I96" s="406">
        <v>0</v>
      </c>
      <c r="J96" s="406">
        <v>0</v>
      </c>
      <c r="K96" s="422">
        <v>0</v>
      </c>
      <c r="L96" s="406">
        <v>0</v>
      </c>
      <c r="M96" s="406">
        <v>0</v>
      </c>
      <c r="N96" s="406">
        <v>0</v>
      </c>
      <c r="O96" s="408">
        <f t="shared" si="22"/>
        <v>0</v>
      </c>
      <c r="P96" s="408">
        <f>+(O96*$T$4)+O96</f>
        <v>0</v>
      </c>
      <c r="Q96" s="425"/>
    </row>
    <row r="97" spans="1:17">
      <c r="A97" s="405" t="s">
        <v>229</v>
      </c>
      <c r="B97" s="411"/>
      <c r="C97" s="406">
        <v>0</v>
      </c>
      <c r="D97" s="406">
        <v>0</v>
      </c>
      <c r="E97" s="406">
        <v>0</v>
      </c>
      <c r="F97" s="406">
        <v>0</v>
      </c>
      <c r="G97" s="406">
        <v>0</v>
      </c>
      <c r="H97" s="406">
        <v>0</v>
      </c>
      <c r="I97" s="406">
        <v>0</v>
      </c>
      <c r="J97" s="406">
        <v>0</v>
      </c>
      <c r="K97" s="406">
        <v>0</v>
      </c>
      <c r="L97" s="406">
        <v>0</v>
      </c>
      <c r="M97" s="406">
        <v>0</v>
      </c>
      <c r="N97" s="406">
        <v>0</v>
      </c>
      <c r="O97" s="408">
        <f t="shared" si="22"/>
        <v>0</v>
      </c>
      <c r="P97" s="408">
        <f>+(O97*$T$4)+O97</f>
        <v>0</v>
      </c>
      <c r="Q97" s="425"/>
    </row>
    <row r="98" spans="1:17">
      <c r="A98" s="405" t="s">
        <v>226</v>
      </c>
      <c r="B98" s="412" t="s">
        <v>352</v>
      </c>
      <c r="C98" s="422">
        <v>0</v>
      </c>
      <c r="D98" s="422">
        <v>0</v>
      </c>
      <c r="E98" s="422">
        <v>0</v>
      </c>
      <c r="F98" s="422">
        <v>0</v>
      </c>
      <c r="G98" s="422">
        <v>0</v>
      </c>
      <c r="H98" s="422">
        <v>0</v>
      </c>
      <c r="I98" s="422">
        <v>0</v>
      </c>
      <c r="J98" s="422">
        <v>0</v>
      </c>
      <c r="K98" s="422">
        <v>0</v>
      </c>
      <c r="L98" s="422">
        <v>0</v>
      </c>
      <c r="M98" s="422">
        <v>0</v>
      </c>
      <c r="N98" s="422">
        <v>0</v>
      </c>
      <c r="O98" s="408">
        <f t="shared" si="22"/>
        <v>0</v>
      </c>
      <c r="P98" s="408">
        <f>+(O98*$T$4)+O98</f>
        <v>0</v>
      </c>
      <c r="Q98" s="425"/>
    </row>
    <row r="99" spans="1:17">
      <c r="A99" s="405" t="s">
        <v>227</v>
      </c>
      <c r="B99" s="415"/>
      <c r="C99" s="406">
        <v>0</v>
      </c>
      <c r="D99" s="406">
        <v>0</v>
      </c>
      <c r="E99" s="406">
        <v>0</v>
      </c>
      <c r="F99" s="406">
        <v>0</v>
      </c>
      <c r="G99" s="406">
        <v>0</v>
      </c>
      <c r="H99" s="406">
        <v>0</v>
      </c>
      <c r="I99" s="406">
        <v>0</v>
      </c>
      <c r="J99" s="406">
        <v>0</v>
      </c>
      <c r="K99" s="406">
        <v>0</v>
      </c>
      <c r="L99" s="406">
        <v>0</v>
      </c>
      <c r="M99" s="406">
        <v>0</v>
      </c>
      <c r="N99" s="406">
        <v>0</v>
      </c>
      <c r="O99" s="408">
        <f t="shared" si="22"/>
        <v>0</v>
      </c>
      <c r="P99" s="408">
        <f>+(O99*$T$4)+O99</f>
        <v>0</v>
      </c>
      <c r="Q99" s="425"/>
    </row>
    <row r="100" spans="1:17">
      <c r="A100" s="419" t="s">
        <v>162</v>
      </c>
      <c r="B100" s="420"/>
      <c r="C100" s="420">
        <f t="shared" ref="C100:P100" si="23">SUM(C94:C99)</f>
        <v>0</v>
      </c>
      <c r="D100" s="420">
        <f t="shared" si="23"/>
        <v>0</v>
      </c>
      <c r="E100" s="420">
        <f t="shared" si="23"/>
        <v>0</v>
      </c>
      <c r="F100" s="420">
        <f t="shared" si="23"/>
        <v>0</v>
      </c>
      <c r="G100" s="420">
        <f t="shared" si="23"/>
        <v>0</v>
      </c>
      <c r="H100" s="420">
        <f t="shared" si="23"/>
        <v>0</v>
      </c>
      <c r="I100" s="420">
        <f>SUM(I94:I99)</f>
        <v>0</v>
      </c>
      <c r="J100" s="420">
        <f t="shared" si="23"/>
        <v>0</v>
      </c>
      <c r="K100" s="420">
        <f t="shared" si="23"/>
        <v>13999901</v>
      </c>
      <c r="L100" s="420">
        <f t="shared" si="23"/>
        <v>13033316</v>
      </c>
      <c r="M100" s="420">
        <f t="shared" si="23"/>
        <v>0</v>
      </c>
      <c r="N100" s="420">
        <f t="shared" si="23"/>
        <v>0</v>
      </c>
      <c r="O100" s="420">
        <f>SUM(O94:O99)</f>
        <v>27033217</v>
      </c>
      <c r="P100" s="420">
        <f t="shared" si="23"/>
        <v>27844213.510000002</v>
      </c>
      <c r="Q100" s="421"/>
    </row>
    <row r="101" spans="1:17">
      <c r="A101" s="754" t="s">
        <v>375</v>
      </c>
      <c r="B101" s="755"/>
      <c r="C101" s="755"/>
      <c r="D101" s="755"/>
      <c r="E101" s="755"/>
      <c r="F101" s="755"/>
      <c r="G101" s="755"/>
      <c r="H101" s="755"/>
      <c r="I101" s="755"/>
      <c r="J101" s="755"/>
      <c r="K101" s="755"/>
      <c r="L101" s="755"/>
      <c r="M101" s="755"/>
      <c r="N101" s="755"/>
      <c r="O101" s="755"/>
      <c r="P101" s="755"/>
      <c r="Q101" s="756"/>
    </row>
    <row r="102" spans="1:17">
      <c r="A102" s="405" t="s">
        <v>222</v>
      </c>
      <c r="B102" s="406" t="s">
        <v>349</v>
      </c>
      <c r="C102" s="422">
        <v>0</v>
      </c>
      <c r="D102" s="422">
        <v>0</v>
      </c>
      <c r="E102" s="422">
        <v>0</v>
      </c>
      <c r="F102" s="422">
        <v>0</v>
      </c>
      <c r="G102" s="422">
        <v>0</v>
      </c>
      <c r="H102" s="422">
        <v>0</v>
      </c>
      <c r="I102" s="422">
        <v>0</v>
      </c>
      <c r="J102" s="422">
        <v>0</v>
      </c>
      <c r="K102" s="422">
        <v>0</v>
      </c>
      <c r="L102" s="422">
        <v>0</v>
      </c>
      <c r="M102" s="422">
        <v>0</v>
      </c>
      <c r="N102" s="422">
        <v>0</v>
      </c>
      <c r="O102" s="408">
        <f t="shared" ref="O102:O107" si="24">SUM(C102:N102)</f>
        <v>0</v>
      </c>
      <c r="P102" s="408">
        <f>O102*(1+$T$4)</f>
        <v>0</v>
      </c>
      <c r="Q102" s="751" t="s">
        <v>355</v>
      </c>
    </row>
    <row r="103" spans="1:17">
      <c r="A103" s="405" t="s">
        <v>228</v>
      </c>
      <c r="B103" s="406" t="s">
        <v>351</v>
      </c>
      <c r="C103" s="422">
        <v>2909180</v>
      </c>
      <c r="D103" s="422">
        <v>3601140</v>
      </c>
      <c r="E103" s="422">
        <v>2665200</v>
      </c>
      <c r="F103" s="422">
        <v>2000160</v>
      </c>
      <c r="G103" s="422">
        <v>2773370</v>
      </c>
      <c r="H103" s="422">
        <v>3017120</v>
      </c>
      <c r="I103" s="422">
        <v>2673190</v>
      </c>
      <c r="J103" s="422">
        <v>3154610</v>
      </c>
      <c r="K103" s="422">
        <v>3218210</v>
      </c>
      <c r="L103" s="422">
        <v>3479650</v>
      </c>
      <c r="M103" s="422">
        <v>3834650</v>
      </c>
      <c r="N103" s="422">
        <v>3403790</v>
      </c>
      <c r="O103" s="408">
        <f t="shared" si="24"/>
        <v>36730270</v>
      </c>
      <c r="P103" s="408">
        <f>+(O103*$T$4)+O103</f>
        <v>37832178.100000001</v>
      </c>
      <c r="Q103" s="753"/>
    </row>
    <row r="104" spans="1:17">
      <c r="A104" s="405" t="s">
        <v>224</v>
      </c>
      <c r="B104" s="406" t="str">
        <f>+B103</f>
        <v>02-02-02-006-009</v>
      </c>
      <c r="C104" s="406">
        <v>0</v>
      </c>
      <c r="D104" s="406">
        <v>0</v>
      </c>
      <c r="E104" s="406">
        <v>0</v>
      </c>
      <c r="F104" s="406">
        <v>0</v>
      </c>
      <c r="G104" s="406">
        <v>0</v>
      </c>
      <c r="H104" s="406">
        <v>0</v>
      </c>
      <c r="I104" s="406">
        <v>0</v>
      </c>
      <c r="J104" s="406">
        <v>0</v>
      </c>
      <c r="K104" s="406">
        <v>0</v>
      </c>
      <c r="L104" s="406">
        <v>0</v>
      </c>
      <c r="M104" s="406">
        <v>0</v>
      </c>
      <c r="N104" s="406">
        <v>0</v>
      </c>
      <c r="O104" s="408">
        <f t="shared" si="24"/>
        <v>0</v>
      </c>
      <c r="P104" s="408">
        <f>+(O104*$T$4)+O104</f>
        <v>0</v>
      </c>
      <c r="Q104" s="425"/>
    </row>
    <row r="105" spans="1:17">
      <c r="A105" s="405" t="s">
        <v>229</v>
      </c>
      <c r="B105" s="411"/>
      <c r="C105" s="406">
        <v>0</v>
      </c>
      <c r="D105" s="406">
        <v>0</v>
      </c>
      <c r="E105" s="406">
        <v>0</v>
      </c>
      <c r="F105" s="406">
        <v>0</v>
      </c>
      <c r="G105" s="406">
        <v>0</v>
      </c>
      <c r="H105" s="406">
        <v>0</v>
      </c>
      <c r="I105" s="406">
        <v>0</v>
      </c>
      <c r="J105" s="406">
        <v>0</v>
      </c>
      <c r="K105" s="406">
        <v>0</v>
      </c>
      <c r="L105" s="406">
        <v>0</v>
      </c>
      <c r="M105" s="406">
        <v>0</v>
      </c>
      <c r="N105" s="406">
        <v>0</v>
      </c>
      <c r="O105" s="408">
        <f t="shared" si="24"/>
        <v>0</v>
      </c>
      <c r="P105" s="408">
        <f>+(O105*$T$4)+O105</f>
        <v>0</v>
      </c>
      <c r="Q105" s="425"/>
    </row>
    <row r="106" spans="1:17">
      <c r="A106" s="405" t="s">
        <v>226</v>
      </c>
      <c r="B106" s="412" t="s">
        <v>352</v>
      </c>
      <c r="C106" s="422">
        <v>0</v>
      </c>
      <c r="D106" s="422">
        <v>0</v>
      </c>
      <c r="E106" s="422">
        <v>0</v>
      </c>
      <c r="F106" s="422">
        <v>0</v>
      </c>
      <c r="G106" s="422">
        <v>0</v>
      </c>
      <c r="H106" s="422">
        <v>0</v>
      </c>
      <c r="I106" s="422">
        <v>0</v>
      </c>
      <c r="J106" s="422">
        <v>0</v>
      </c>
      <c r="K106" s="422">
        <v>0</v>
      </c>
      <c r="L106" s="422">
        <v>0</v>
      </c>
      <c r="M106" s="422">
        <v>0</v>
      </c>
      <c r="N106" s="422">
        <v>0</v>
      </c>
      <c r="O106" s="408">
        <f t="shared" si="24"/>
        <v>0</v>
      </c>
      <c r="P106" s="408">
        <f>+(O106*$T$4)+O106</f>
        <v>0</v>
      </c>
      <c r="Q106" s="425"/>
    </row>
    <row r="107" spans="1:17">
      <c r="A107" s="405" t="s">
        <v>227</v>
      </c>
      <c r="B107" s="415"/>
      <c r="C107" s="406">
        <v>0</v>
      </c>
      <c r="D107" s="406">
        <v>0</v>
      </c>
      <c r="E107" s="406">
        <v>0</v>
      </c>
      <c r="F107" s="406">
        <v>0</v>
      </c>
      <c r="G107" s="406">
        <v>0</v>
      </c>
      <c r="H107" s="406">
        <v>0</v>
      </c>
      <c r="I107" s="406">
        <v>0</v>
      </c>
      <c r="J107" s="406">
        <v>0</v>
      </c>
      <c r="K107" s="406">
        <v>0</v>
      </c>
      <c r="L107" s="406">
        <v>0</v>
      </c>
      <c r="M107" s="406">
        <v>0</v>
      </c>
      <c r="N107" s="406">
        <v>0</v>
      </c>
      <c r="O107" s="408">
        <f t="shared" si="24"/>
        <v>0</v>
      </c>
      <c r="P107" s="408">
        <f>+(O107*$T$4)+O107</f>
        <v>0</v>
      </c>
      <c r="Q107" s="425"/>
    </row>
    <row r="108" spans="1:17">
      <c r="A108" s="445" t="s">
        <v>162</v>
      </c>
      <c r="B108" s="446"/>
      <c r="C108" s="447">
        <f t="shared" ref="C108:P108" si="25">SUM(C102:C107)</f>
        <v>2909180</v>
      </c>
      <c r="D108" s="447">
        <f t="shared" si="25"/>
        <v>3601140</v>
      </c>
      <c r="E108" s="447">
        <f t="shared" si="25"/>
        <v>2665200</v>
      </c>
      <c r="F108" s="447">
        <f t="shared" si="25"/>
        <v>2000160</v>
      </c>
      <c r="G108" s="447">
        <f t="shared" si="25"/>
        <v>2773370</v>
      </c>
      <c r="H108" s="447">
        <f t="shared" si="25"/>
        <v>3017120</v>
      </c>
      <c r="I108" s="447">
        <f>SUM(I102:I107)</f>
        <v>2673190</v>
      </c>
      <c r="J108" s="447">
        <f t="shared" si="25"/>
        <v>3154610</v>
      </c>
      <c r="K108" s="447">
        <f t="shared" si="25"/>
        <v>3218210</v>
      </c>
      <c r="L108" s="447">
        <f t="shared" si="25"/>
        <v>3479650</v>
      </c>
      <c r="M108" s="447">
        <f t="shared" si="25"/>
        <v>3834650</v>
      </c>
      <c r="N108" s="447">
        <f t="shared" si="25"/>
        <v>3403790</v>
      </c>
      <c r="O108" s="447">
        <f t="shared" si="25"/>
        <v>36730270</v>
      </c>
      <c r="P108" s="447">
        <f t="shared" si="25"/>
        <v>37832178.100000001</v>
      </c>
      <c r="Q108" s="448"/>
    </row>
    <row r="109" spans="1:17">
      <c r="A109" s="754" t="s">
        <v>376</v>
      </c>
      <c r="B109" s="755"/>
      <c r="C109" s="755"/>
      <c r="D109" s="755"/>
      <c r="E109" s="755"/>
      <c r="F109" s="755"/>
      <c r="G109" s="755"/>
      <c r="H109" s="755"/>
      <c r="I109" s="755"/>
      <c r="J109" s="755"/>
      <c r="K109" s="755"/>
      <c r="L109" s="755"/>
      <c r="M109" s="755"/>
      <c r="N109" s="755"/>
      <c r="O109" s="755"/>
      <c r="P109" s="755"/>
      <c r="Q109" s="756"/>
    </row>
    <row r="110" spans="1:17">
      <c r="A110" s="405" t="s">
        <v>222</v>
      </c>
      <c r="B110" s="406" t="s">
        <v>349</v>
      </c>
      <c r="C110" s="422">
        <v>100000</v>
      </c>
      <c r="D110" s="422">
        <v>100000</v>
      </c>
      <c r="E110" s="422">
        <v>100000</v>
      </c>
      <c r="F110" s="422">
        <v>100000</v>
      </c>
      <c r="G110" s="422">
        <v>100000</v>
      </c>
      <c r="H110" s="422">
        <v>100000</v>
      </c>
      <c r="I110" s="422">
        <v>100000</v>
      </c>
      <c r="J110" s="422">
        <v>100000</v>
      </c>
      <c r="K110" s="422">
        <v>100000</v>
      </c>
      <c r="L110" s="422">
        <v>100000</v>
      </c>
      <c r="M110" s="422">
        <v>100000</v>
      </c>
      <c r="N110" s="422">
        <v>100000</v>
      </c>
      <c r="O110" s="408">
        <f t="shared" ref="O110:O115" si="26">SUM(C110:N110)</f>
        <v>1200000</v>
      </c>
      <c r="P110" s="408">
        <f>O110*(1+$T$4)</f>
        <v>1236000</v>
      </c>
      <c r="Q110" s="751" t="s">
        <v>355</v>
      </c>
    </row>
    <row r="111" spans="1:17">
      <c r="A111" s="405" t="s">
        <v>228</v>
      </c>
      <c r="B111" s="406" t="s">
        <v>351</v>
      </c>
      <c r="C111" s="422">
        <v>100000</v>
      </c>
      <c r="D111" s="422">
        <v>100000</v>
      </c>
      <c r="E111" s="422">
        <v>100000</v>
      </c>
      <c r="F111" s="422">
        <v>100000</v>
      </c>
      <c r="G111" s="422">
        <v>100000</v>
      </c>
      <c r="H111" s="422">
        <v>100000</v>
      </c>
      <c r="I111" s="422">
        <v>100000</v>
      </c>
      <c r="J111" s="422">
        <v>100000</v>
      </c>
      <c r="K111" s="422">
        <v>100000</v>
      </c>
      <c r="L111" s="422">
        <v>100000</v>
      </c>
      <c r="M111" s="422">
        <v>100000</v>
      </c>
      <c r="N111" s="422">
        <v>100000</v>
      </c>
      <c r="O111" s="408">
        <f t="shared" si="26"/>
        <v>1200000</v>
      </c>
      <c r="P111" s="408">
        <f>+(O111*$T$4)+O111</f>
        <v>1236000</v>
      </c>
      <c r="Q111" s="753"/>
    </row>
    <row r="112" spans="1:17">
      <c r="A112" s="405" t="s">
        <v>224</v>
      </c>
      <c r="B112" s="406" t="str">
        <f>+B111</f>
        <v>02-02-02-006-009</v>
      </c>
      <c r="C112" s="406">
        <v>0</v>
      </c>
      <c r="D112" s="406">
        <v>0</v>
      </c>
      <c r="E112" s="406">
        <v>0</v>
      </c>
      <c r="F112" s="406">
        <v>0</v>
      </c>
      <c r="G112" s="406">
        <v>0</v>
      </c>
      <c r="H112" s="406">
        <v>0</v>
      </c>
      <c r="I112" s="406">
        <v>0</v>
      </c>
      <c r="J112" s="406">
        <v>0</v>
      </c>
      <c r="K112" s="406">
        <v>0</v>
      </c>
      <c r="L112" s="406">
        <v>0</v>
      </c>
      <c r="M112" s="406">
        <v>0</v>
      </c>
      <c r="N112" s="406">
        <v>0</v>
      </c>
      <c r="O112" s="408">
        <f t="shared" si="26"/>
        <v>0</v>
      </c>
      <c r="P112" s="408">
        <f>+(O112*$T$4)+O112</f>
        <v>0</v>
      </c>
      <c r="Q112" s="425"/>
    </row>
    <row r="113" spans="1:17">
      <c r="A113" s="405" t="s">
        <v>229</v>
      </c>
      <c r="B113" s="411"/>
      <c r="C113" s="406">
        <v>0</v>
      </c>
      <c r="D113" s="406">
        <v>0</v>
      </c>
      <c r="E113" s="406">
        <v>0</v>
      </c>
      <c r="F113" s="406">
        <v>0</v>
      </c>
      <c r="G113" s="406">
        <v>0</v>
      </c>
      <c r="H113" s="406">
        <v>0</v>
      </c>
      <c r="I113" s="406">
        <v>0</v>
      </c>
      <c r="J113" s="406">
        <v>0</v>
      </c>
      <c r="K113" s="406">
        <v>0</v>
      </c>
      <c r="L113" s="406">
        <v>0</v>
      </c>
      <c r="M113" s="406">
        <v>0</v>
      </c>
      <c r="N113" s="406">
        <v>0</v>
      </c>
      <c r="O113" s="408">
        <f t="shared" si="26"/>
        <v>0</v>
      </c>
      <c r="P113" s="408">
        <f>+(O113*$T$4)+O113</f>
        <v>0</v>
      </c>
      <c r="Q113" s="425"/>
    </row>
    <row r="114" spans="1:17">
      <c r="A114" s="405" t="s">
        <v>226</v>
      </c>
      <c r="B114" s="412" t="s">
        <v>352</v>
      </c>
      <c r="C114" s="422">
        <v>0</v>
      </c>
      <c r="D114" s="422">
        <v>0</v>
      </c>
      <c r="E114" s="422">
        <v>0</v>
      </c>
      <c r="F114" s="422">
        <v>0</v>
      </c>
      <c r="G114" s="422">
        <v>0</v>
      </c>
      <c r="H114" s="422">
        <v>0</v>
      </c>
      <c r="I114" s="422">
        <v>0</v>
      </c>
      <c r="J114" s="422">
        <v>0</v>
      </c>
      <c r="K114" s="422">
        <v>0</v>
      </c>
      <c r="L114" s="422">
        <v>0</v>
      </c>
      <c r="M114" s="422">
        <v>0</v>
      </c>
      <c r="N114" s="422">
        <v>0</v>
      </c>
      <c r="O114" s="408">
        <f t="shared" si="26"/>
        <v>0</v>
      </c>
      <c r="P114" s="408">
        <f>+(O114*$T$4)+O114</f>
        <v>0</v>
      </c>
      <c r="Q114" s="425"/>
    </row>
    <row r="115" spans="1:17">
      <c r="A115" s="405" t="s">
        <v>227</v>
      </c>
      <c r="B115" s="415"/>
      <c r="C115" s="406">
        <v>0</v>
      </c>
      <c r="D115" s="406">
        <v>0</v>
      </c>
      <c r="E115" s="406">
        <v>0</v>
      </c>
      <c r="F115" s="406">
        <v>0</v>
      </c>
      <c r="G115" s="406">
        <v>0</v>
      </c>
      <c r="H115" s="406">
        <v>0</v>
      </c>
      <c r="I115" s="406">
        <v>0</v>
      </c>
      <c r="J115" s="406">
        <v>0</v>
      </c>
      <c r="K115" s="406">
        <v>0</v>
      </c>
      <c r="L115" s="406">
        <v>0</v>
      </c>
      <c r="M115" s="406">
        <v>0</v>
      </c>
      <c r="N115" s="406">
        <v>0</v>
      </c>
      <c r="O115" s="408">
        <f t="shared" si="26"/>
        <v>0</v>
      </c>
      <c r="P115" s="408">
        <f>+(O115*$T$4)+O115</f>
        <v>0</v>
      </c>
      <c r="Q115" s="425"/>
    </row>
    <row r="116" spans="1:17">
      <c r="A116" s="445" t="s">
        <v>162</v>
      </c>
      <c r="B116" s="446"/>
      <c r="C116" s="447">
        <f t="shared" ref="C116:P116" si="27">SUM(C110:C115)</f>
        <v>200000</v>
      </c>
      <c r="D116" s="447">
        <f t="shared" si="27"/>
        <v>200000</v>
      </c>
      <c r="E116" s="447">
        <f t="shared" si="27"/>
        <v>200000</v>
      </c>
      <c r="F116" s="447">
        <f t="shared" si="27"/>
        <v>200000</v>
      </c>
      <c r="G116" s="447">
        <f t="shared" si="27"/>
        <v>200000</v>
      </c>
      <c r="H116" s="447">
        <f t="shared" si="27"/>
        <v>200000</v>
      </c>
      <c r="I116" s="447">
        <f>SUM(I110:I115)</f>
        <v>200000</v>
      </c>
      <c r="J116" s="447">
        <f t="shared" si="27"/>
        <v>200000</v>
      </c>
      <c r="K116" s="447">
        <f t="shared" si="27"/>
        <v>200000</v>
      </c>
      <c r="L116" s="447">
        <f t="shared" si="27"/>
        <v>200000</v>
      </c>
      <c r="M116" s="447">
        <f t="shared" si="27"/>
        <v>200000</v>
      </c>
      <c r="N116" s="447">
        <f t="shared" si="27"/>
        <v>200000</v>
      </c>
      <c r="O116" s="447">
        <f t="shared" si="27"/>
        <v>2400000</v>
      </c>
      <c r="P116" s="447">
        <f t="shared" si="27"/>
        <v>2472000</v>
      </c>
      <c r="Q116" s="448"/>
    </row>
    <row r="117" spans="1:17">
      <c r="A117" s="754" t="s">
        <v>377</v>
      </c>
      <c r="B117" s="755"/>
      <c r="C117" s="755"/>
      <c r="D117" s="755"/>
      <c r="E117" s="755"/>
      <c r="F117" s="755"/>
      <c r="G117" s="755"/>
      <c r="H117" s="755"/>
      <c r="I117" s="755"/>
      <c r="J117" s="755"/>
      <c r="K117" s="755"/>
      <c r="L117" s="755"/>
      <c r="M117" s="755"/>
      <c r="N117" s="755"/>
      <c r="O117" s="755"/>
      <c r="P117" s="755"/>
      <c r="Q117" s="756"/>
    </row>
    <row r="118" spans="1:17">
      <c r="A118" s="405" t="s">
        <v>222</v>
      </c>
      <c r="B118" s="406" t="s">
        <v>349</v>
      </c>
      <c r="C118" s="422">
        <v>42800</v>
      </c>
      <c r="D118" s="422">
        <v>80600</v>
      </c>
      <c r="E118" s="422">
        <v>77000</v>
      </c>
      <c r="F118" s="422">
        <v>100300</v>
      </c>
      <c r="G118" s="422">
        <v>106000</v>
      </c>
      <c r="H118" s="422">
        <v>97500</v>
      </c>
      <c r="I118" s="422">
        <v>89200</v>
      </c>
      <c r="J118" s="422">
        <v>61900</v>
      </c>
      <c r="K118" s="422">
        <v>54800</v>
      </c>
      <c r="L118" s="422">
        <v>42800</v>
      </c>
      <c r="M118" s="406">
        <v>42800</v>
      </c>
      <c r="N118" s="437">
        <v>39800</v>
      </c>
      <c r="O118" s="408">
        <f t="shared" ref="O118:O123" si="28">SUM(C118:N118)</f>
        <v>835500</v>
      </c>
      <c r="P118" s="408">
        <f>O118*(1+$T$4)</f>
        <v>860565</v>
      </c>
      <c r="Q118" s="751" t="s">
        <v>368</v>
      </c>
    </row>
    <row r="119" spans="1:17">
      <c r="A119" s="405" t="s">
        <v>228</v>
      </c>
      <c r="B119" s="406" t="s">
        <v>351</v>
      </c>
      <c r="C119" s="422">
        <v>745649</v>
      </c>
      <c r="D119" s="422">
        <v>812586</v>
      </c>
      <c r="E119" s="422">
        <v>546487</v>
      </c>
      <c r="F119" s="422">
        <v>572311</v>
      </c>
      <c r="G119" s="422">
        <v>501115</v>
      </c>
      <c r="H119" s="422">
        <v>620184</v>
      </c>
      <c r="I119" s="422">
        <v>625679</v>
      </c>
      <c r="J119" s="422">
        <v>649337</v>
      </c>
      <c r="K119" s="422">
        <v>670142</v>
      </c>
      <c r="L119" s="422">
        <v>843433</v>
      </c>
      <c r="M119" s="406">
        <v>812094</v>
      </c>
      <c r="N119" s="437">
        <v>740547</v>
      </c>
      <c r="O119" s="408">
        <f t="shared" si="28"/>
        <v>8139564</v>
      </c>
      <c r="P119" s="408">
        <f>+(O119*$T$4)+O119</f>
        <v>8383750.9199999999</v>
      </c>
      <c r="Q119" s="752"/>
    </row>
    <row r="120" spans="1:17">
      <c r="A120" s="405" t="s">
        <v>224</v>
      </c>
      <c r="B120" s="406" t="str">
        <f>+B119</f>
        <v>02-02-02-006-009</v>
      </c>
      <c r="C120" s="406">
        <v>21090</v>
      </c>
      <c r="D120" s="406">
        <v>18160</v>
      </c>
      <c r="E120" s="406">
        <v>19790</v>
      </c>
      <c r="F120" s="406">
        <v>27070</v>
      </c>
      <c r="G120" s="406">
        <v>26980</v>
      </c>
      <c r="H120" s="406">
        <v>19980</v>
      </c>
      <c r="I120" s="406">
        <v>22500</v>
      </c>
      <c r="J120" s="406">
        <v>24500</v>
      </c>
      <c r="K120" s="406">
        <v>20110</v>
      </c>
      <c r="L120" s="406">
        <v>63960</v>
      </c>
      <c r="M120" s="406">
        <v>25180</v>
      </c>
      <c r="N120" s="437">
        <v>21140</v>
      </c>
      <c r="O120" s="408">
        <f t="shared" si="28"/>
        <v>310460</v>
      </c>
      <c r="P120" s="408">
        <f>+(O120*$T$4)+O120</f>
        <v>319773.8</v>
      </c>
      <c r="Q120" s="753"/>
    </row>
    <row r="121" spans="1:17">
      <c r="A121" s="405" t="s">
        <v>229</v>
      </c>
      <c r="B121" s="411"/>
      <c r="C121" s="406">
        <v>0</v>
      </c>
      <c r="D121" s="406">
        <v>0</v>
      </c>
      <c r="E121" s="406">
        <v>0</v>
      </c>
      <c r="F121" s="406">
        <v>0</v>
      </c>
      <c r="G121" s="406">
        <v>0</v>
      </c>
      <c r="H121" s="406">
        <v>0</v>
      </c>
      <c r="I121" s="406">
        <v>0</v>
      </c>
      <c r="J121" s="406">
        <v>0</v>
      </c>
      <c r="K121" s="406">
        <v>0</v>
      </c>
      <c r="L121" s="406">
        <v>0</v>
      </c>
      <c r="M121" s="406">
        <v>0</v>
      </c>
      <c r="N121" s="437">
        <v>0</v>
      </c>
      <c r="O121" s="408">
        <f t="shared" si="28"/>
        <v>0</v>
      </c>
      <c r="P121" s="408">
        <f>+(O121*$T$4)+O121</f>
        <v>0</v>
      </c>
      <c r="Q121" s="425"/>
    </row>
    <row r="122" spans="1:17">
      <c r="A122" s="405" t="s">
        <v>226</v>
      </c>
      <c r="B122" s="412" t="s">
        <v>352</v>
      </c>
      <c r="C122" s="422">
        <v>0</v>
      </c>
      <c r="D122" s="422">
        <v>0</v>
      </c>
      <c r="E122" s="422">
        <v>0</v>
      </c>
      <c r="F122" s="422">
        <v>0</v>
      </c>
      <c r="G122" s="422">
        <v>0</v>
      </c>
      <c r="H122" s="422">
        <v>0</v>
      </c>
      <c r="I122" s="422">
        <v>0</v>
      </c>
      <c r="J122" s="422">
        <v>0</v>
      </c>
      <c r="K122" s="422">
        <v>0</v>
      </c>
      <c r="L122" s="422">
        <v>0</v>
      </c>
      <c r="M122" s="406">
        <v>0</v>
      </c>
      <c r="N122" s="437">
        <v>0</v>
      </c>
      <c r="O122" s="408">
        <f t="shared" si="28"/>
        <v>0</v>
      </c>
      <c r="P122" s="408">
        <f>+(O122*$T$4)+O122</f>
        <v>0</v>
      </c>
      <c r="Q122" s="425"/>
    </row>
    <row r="123" spans="1:17">
      <c r="A123" s="405" t="s">
        <v>227</v>
      </c>
      <c r="B123" s="415"/>
      <c r="C123" s="406">
        <v>0</v>
      </c>
      <c r="D123" s="406">
        <v>0</v>
      </c>
      <c r="E123" s="406">
        <v>0</v>
      </c>
      <c r="F123" s="406">
        <v>0</v>
      </c>
      <c r="G123" s="406">
        <v>0</v>
      </c>
      <c r="H123" s="406">
        <v>0</v>
      </c>
      <c r="I123" s="406">
        <v>0</v>
      </c>
      <c r="J123" s="406">
        <v>0</v>
      </c>
      <c r="K123" s="406">
        <v>0</v>
      </c>
      <c r="L123" s="406">
        <v>0</v>
      </c>
      <c r="M123" s="406">
        <v>0</v>
      </c>
      <c r="N123" s="437">
        <v>0</v>
      </c>
      <c r="O123" s="408">
        <f t="shared" si="28"/>
        <v>0</v>
      </c>
      <c r="P123" s="408">
        <f>+(O123*$T$4)+O123</f>
        <v>0</v>
      </c>
      <c r="Q123" s="425"/>
    </row>
    <row r="124" spans="1:17">
      <c r="A124" s="445" t="s">
        <v>162</v>
      </c>
      <c r="B124" s="447"/>
      <c r="C124" s="447">
        <f t="shared" ref="C124:P124" si="29">SUM(C118:C123)</f>
        <v>809539</v>
      </c>
      <c r="D124" s="447">
        <f t="shared" si="29"/>
        <v>911346</v>
      </c>
      <c r="E124" s="447">
        <f t="shared" si="29"/>
        <v>643277</v>
      </c>
      <c r="F124" s="447">
        <f t="shared" si="29"/>
        <v>699681</v>
      </c>
      <c r="G124" s="447">
        <f t="shared" si="29"/>
        <v>634095</v>
      </c>
      <c r="H124" s="447">
        <f t="shared" si="29"/>
        <v>737664</v>
      </c>
      <c r="I124" s="447">
        <f>SUM(I118:I123)</f>
        <v>737379</v>
      </c>
      <c r="J124" s="447">
        <f t="shared" si="29"/>
        <v>735737</v>
      </c>
      <c r="K124" s="447">
        <f t="shared" si="29"/>
        <v>745052</v>
      </c>
      <c r="L124" s="447">
        <f t="shared" si="29"/>
        <v>950193</v>
      </c>
      <c r="M124" s="447">
        <f t="shared" si="29"/>
        <v>880074</v>
      </c>
      <c r="N124" s="447">
        <f t="shared" si="29"/>
        <v>801487</v>
      </c>
      <c r="O124" s="447">
        <f>SUM(O118:O123)</f>
        <v>9285524</v>
      </c>
      <c r="P124" s="447">
        <f t="shared" si="29"/>
        <v>9564089.7200000007</v>
      </c>
      <c r="Q124" s="448"/>
    </row>
    <row r="125" spans="1:17">
      <c r="A125" s="754" t="s">
        <v>378</v>
      </c>
      <c r="B125" s="755"/>
      <c r="C125" s="755"/>
      <c r="D125" s="755"/>
      <c r="E125" s="755"/>
      <c r="F125" s="755"/>
      <c r="G125" s="755"/>
      <c r="H125" s="755"/>
      <c r="I125" s="755"/>
      <c r="J125" s="755"/>
      <c r="K125" s="755"/>
      <c r="L125" s="755"/>
      <c r="M125" s="755"/>
      <c r="N125" s="755"/>
      <c r="O125" s="755"/>
      <c r="P125" s="755"/>
      <c r="Q125" s="756"/>
    </row>
    <row r="126" spans="1:17">
      <c r="A126" s="405" t="s">
        <v>222</v>
      </c>
      <c r="B126" s="406" t="s">
        <v>349</v>
      </c>
      <c r="C126" s="422">
        <f>389686+942924+734850</f>
        <v>2067460</v>
      </c>
      <c r="D126" s="422">
        <f>393961+469995+366842</f>
        <v>1230798</v>
      </c>
      <c r="E126" s="422">
        <v>0</v>
      </c>
      <c r="F126" s="422">
        <v>0</v>
      </c>
      <c r="G126" s="422">
        <v>0</v>
      </c>
      <c r="H126" s="422">
        <v>0</v>
      </c>
      <c r="I126" s="422">
        <v>0</v>
      </c>
      <c r="J126" s="422">
        <v>0</v>
      </c>
      <c r="K126" s="422">
        <v>0</v>
      </c>
      <c r="L126" s="422">
        <v>0</v>
      </c>
      <c r="M126" s="422">
        <f>388878+1083279+844499</f>
        <v>2316656</v>
      </c>
      <c r="N126" s="422">
        <f>390633+568136+444049</f>
        <v>1402818</v>
      </c>
      <c r="O126" s="408">
        <f t="shared" ref="O126:O131" si="30">SUM(C126:N126)</f>
        <v>7017732</v>
      </c>
      <c r="P126" s="408">
        <f>O126*(1+$T$4)</f>
        <v>7228263.96</v>
      </c>
      <c r="Q126" s="751" t="s">
        <v>379</v>
      </c>
    </row>
    <row r="127" spans="1:17">
      <c r="A127" s="405" t="s">
        <v>228</v>
      </c>
      <c r="B127" s="406" t="s">
        <v>351</v>
      </c>
      <c r="C127" s="422">
        <v>8493296</v>
      </c>
      <c r="D127" s="422">
        <v>10859265</v>
      </c>
      <c r="E127" s="422">
        <v>0</v>
      </c>
      <c r="F127" s="422">
        <v>0</v>
      </c>
      <c r="G127" s="422">
        <v>0</v>
      </c>
      <c r="H127" s="422">
        <v>0</v>
      </c>
      <c r="I127" s="422">
        <v>0</v>
      </c>
      <c r="J127" s="422">
        <v>0</v>
      </c>
      <c r="K127" s="422">
        <v>0</v>
      </c>
      <c r="L127" s="422">
        <v>0</v>
      </c>
      <c r="M127" s="449">
        <v>11053305</v>
      </c>
      <c r="N127" s="422">
        <v>10086991</v>
      </c>
      <c r="O127" s="408">
        <f t="shared" si="30"/>
        <v>40492857</v>
      </c>
      <c r="P127" s="408">
        <f>+(O127*$T$4)+O127</f>
        <v>41707642.710000001</v>
      </c>
      <c r="Q127" s="753"/>
    </row>
    <row r="128" spans="1:17">
      <c r="A128" s="405" t="s">
        <v>224</v>
      </c>
      <c r="B128" s="406" t="str">
        <f>+B127</f>
        <v>02-02-02-006-009</v>
      </c>
      <c r="C128" s="406"/>
      <c r="D128" s="406"/>
      <c r="E128" s="406"/>
      <c r="F128" s="406"/>
      <c r="G128" s="406"/>
      <c r="H128" s="406"/>
      <c r="I128" s="406"/>
      <c r="J128" s="406"/>
      <c r="K128" s="406"/>
      <c r="L128" s="406"/>
      <c r="M128" s="422"/>
      <c r="N128" s="422"/>
      <c r="O128" s="408">
        <f t="shared" si="30"/>
        <v>0</v>
      </c>
      <c r="P128" s="408">
        <f>+(O128*$T$4)+O128</f>
        <v>0</v>
      </c>
      <c r="Q128" s="425"/>
    </row>
    <row r="129" spans="1:18">
      <c r="A129" s="405" t="s">
        <v>229</v>
      </c>
      <c r="B129" s="411"/>
      <c r="C129" s="406"/>
      <c r="D129" s="406"/>
      <c r="E129" s="406"/>
      <c r="F129" s="406"/>
      <c r="G129" s="406"/>
      <c r="H129" s="406"/>
      <c r="I129" s="406"/>
      <c r="J129" s="406"/>
      <c r="K129" s="406"/>
      <c r="L129" s="406"/>
      <c r="M129" s="422"/>
      <c r="N129" s="422"/>
      <c r="O129" s="408"/>
      <c r="P129" s="408"/>
      <c r="Q129" s="425"/>
    </row>
    <row r="130" spans="1:18">
      <c r="A130" s="405" t="s">
        <v>226</v>
      </c>
      <c r="B130" s="412" t="s">
        <v>352</v>
      </c>
      <c r="C130" s="406">
        <v>146845</v>
      </c>
      <c r="D130" s="406">
        <v>146845</v>
      </c>
      <c r="E130" s="406">
        <v>146845</v>
      </c>
      <c r="F130" s="406">
        <v>146845</v>
      </c>
      <c r="G130" s="406">
        <v>146845</v>
      </c>
      <c r="H130" s="406">
        <v>146845</v>
      </c>
      <c r="I130" s="406">
        <v>146845</v>
      </c>
      <c r="J130" s="406">
        <v>146845</v>
      </c>
      <c r="K130" s="406">
        <v>146845</v>
      </c>
      <c r="L130" s="406">
        <v>146845</v>
      </c>
      <c r="M130" s="422">
        <v>146845</v>
      </c>
      <c r="N130" s="422">
        <v>146845</v>
      </c>
      <c r="O130" s="408">
        <f>SUM(C130:N130)</f>
        <v>1762140</v>
      </c>
      <c r="P130" s="408">
        <f>+(O130*$T$4)+O130</f>
        <v>1815004.2</v>
      </c>
      <c r="Q130" s="425"/>
    </row>
    <row r="131" spans="1:18">
      <c r="A131" s="405" t="s">
        <v>227</v>
      </c>
      <c r="B131" s="415"/>
      <c r="C131" s="406">
        <v>0</v>
      </c>
      <c r="D131" s="406">
        <v>0</v>
      </c>
      <c r="E131" s="406">
        <v>0</v>
      </c>
      <c r="F131" s="406">
        <v>0</v>
      </c>
      <c r="G131" s="406">
        <v>0</v>
      </c>
      <c r="H131" s="406">
        <v>0</v>
      </c>
      <c r="I131" s="406">
        <v>0</v>
      </c>
      <c r="J131" s="406">
        <v>0</v>
      </c>
      <c r="K131" s="406">
        <v>0</v>
      </c>
      <c r="L131" s="406">
        <v>0</v>
      </c>
      <c r="M131" s="422">
        <v>0</v>
      </c>
      <c r="N131" s="422">
        <v>0</v>
      </c>
      <c r="O131" s="408">
        <f t="shared" si="30"/>
        <v>0</v>
      </c>
      <c r="P131" s="408">
        <f>+(O131*$T$4)+O131</f>
        <v>0</v>
      </c>
      <c r="Q131" s="425"/>
    </row>
    <row r="132" spans="1:18">
      <c r="A132" s="445" t="s">
        <v>162</v>
      </c>
      <c r="B132" s="446"/>
      <c r="C132" s="447">
        <f t="shared" ref="C132:P132" si="31">SUM(C126:C131)</f>
        <v>10707601</v>
      </c>
      <c r="D132" s="447">
        <f t="shared" si="31"/>
        <v>12236908</v>
      </c>
      <c r="E132" s="447">
        <f t="shared" si="31"/>
        <v>146845</v>
      </c>
      <c r="F132" s="447">
        <f t="shared" si="31"/>
        <v>146845</v>
      </c>
      <c r="G132" s="447">
        <f t="shared" si="31"/>
        <v>146845</v>
      </c>
      <c r="H132" s="447">
        <f t="shared" si="31"/>
        <v>146845</v>
      </c>
      <c r="I132" s="447">
        <f>SUM(I126:I131)</f>
        <v>146845</v>
      </c>
      <c r="J132" s="447">
        <f t="shared" si="31"/>
        <v>146845</v>
      </c>
      <c r="K132" s="447">
        <f t="shared" si="31"/>
        <v>146845</v>
      </c>
      <c r="L132" s="447">
        <f t="shared" si="31"/>
        <v>146845</v>
      </c>
      <c r="M132" s="447">
        <f t="shared" si="31"/>
        <v>13516806</v>
      </c>
      <c r="N132" s="447">
        <f t="shared" si="31"/>
        <v>11636654</v>
      </c>
      <c r="O132" s="447">
        <f>SUM(O126:O131)</f>
        <v>49272729</v>
      </c>
      <c r="P132" s="447">
        <f t="shared" si="31"/>
        <v>50750910.870000005</v>
      </c>
      <c r="Q132" s="448"/>
    </row>
    <row r="133" spans="1:18">
      <c r="A133" s="754" t="s">
        <v>380</v>
      </c>
      <c r="B133" s="755"/>
      <c r="C133" s="755"/>
      <c r="D133" s="755"/>
      <c r="E133" s="755"/>
      <c r="F133" s="755"/>
      <c r="G133" s="755"/>
      <c r="H133" s="755"/>
      <c r="I133" s="755"/>
      <c r="J133" s="755"/>
      <c r="K133" s="755"/>
      <c r="L133" s="755"/>
      <c r="M133" s="755"/>
      <c r="N133" s="755"/>
      <c r="O133" s="755"/>
      <c r="P133" s="755"/>
      <c r="Q133" s="756"/>
    </row>
    <row r="134" spans="1:18">
      <c r="A134" s="405" t="s">
        <v>222</v>
      </c>
      <c r="B134" s="406" t="s">
        <v>349</v>
      </c>
      <c r="C134" s="423">
        <v>98798</v>
      </c>
      <c r="D134" s="422">
        <v>85596</v>
      </c>
      <c r="E134" s="422">
        <v>69920</v>
      </c>
      <c r="F134" s="422">
        <v>72110</v>
      </c>
      <c r="G134" s="422">
        <v>64100</v>
      </c>
      <c r="H134" s="422">
        <v>64670</v>
      </c>
      <c r="I134" s="422">
        <v>65410</v>
      </c>
      <c r="J134" s="422">
        <v>82550</v>
      </c>
      <c r="K134" s="423"/>
      <c r="L134" s="422">
        <v>66770</v>
      </c>
      <c r="M134" s="422">
        <v>67417</v>
      </c>
      <c r="N134" s="437">
        <v>81782</v>
      </c>
      <c r="O134" s="408">
        <f t="shared" ref="O134:O139" si="32">SUM(C134:N134)</f>
        <v>819123</v>
      </c>
      <c r="P134" s="408">
        <f>O134*(1+$T$4)</f>
        <v>843696.69000000006</v>
      </c>
      <c r="Q134" s="751" t="s">
        <v>355</v>
      </c>
    </row>
    <row r="135" spans="1:18">
      <c r="A135" s="405" t="s">
        <v>228</v>
      </c>
      <c r="B135" s="406" t="s">
        <v>351</v>
      </c>
      <c r="C135" s="423">
        <v>1387460</v>
      </c>
      <c r="D135" s="422">
        <v>1319020</v>
      </c>
      <c r="E135" s="422">
        <v>788920</v>
      </c>
      <c r="F135" s="422">
        <v>1063550</v>
      </c>
      <c r="G135" s="422">
        <v>1244220</v>
      </c>
      <c r="H135" s="422">
        <v>1294100</v>
      </c>
      <c r="I135" s="422">
        <v>1307790</v>
      </c>
      <c r="J135" s="422">
        <v>962430</v>
      </c>
      <c r="K135" s="422">
        <v>1394160</v>
      </c>
      <c r="L135" s="450">
        <v>1234850</v>
      </c>
      <c r="M135" s="8">
        <v>1147560</v>
      </c>
      <c r="N135" s="437">
        <v>133875</v>
      </c>
      <c r="O135" s="408">
        <f t="shared" si="32"/>
        <v>13277935</v>
      </c>
      <c r="P135" s="408">
        <f>+(O135*$T$4)+O135</f>
        <v>13676273.050000001</v>
      </c>
      <c r="Q135" s="752"/>
    </row>
    <row r="136" spans="1:18">
      <c r="A136" s="405" t="s">
        <v>224</v>
      </c>
      <c r="B136" s="406" t="str">
        <f>+B135</f>
        <v>02-02-02-006-009</v>
      </c>
      <c r="C136" s="423">
        <v>0</v>
      </c>
      <c r="D136" s="406">
        <v>16552</v>
      </c>
      <c r="E136" s="406">
        <v>21404</v>
      </c>
      <c r="F136" s="406">
        <v>27966</v>
      </c>
      <c r="G136" s="406">
        <v>19543</v>
      </c>
      <c r="H136" s="406">
        <v>25409</v>
      </c>
      <c r="I136" s="406">
        <v>25409</v>
      </c>
      <c r="J136" s="406">
        <v>27371</v>
      </c>
      <c r="K136" s="423"/>
      <c r="L136" s="406">
        <v>21775</v>
      </c>
      <c r="M136" s="422">
        <v>21889</v>
      </c>
      <c r="N136" s="437">
        <v>19187</v>
      </c>
      <c r="O136" s="408">
        <f t="shared" si="32"/>
        <v>226505</v>
      </c>
      <c r="P136" s="408">
        <f>+(O136*$T$4)+O136</f>
        <v>233300.15</v>
      </c>
      <c r="Q136" s="753"/>
    </row>
    <row r="137" spans="1:18">
      <c r="A137" s="405" t="s">
        <v>229</v>
      </c>
      <c r="B137" s="411"/>
      <c r="C137" s="406">
        <v>0</v>
      </c>
      <c r="D137" s="406">
        <v>0</v>
      </c>
      <c r="E137" s="406">
        <v>0</v>
      </c>
      <c r="F137" s="406">
        <v>0</v>
      </c>
      <c r="G137" s="406">
        <v>0</v>
      </c>
      <c r="H137" s="406">
        <v>0</v>
      </c>
      <c r="I137" s="406">
        <v>0</v>
      </c>
      <c r="J137" s="406">
        <v>0</v>
      </c>
      <c r="K137" s="406">
        <v>0</v>
      </c>
      <c r="L137" s="406">
        <v>0</v>
      </c>
      <c r="M137" s="422">
        <v>0</v>
      </c>
      <c r="N137" s="437">
        <v>0</v>
      </c>
      <c r="O137" s="408">
        <f t="shared" si="32"/>
        <v>0</v>
      </c>
      <c r="P137" s="408">
        <f>+(O137*$T$4)+O137</f>
        <v>0</v>
      </c>
      <c r="Q137" s="425"/>
    </row>
    <row r="138" spans="1:18">
      <c r="A138" s="405" t="s">
        <v>226</v>
      </c>
      <c r="B138" s="412" t="s">
        <v>352</v>
      </c>
      <c r="C138" s="422">
        <v>0</v>
      </c>
      <c r="D138" s="422"/>
      <c r="E138" s="422">
        <v>0</v>
      </c>
      <c r="F138" s="422">
        <v>0</v>
      </c>
      <c r="G138" s="422">
        <v>0</v>
      </c>
      <c r="H138" s="422">
        <v>0</v>
      </c>
      <c r="I138" s="422">
        <v>0</v>
      </c>
      <c r="J138" s="422">
        <v>0</v>
      </c>
      <c r="K138" s="422">
        <v>0</v>
      </c>
      <c r="L138" s="422">
        <v>0</v>
      </c>
      <c r="M138" s="422">
        <v>0</v>
      </c>
      <c r="N138" s="437">
        <v>0</v>
      </c>
      <c r="O138" s="408">
        <f t="shared" si="32"/>
        <v>0</v>
      </c>
      <c r="P138" s="408">
        <f>+(O138*$T$4)+O138</f>
        <v>0</v>
      </c>
      <c r="Q138" s="425"/>
    </row>
    <row r="139" spans="1:18">
      <c r="A139" s="405" t="s">
        <v>227</v>
      </c>
      <c r="B139" s="415"/>
      <c r="C139" s="406">
        <v>0</v>
      </c>
      <c r="D139" s="406">
        <v>0</v>
      </c>
      <c r="E139" s="406">
        <v>0</v>
      </c>
      <c r="F139" s="406">
        <v>0</v>
      </c>
      <c r="G139" s="406">
        <v>0</v>
      </c>
      <c r="H139" s="406">
        <v>0</v>
      </c>
      <c r="I139" s="406">
        <v>0</v>
      </c>
      <c r="J139" s="406">
        <v>0</v>
      </c>
      <c r="K139" s="406">
        <v>0</v>
      </c>
      <c r="L139" s="406">
        <v>0</v>
      </c>
      <c r="M139" s="422">
        <v>0</v>
      </c>
      <c r="N139" s="437">
        <v>0</v>
      </c>
      <c r="O139" s="408">
        <f t="shared" si="32"/>
        <v>0</v>
      </c>
      <c r="P139" s="408">
        <f>+(O139*$T$4)+O139</f>
        <v>0</v>
      </c>
      <c r="Q139" s="425"/>
    </row>
    <row r="140" spans="1:18">
      <c r="A140" s="445" t="s">
        <v>162</v>
      </c>
      <c r="B140" s="446"/>
      <c r="C140" s="451">
        <f t="shared" ref="C140:P140" si="33">SUM(C134:C139)</f>
        <v>1486258</v>
      </c>
      <c r="D140" s="451">
        <f t="shared" si="33"/>
        <v>1421168</v>
      </c>
      <c r="E140" s="451">
        <f t="shared" si="33"/>
        <v>880244</v>
      </c>
      <c r="F140" s="451">
        <f t="shared" si="33"/>
        <v>1163626</v>
      </c>
      <c r="G140" s="451">
        <f t="shared" si="33"/>
        <v>1327863</v>
      </c>
      <c r="H140" s="451">
        <f t="shared" si="33"/>
        <v>1384179</v>
      </c>
      <c r="I140" s="451">
        <f>SUM(I134:I139)</f>
        <v>1398609</v>
      </c>
      <c r="J140" s="451">
        <f t="shared" si="33"/>
        <v>1072351</v>
      </c>
      <c r="K140" s="451">
        <f t="shared" si="33"/>
        <v>1394160</v>
      </c>
      <c r="L140" s="451">
        <f t="shared" si="33"/>
        <v>1323395</v>
      </c>
      <c r="M140" s="451">
        <f t="shared" si="33"/>
        <v>1236866</v>
      </c>
      <c r="N140" s="451">
        <f t="shared" si="33"/>
        <v>234844</v>
      </c>
      <c r="O140" s="451">
        <f>SUM(O134:O139)</f>
        <v>14323563</v>
      </c>
      <c r="P140" s="451">
        <f t="shared" si="33"/>
        <v>14753269.890000001</v>
      </c>
      <c r="Q140" s="448"/>
      <c r="R140" s="35"/>
    </row>
    <row r="141" spans="1:18">
      <c r="A141" s="754" t="s">
        <v>381</v>
      </c>
      <c r="B141" s="755"/>
      <c r="C141" s="755"/>
      <c r="D141" s="755"/>
      <c r="E141" s="755"/>
      <c r="F141" s="755"/>
      <c r="G141" s="755"/>
      <c r="H141" s="755"/>
      <c r="I141" s="755"/>
      <c r="J141" s="755"/>
      <c r="K141" s="755"/>
      <c r="L141" s="755"/>
      <c r="M141" s="755"/>
      <c r="N141" s="755"/>
      <c r="O141" s="755"/>
      <c r="P141" s="755"/>
      <c r="Q141" s="756"/>
    </row>
    <row r="142" spans="1:18">
      <c r="A142" s="405" t="s">
        <v>222</v>
      </c>
      <c r="B142" s="406" t="s">
        <v>349</v>
      </c>
      <c r="C142" s="422">
        <v>53248</v>
      </c>
      <c r="D142" s="422">
        <v>122119</v>
      </c>
      <c r="E142" s="422">
        <v>60245</v>
      </c>
      <c r="F142" s="422">
        <v>60343</v>
      </c>
      <c r="G142" s="422">
        <v>49696</v>
      </c>
      <c r="H142" s="422">
        <v>49696</v>
      </c>
      <c r="I142" s="422">
        <v>128931</v>
      </c>
      <c r="J142" s="422">
        <v>85627</v>
      </c>
      <c r="K142" s="422">
        <v>67966</v>
      </c>
      <c r="L142" s="422">
        <v>85627</v>
      </c>
      <c r="M142" s="422">
        <v>65022</v>
      </c>
      <c r="N142" s="437">
        <v>62404</v>
      </c>
      <c r="O142" s="408">
        <f t="shared" ref="O142:O147" si="34">SUM(C142:N142)</f>
        <v>890924</v>
      </c>
      <c r="P142" s="408">
        <f>O142*(1+$T$4)</f>
        <v>917651.72</v>
      </c>
      <c r="Q142" s="751" t="s">
        <v>361</v>
      </c>
    </row>
    <row r="143" spans="1:18">
      <c r="A143" s="405" t="s">
        <v>228</v>
      </c>
      <c r="B143" s="406" t="s">
        <v>351</v>
      </c>
      <c r="C143" s="422">
        <v>1206520</v>
      </c>
      <c r="D143" s="422">
        <v>1736980</v>
      </c>
      <c r="E143" s="422">
        <v>959470</v>
      </c>
      <c r="F143" s="422">
        <v>1070520</v>
      </c>
      <c r="G143" s="422">
        <v>1251430</v>
      </c>
      <c r="H143" s="422">
        <v>1251430</v>
      </c>
      <c r="I143" s="422">
        <v>1192010</v>
      </c>
      <c r="J143" s="422">
        <v>1142260</v>
      </c>
      <c r="K143" s="422">
        <v>1498140</v>
      </c>
      <c r="L143" s="422">
        <v>1842660</v>
      </c>
      <c r="M143" s="422">
        <v>1387610</v>
      </c>
      <c r="N143" s="437">
        <v>1302810</v>
      </c>
      <c r="O143" s="408">
        <f t="shared" si="34"/>
        <v>15841840</v>
      </c>
      <c r="P143" s="408">
        <f>+(O143*$T$4)+O143</f>
        <v>16317095.199999999</v>
      </c>
      <c r="Q143" s="753"/>
    </row>
    <row r="144" spans="1:18">
      <c r="A144" s="405" t="s">
        <v>224</v>
      </c>
      <c r="B144" s="406" t="str">
        <f>+B143</f>
        <v>02-02-02-006-009</v>
      </c>
      <c r="C144" s="406"/>
      <c r="D144" s="406"/>
      <c r="E144" s="406"/>
      <c r="F144" s="406"/>
      <c r="G144" s="406"/>
      <c r="H144" s="406"/>
      <c r="I144" s="406"/>
      <c r="J144" s="406"/>
      <c r="K144" s="406"/>
      <c r="L144" s="406">
        <v>97320</v>
      </c>
      <c r="M144" s="422"/>
      <c r="N144" s="437">
        <v>0</v>
      </c>
      <c r="O144" s="408">
        <f t="shared" si="34"/>
        <v>97320</v>
      </c>
      <c r="P144" s="408">
        <f>+(O144*$T$4)+O144</f>
        <v>100239.6</v>
      </c>
      <c r="Q144" s="425"/>
    </row>
    <row r="145" spans="1:17">
      <c r="A145" s="405" t="s">
        <v>229</v>
      </c>
      <c r="B145" s="411"/>
      <c r="C145" s="423"/>
      <c r="D145" s="423"/>
      <c r="E145" s="423"/>
      <c r="F145" s="423"/>
      <c r="G145" s="423"/>
      <c r="H145" s="423"/>
      <c r="I145" s="423"/>
      <c r="J145" s="423"/>
      <c r="K145" s="423"/>
      <c r="L145" s="423"/>
      <c r="M145" s="423"/>
      <c r="N145" s="423"/>
      <c r="O145" s="408">
        <f t="shared" si="34"/>
        <v>0</v>
      </c>
      <c r="P145" s="408">
        <f>+(O145*$T$4)+O145</f>
        <v>0</v>
      </c>
      <c r="Q145" s="425"/>
    </row>
    <row r="146" spans="1:17">
      <c r="A146" s="405" t="s">
        <v>226</v>
      </c>
      <c r="B146" s="412" t="s">
        <v>352</v>
      </c>
      <c r="C146" s="406">
        <v>145502</v>
      </c>
      <c r="D146" s="406">
        <v>145502</v>
      </c>
      <c r="E146" s="406">
        <v>132801</v>
      </c>
      <c r="F146" s="406">
        <v>132801</v>
      </c>
      <c r="G146" s="406">
        <v>132801</v>
      </c>
      <c r="H146" s="406">
        <v>132801</v>
      </c>
      <c r="I146" s="406">
        <v>132801</v>
      </c>
      <c r="J146" s="406">
        <v>132801</v>
      </c>
      <c r="K146" s="406">
        <v>132801</v>
      </c>
      <c r="L146" s="406">
        <v>132801</v>
      </c>
      <c r="M146" s="406">
        <v>132801</v>
      </c>
      <c r="N146" s="406">
        <v>132801</v>
      </c>
      <c r="O146" s="408">
        <f t="shared" si="34"/>
        <v>1619014</v>
      </c>
      <c r="P146" s="408">
        <f>+(O146*$T$4)+O146</f>
        <v>1667584.42</v>
      </c>
      <c r="Q146" s="425"/>
    </row>
    <row r="147" spans="1:17">
      <c r="A147" s="405" t="s">
        <v>227</v>
      </c>
      <c r="B147" s="415"/>
      <c r="C147" s="406">
        <v>0</v>
      </c>
      <c r="D147" s="406">
        <v>0</v>
      </c>
      <c r="E147" s="406">
        <v>0</v>
      </c>
      <c r="F147" s="406">
        <v>0</v>
      </c>
      <c r="G147" s="406">
        <v>0</v>
      </c>
      <c r="H147" s="406">
        <v>0</v>
      </c>
      <c r="I147" s="406">
        <v>0</v>
      </c>
      <c r="J147" s="406">
        <v>0</v>
      </c>
      <c r="K147" s="406">
        <v>0</v>
      </c>
      <c r="L147" s="406">
        <v>0</v>
      </c>
      <c r="M147" s="422">
        <v>0</v>
      </c>
      <c r="N147" s="439">
        <v>0</v>
      </c>
      <c r="O147" s="408">
        <f t="shared" si="34"/>
        <v>0</v>
      </c>
      <c r="P147" s="408">
        <f>+(O147*$T$4)+O147</f>
        <v>0</v>
      </c>
      <c r="Q147" s="425"/>
    </row>
    <row r="148" spans="1:17">
      <c r="A148" s="452" t="s">
        <v>162</v>
      </c>
      <c r="B148" s="446"/>
      <c r="C148" s="453">
        <f t="shared" ref="C148:P148" si="35">SUM(C142:C147)</f>
        <v>1405270</v>
      </c>
      <c r="D148" s="453">
        <f t="shared" si="35"/>
        <v>2004601</v>
      </c>
      <c r="E148" s="453">
        <f t="shared" si="35"/>
        <v>1152516</v>
      </c>
      <c r="F148" s="453">
        <f t="shared" si="35"/>
        <v>1263664</v>
      </c>
      <c r="G148" s="453">
        <f t="shared" si="35"/>
        <v>1433927</v>
      </c>
      <c r="H148" s="453">
        <f t="shared" si="35"/>
        <v>1433927</v>
      </c>
      <c r="I148" s="453">
        <f>SUM(I142:I147)</f>
        <v>1453742</v>
      </c>
      <c r="J148" s="453">
        <f t="shared" si="35"/>
        <v>1360688</v>
      </c>
      <c r="K148" s="453">
        <f t="shared" si="35"/>
        <v>1698907</v>
      </c>
      <c r="L148" s="453">
        <f t="shared" si="35"/>
        <v>2158408</v>
      </c>
      <c r="M148" s="453">
        <f t="shared" si="35"/>
        <v>1585433</v>
      </c>
      <c r="N148" s="453">
        <f t="shared" si="35"/>
        <v>1498015</v>
      </c>
      <c r="O148" s="453">
        <f>SUM(O142:O147)</f>
        <v>18449098</v>
      </c>
      <c r="P148" s="453">
        <f t="shared" si="35"/>
        <v>19002570.939999998</v>
      </c>
      <c r="Q148" s="448"/>
    </row>
    <row r="149" spans="1:17">
      <c r="A149" s="754" t="s">
        <v>382</v>
      </c>
      <c r="B149" s="755"/>
      <c r="C149" s="755"/>
      <c r="D149" s="755"/>
      <c r="E149" s="755"/>
      <c r="F149" s="755"/>
      <c r="G149" s="755"/>
      <c r="H149" s="755"/>
      <c r="I149" s="755"/>
      <c r="J149" s="755"/>
      <c r="K149" s="755"/>
      <c r="L149" s="755"/>
      <c r="M149" s="755"/>
      <c r="N149" s="755"/>
      <c r="O149" s="755"/>
      <c r="P149" s="755"/>
      <c r="Q149" s="756"/>
    </row>
    <row r="150" spans="1:17" ht="14.25" customHeight="1">
      <c r="A150" s="405" t="s">
        <v>222</v>
      </c>
      <c r="B150" s="406" t="s">
        <v>349</v>
      </c>
      <c r="C150" s="422">
        <f>94630+194210</f>
        <v>288840</v>
      </c>
      <c r="D150" s="422">
        <f>88250+155280</f>
        <v>243530</v>
      </c>
      <c r="E150" s="422">
        <f>88250+155280</f>
        <v>243530</v>
      </c>
      <c r="F150" s="422">
        <f>89350+155280</f>
        <v>244630</v>
      </c>
      <c r="G150" s="422">
        <f>89370+181970</f>
        <v>271340</v>
      </c>
      <c r="H150" s="422">
        <f>94630+194210</f>
        <v>288840</v>
      </c>
      <c r="I150" s="422">
        <f>88250+155280</f>
        <v>243530</v>
      </c>
      <c r="J150" s="422">
        <f>88250+155280</f>
        <v>243530</v>
      </c>
      <c r="K150" s="422">
        <f>89350+155280</f>
        <v>244630</v>
      </c>
      <c r="L150" s="422">
        <f>89370+181970</f>
        <v>271340</v>
      </c>
      <c r="M150" s="422">
        <v>232110</v>
      </c>
      <c r="N150" s="422">
        <f>88250+155280</f>
        <v>243530</v>
      </c>
      <c r="O150" s="408">
        <f t="shared" ref="O150:O155" si="36">SUM(C150:N150)</f>
        <v>3059380</v>
      </c>
      <c r="P150" s="408">
        <f>O150*(1+$T$4)</f>
        <v>3151161.4</v>
      </c>
      <c r="Q150" s="751" t="s">
        <v>355</v>
      </c>
    </row>
    <row r="151" spans="1:17">
      <c r="A151" s="405" t="s">
        <v>228</v>
      </c>
      <c r="B151" s="406" t="s">
        <v>351</v>
      </c>
      <c r="C151" s="422">
        <f>94630+194210</f>
        <v>288840</v>
      </c>
      <c r="D151" s="422">
        <f>88250+155280</f>
        <v>243530</v>
      </c>
      <c r="E151" s="422">
        <f>88250+155280</f>
        <v>243530</v>
      </c>
      <c r="F151" s="422">
        <f>89350+155280</f>
        <v>244630</v>
      </c>
      <c r="G151" s="422">
        <f>89370+181970</f>
        <v>271340</v>
      </c>
      <c r="H151" s="422">
        <f>94630+194210</f>
        <v>288840</v>
      </c>
      <c r="I151" s="422">
        <f>88250+155280</f>
        <v>243530</v>
      </c>
      <c r="J151" s="422">
        <f>88250+155280</f>
        <v>243530</v>
      </c>
      <c r="K151" s="422">
        <f>89350+155280</f>
        <v>244630</v>
      </c>
      <c r="L151" s="422">
        <f>89370+181970</f>
        <v>271340</v>
      </c>
      <c r="M151" s="422">
        <v>232110</v>
      </c>
      <c r="N151" s="422">
        <f>88250+155280</f>
        <v>243530</v>
      </c>
      <c r="O151" s="408">
        <f t="shared" si="36"/>
        <v>3059380</v>
      </c>
      <c r="P151" s="408">
        <f>+(O151*$T$4)+O151</f>
        <v>3151161.4</v>
      </c>
      <c r="Q151" s="753"/>
    </row>
    <row r="152" spans="1:17">
      <c r="A152" s="405" t="s">
        <v>224</v>
      </c>
      <c r="B152" s="406" t="str">
        <f>+B151</f>
        <v>02-02-02-006-009</v>
      </c>
      <c r="C152" s="406">
        <v>0</v>
      </c>
      <c r="D152" s="406">
        <v>0</v>
      </c>
      <c r="E152" s="406">
        <v>0</v>
      </c>
      <c r="F152" s="406">
        <v>0</v>
      </c>
      <c r="G152" s="406">
        <v>0</v>
      </c>
      <c r="H152" s="406">
        <v>0</v>
      </c>
      <c r="I152" s="406">
        <v>0</v>
      </c>
      <c r="J152" s="406">
        <v>0</v>
      </c>
      <c r="K152" s="406">
        <v>0</v>
      </c>
      <c r="L152" s="406">
        <v>0</v>
      </c>
      <c r="M152" s="422">
        <v>0</v>
      </c>
      <c r="N152" s="406">
        <v>0</v>
      </c>
      <c r="O152" s="408">
        <f t="shared" si="36"/>
        <v>0</v>
      </c>
      <c r="P152" s="408">
        <f>+(O152*$T$4)+O152</f>
        <v>0</v>
      </c>
      <c r="Q152" s="425"/>
    </row>
    <row r="153" spans="1:17">
      <c r="A153" s="405" t="s">
        <v>229</v>
      </c>
      <c r="B153" s="411"/>
      <c r="C153" s="406">
        <v>0</v>
      </c>
      <c r="D153" s="406">
        <v>0</v>
      </c>
      <c r="E153" s="406">
        <v>0</v>
      </c>
      <c r="F153" s="406">
        <v>0</v>
      </c>
      <c r="G153" s="406">
        <v>0</v>
      </c>
      <c r="H153" s="406">
        <v>0</v>
      </c>
      <c r="I153" s="406">
        <v>0</v>
      </c>
      <c r="J153" s="406">
        <v>0</v>
      </c>
      <c r="K153" s="406">
        <v>0</v>
      </c>
      <c r="L153" s="406">
        <v>0</v>
      </c>
      <c r="M153" s="422">
        <v>0</v>
      </c>
      <c r="N153" s="406">
        <v>0</v>
      </c>
      <c r="O153" s="408">
        <f t="shared" si="36"/>
        <v>0</v>
      </c>
      <c r="P153" s="408">
        <f>+(O153*$T$4)+O153</f>
        <v>0</v>
      </c>
      <c r="Q153" s="425"/>
    </row>
    <row r="154" spans="1:17">
      <c r="A154" s="405" t="s">
        <v>226</v>
      </c>
      <c r="B154" s="412" t="s">
        <v>352</v>
      </c>
      <c r="C154" s="422">
        <v>0</v>
      </c>
      <c r="D154" s="422">
        <v>0</v>
      </c>
      <c r="E154" s="422">
        <v>0</v>
      </c>
      <c r="F154" s="422">
        <v>0</v>
      </c>
      <c r="G154" s="422">
        <v>0</v>
      </c>
      <c r="H154" s="422">
        <v>0</v>
      </c>
      <c r="I154" s="422">
        <v>0</v>
      </c>
      <c r="J154" s="422">
        <v>0</v>
      </c>
      <c r="K154" s="422">
        <v>0</v>
      </c>
      <c r="L154" s="422">
        <v>0</v>
      </c>
      <c r="M154" s="422">
        <v>0</v>
      </c>
      <c r="N154" s="422">
        <v>0</v>
      </c>
      <c r="O154" s="408">
        <f t="shared" si="36"/>
        <v>0</v>
      </c>
      <c r="P154" s="408">
        <f>+(O154*$T$4)+O154</f>
        <v>0</v>
      </c>
      <c r="Q154" s="425"/>
    </row>
    <row r="155" spans="1:17">
      <c r="A155" s="405" t="s">
        <v>227</v>
      </c>
      <c r="B155" s="415"/>
      <c r="C155" s="406">
        <v>0</v>
      </c>
      <c r="D155" s="406">
        <v>0</v>
      </c>
      <c r="E155" s="406">
        <v>0</v>
      </c>
      <c r="F155" s="406">
        <v>0</v>
      </c>
      <c r="G155" s="406">
        <v>0</v>
      </c>
      <c r="H155" s="406">
        <v>0</v>
      </c>
      <c r="I155" s="406">
        <v>0</v>
      </c>
      <c r="J155" s="406">
        <v>0</v>
      </c>
      <c r="K155" s="406">
        <v>0</v>
      </c>
      <c r="L155" s="406">
        <v>0</v>
      </c>
      <c r="M155" s="422">
        <v>0</v>
      </c>
      <c r="N155" s="406">
        <v>0</v>
      </c>
      <c r="O155" s="408">
        <f t="shared" si="36"/>
        <v>0</v>
      </c>
      <c r="P155" s="408">
        <f>+(O155*$T$4)+O155</f>
        <v>0</v>
      </c>
      <c r="Q155" s="425"/>
    </row>
    <row r="156" spans="1:17" s="35" customFormat="1">
      <c r="A156" s="426" t="s">
        <v>162</v>
      </c>
      <c r="B156" s="420"/>
      <c r="C156" s="420">
        <f t="shared" ref="C156:P156" si="37">SUM(C150:C155)</f>
        <v>577680</v>
      </c>
      <c r="D156" s="420">
        <f t="shared" si="37"/>
        <v>487060</v>
      </c>
      <c r="E156" s="420">
        <f t="shared" si="37"/>
        <v>487060</v>
      </c>
      <c r="F156" s="420">
        <f t="shared" si="37"/>
        <v>489260</v>
      </c>
      <c r="G156" s="420">
        <f t="shared" si="37"/>
        <v>542680</v>
      </c>
      <c r="H156" s="420">
        <f t="shared" si="37"/>
        <v>577680</v>
      </c>
      <c r="I156" s="420">
        <f>SUM(I150:I155)</f>
        <v>487060</v>
      </c>
      <c r="J156" s="420">
        <f t="shared" si="37"/>
        <v>487060</v>
      </c>
      <c r="K156" s="420">
        <f t="shared" si="37"/>
        <v>489260</v>
      </c>
      <c r="L156" s="420">
        <f t="shared" si="37"/>
        <v>542680</v>
      </c>
      <c r="M156" s="420">
        <f t="shared" si="37"/>
        <v>464220</v>
      </c>
      <c r="N156" s="420">
        <f t="shared" si="37"/>
        <v>487060</v>
      </c>
      <c r="O156" s="427">
        <f>SUM(O150:O155)</f>
        <v>6118760</v>
      </c>
      <c r="P156" s="427">
        <f t="shared" si="37"/>
        <v>6302322.7999999998</v>
      </c>
      <c r="Q156" s="420"/>
    </row>
    <row r="157" spans="1:17">
      <c r="A157" s="754" t="s">
        <v>383</v>
      </c>
      <c r="B157" s="755"/>
      <c r="C157" s="755"/>
      <c r="D157" s="755"/>
      <c r="E157" s="755"/>
      <c r="F157" s="755"/>
      <c r="G157" s="755"/>
      <c r="H157" s="755"/>
      <c r="I157" s="755"/>
      <c r="J157" s="755"/>
      <c r="K157" s="755"/>
      <c r="L157" s="755"/>
      <c r="M157" s="755"/>
      <c r="N157" s="755"/>
      <c r="O157" s="755"/>
      <c r="P157" s="755"/>
      <c r="Q157" s="756"/>
    </row>
    <row r="158" spans="1:17">
      <c r="A158" s="405" t="s">
        <v>222</v>
      </c>
      <c r="B158" s="406" t="s">
        <v>349</v>
      </c>
      <c r="C158" s="422">
        <v>14300</v>
      </c>
      <c r="D158" s="422">
        <v>127630</v>
      </c>
      <c r="E158" s="422">
        <v>131580</v>
      </c>
      <c r="F158" s="422">
        <v>12750</v>
      </c>
      <c r="G158" s="422">
        <v>150360</v>
      </c>
      <c r="H158" s="422">
        <v>185810</v>
      </c>
      <c r="I158" s="422">
        <v>185810</v>
      </c>
      <c r="J158" s="422">
        <v>140290</v>
      </c>
      <c r="K158" s="422">
        <v>148290</v>
      </c>
      <c r="L158" s="422">
        <v>148290</v>
      </c>
      <c r="M158" s="422">
        <v>148290</v>
      </c>
      <c r="N158" s="422">
        <v>148390</v>
      </c>
      <c r="O158" s="408">
        <f t="shared" ref="O158:O163" si="38">SUM(C158:N158)</f>
        <v>1541790</v>
      </c>
      <c r="P158" s="408">
        <f>O158*(1+$T$4)</f>
        <v>1588043.7</v>
      </c>
      <c r="Q158" s="751" t="s">
        <v>361</v>
      </c>
    </row>
    <row r="159" spans="1:17">
      <c r="A159" s="405" t="s">
        <v>228</v>
      </c>
      <c r="B159" s="406" t="s">
        <v>351</v>
      </c>
      <c r="C159" s="422">
        <v>687605</v>
      </c>
      <c r="D159" s="422">
        <v>851322</v>
      </c>
      <c r="E159" s="422">
        <v>570175</v>
      </c>
      <c r="F159" s="422">
        <v>529102</v>
      </c>
      <c r="G159" s="422">
        <v>590946</v>
      </c>
      <c r="H159" s="422">
        <v>558744</v>
      </c>
      <c r="I159" s="422">
        <v>545249</v>
      </c>
      <c r="J159" s="422">
        <v>635516</v>
      </c>
      <c r="K159" s="422">
        <v>584704</v>
      </c>
      <c r="L159" s="422">
        <v>673306</v>
      </c>
      <c r="M159" s="422">
        <v>842846</v>
      </c>
      <c r="N159" s="422">
        <v>736616</v>
      </c>
      <c r="O159" s="408">
        <f t="shared" si="38"/>
        <v>7806131</v>
      </c>
      <c r="P159" s="408">
        <f>+(O159*$T$4)+O159</f>
        <v>8040314.9299999997</v>
      </c>
      <c r="Q159" s="752"/>
    </row>
    <row r="160" spans="1:17">
      <c r="A160" s="405" t="s">
        <v>224</v>
      </c>
      <c r="B160" s="406" t="str">
        <f>+B159</f>
        <v>02-02-02-006-009</v>
      </c>
      <c r="C160" s="406">
        <v>21866</v>
      </c>
      <c r="D160" s="406">
        <v>26206</v>
      </c>
      <c r="E160" s="406">
        <v>13555</v>
      </c>
      <c r="F160" s="406">
        <v>10974</v>
      </c>
      <c r="G160" s="406">
        <v>13478</v>
      </c>
      <c r="H160" s="406">
        <v>13934</v>
      </c>
      <c r="I160" s="406">
        <v>13972</v>
      </c>
      <c r="J160" s="406">
        <v>10061</v>
      </c>
      <c r="K160" s="406">
        <v>13424</v>
      </c>
      <c r="L160" s="406">
        <v>13439</v>
      </c>
      <c r="M160" s="422">
        <v>13375</v>
      </c>
      <c r="N160" s="422">
        <v>186773</v>
      </c>
      <c r="O160" s="408">
        <f t="shared" si="38"/>
        <v>351057</v>
      </c>
      <c r="P160" s="408">
        <f>+(O160*$T$4)+O160</f>
        <v>361588.71</v>
      </c>
      <c r="Q160" s="753"/>
    </row>
    <row r="161" spans="1:17">
      <c r="A161" s="405" t="s">
        <v>229</v>
      </c>
      <c r="B161" s="411"/>
      <c r="C161" s="406">
        <v>0</v>
      </c>
      <c r="D161" s="406">
        <v>0</v>
      </c>
      <c r="E161" s="406">
        <v>0</v>
      </c>
      <c r="F161" s="406">
        <v>0</v>
      </c>
      <c r="G161" s="406">
        <v>0</v>
      </c>
      <c r="H161" s="406">
        <v>0</v>
      </c>
      <c r="I161" s="406">
        <v>0</v>
      </c>
      <c r="J161" s="406">
        <v>0</v>
      </c>
      <c r="K161" s="406">
        <v>0</v>
      </c>
      <c r="L161" s="406">
        <v>0</v>
      </c>
      <c r="M161" s="422">
        <v>0</v>
      </c>
      <c r="N161" s="422">
        <v>0</v>
      </c>
      <c r="O161" s="408">
        <f t="shared" si="38"/>
        <v>0</v>
      </c>
      <c r="P161" s="408">
        <f>+(O161*$T$4)+O161</f>
        <v>0</v>
      </c>
      <c r="Q161" s="425"/>
    </row>
    <row r="162" spans="1:17">
      <c r="A162" s="405" t="s">
        <v>226</v>
      </c>
      <c r="B162" s="412" t="s">
        <v>352</v>
      </c>
      <c r="C162" s="422">
        <v>0</v>
      </c>
      <c r="D162" s="422">
        <v>0</v>
      </c>
      <c r="E162" s="422">
        <v>0</v>
      </c>
      <c r="F162" s="422">
        <v>0</v>
      </c>
      <c r="G162" s="422">
        <v>0</v>
      </c>
      <c r="H162" s="422">
        <v>0</v>
      </c>
      <c r="I162" s="422">
        <v>0</v>
      </c>
      <c r="J162" s="422">
        <v>0</v>
      </c>
      <c r="K162" s="422">
        <v>0</v>
      </c>
      <c r="L162" s="422">
        <v>0</v>
      </c>
      <c r="M162" s="422">
        <v>0</v>
      </c>
      <c r="N162" s="422">
        <v>0</v>
      </c>
      <c r="O162" s="408">
        <f t="shared" si="38"/>
        <v>0</v>
      </c>
      <c r="P162" s="408">
        <f>+(O162*$T$4)+O162</f>
        <v>0</v>
      </c>
      <c r="Q162" s="425"/>
    </row>
    <row r="163" spans="1:17">
      <c r="A163" s="405" t="s">
        <v>227</v>
      </c>
      <c r="B163" s="415"/>
      <c r="C163" s="406">
        <v>0</v>
      </c>
      <c r="D163" s="406">
        <v>0</v>
      </c>
      <c r="E163" s="406">
        <v>0</v>
      </c>
      <c r="F163" s="406">
        <v>0</v>
      </c>
      <c r="G163" s="406">
        <v>0</v>
      </c>
      <c r="H163" s="406">
        <v>0</v>
      </c>
      <c r="I163" s="406">
        <v>0</v>
      </c>
      <c r="J163" s="406">
        <v>0</v>
      </c>
      <c r="K163" s="406">
        <v>0</v>
      </c>
      <c r="L163" s="406">
        <v>0</v>
      </c>
      <c r="M163" s="422">
        <v>0</v>
      </c>
      <c r="N163" s="422">
        <v>0</v>
      </c>
      <c r="O163" s="408">
        <f t="shared" si="38"/>
        <v>0</v>
      </c>
      <c r="P163" s="408">
        <f>+(O163*$T$4)+O163</f>
        <v>0</v>
      </c>
      <c r="Q163" s="425"/>
    </row>
    <row r="164" spans="1:17" s="35" customFormat="1">
      <c r="A164" s="426" t="s">
        <v>162</v>
      </c>
      <c r="B164" s="420"/>
      <c r="C164" s="420">
        <f t="shared" ref="C164:P164" si="39">SUM(C158:C163)</f>
        <v>723771</v>
      </c>
      <c r="D164" s="420">
        <f t="shared" si="39"/>
        <v>1005158</v>
      </c>
      <c r="E164" s="420">
        <f t="shared" si="39"/>
        <v>715310</v>
      </c>
      <c r="F164" s="420">
        <f t="shared" si="39"/>
        <v>552826</v>
      </c>
      <c r="G164" s="420">
        <f t="shared" si="39"/>
        <v>754784</v>
      </c>
      <c r="H164" s="420">
        <f t="shared" si="39"/>
        <v>758488</v>
      </c>
      <c r="I164" s="420">
        <f>SUM(I158:I163)</f>
        <v>745031</v>
      </c>
      <c r="J164" s="420">
        <f t="shared" si="39"/>
        <v>785867</v>
      </c>
      <c r="K164" s="420">
        <f t="shared" si="39"/>
        <v>746418</v>
      </c>
      <c r="L164" s="420">
        <f t="shared" si="39"/>
        <v>835035</v>
      </c>
      <c r="M164" s="420">
        <f t="shared" si="39"/>
        <v>1004511</v>
      </c>
      <c r="N164" s="420">
        <f t="shared" si="39"/>
        <v>1071779</v>
      </c>
      <c r="O164" s="427">
        <f>SUM(O158:O163)</f>
        <v>9698978</v>
      </c>
      <c r="P164" s="427">
        <f t="shared" si="39"/>
        <v>9989947.3399999999</v>
      </c>
      <c r="Q164" s="420"/>
    </row>
    <row r="165" spans="1:17">
      <c r="A165" s="754" t="s">
        <v>384</v>
      </c>
      <c r="B165" s="755"/>
      <c r="C165" s="755"/>
      <c r="D165" s="755"/>
      <c r="E165" s="755"/>
      <c r="F165" s="755"/>
      <c r="G165" s="755"/>
      <c r="H165" s="755"/>
      <c r="I165" s="755"/>
      <c r="J165" s="755"/>
      <c r="K165" s="755"/>
      <c r="L165" s="755"/>
      <c r="M165" s="755"/>
      <c r="N165" s="755"/>
      <c r="O165" s="755"/>
      <c r="P165" s="755"/>
      <c r="Q165" s="756"/>
    </row>
    <row r="166" spans="1:17">
      <c r="A166" s="405" t="s">
        <v>222</v>
      </c>
      <c r="B166" s="406" t="s">
        <v>349</v>
      </c>
      <c r="C166" s="406">
        <v>187787</v>
      </c>
      <c r="D166" s="406">
        <v>180154</v>
      </c>
      <c r="E166" s="406">
        <v>192066</v>
      </c>
      <c r="F166" s="406">
        <v>204652</v>
      </c>
      <c r="G166" s="406">
        <v>201936</v>
      </c>
      <c r="H166" s="406">
        <v>252413</v>
      </c>
      <c r="I166" s="406">
        <v>199733</v>
      </c>
      <c r="J166" s="406">
        <v>215208</v>
      </c>
      <c r="K166" s="406">
        <v>181356</v>
      </c>
      <c r="L166" s="406">
        <v>173206</v>
      </c>
      <c r="M166" s="406">
        <v>180161</v>
      </c>
      <c r="N166" s="406">
        <v>201971</v>
      </c>
      <c r="O166" s="408">
        <f t="shared" ref="O166:O171" si="40">SUM(C166:N166)</f>
        <v>2370643</v>
      </c>
      <c r="P166" s="408">
        <f>O166*(1+$T$4)</f>
        <v>2441762.29</v>
      </c>
      <c r="Q166" s="751" t="s">
        <v>355</v>
      </c>
    </row>
    <row r="167" spans="1:17">
      <c r="A167" s="405" t="s">
        <v>228</v>
      </c>
      <c r="B167" s="406" t="s">
        <v>351</v>
      </c>
      <c r="C167" s="406">
        <v>411300</v>
      </c>
      <c r="D167" s="406">
        <v>402400</v>
      </c>
      <c r="E167" s="406">
        <v>486300</v>
      </c>
      <c r="F167" s="406">
        <v>500800</v>
      </c>
      <c r="G167" s="406">
        <v>425000</v>
      </c>
      <c r="H167" s="406">
        <v>416000</v>
      </c>
      <c r="I167" s="406">
        <v>432400</v>
      </c>
      <c r="J167" s="406">
        <v>374700</v>
      </c>
      <c r="K167" s="406">
        <v>447100</v>
      </c>
      <c r="L167" s="406">
        <v>366800</v>
      </c>
      <c r="M167" s="406">
        <v>473600</v>
      </c>
      <c r="N167" s="406"/>
      <c r="O167" s="408">
        <f t="shared" si="40"/>
        <v>4736400</v>
      </c>
      <c r="P167" s="408">
        <f>+(O167*$T$4)+O167</f>
        <v>4878492</v>
      </c>
      <c r="Q167" s="753"/>
    </row>
    <row r="168" spans="1:17">
      <c r="A168" s="405" t="s">
        <v>224</v>
      </c>
      <c r="B168" s="406" t="str">
        <f>+B167</f>
        <v>02-02-02-006-009</v>
      </c>
      <c r="C168" s="406"/>
      <c r="D168" s="406"/>
      <c r="E168" s="406"/>
      <c r="F168" s="406"/>
      <c r="G168" s="406"/>
      <c r="H168" s="406"/>
      <c r="I168" s="406"/>
      <c r="J168" s="406"/>
      <c r="K168" s="406"/>
      <c r="L168" s="406"/>
      <c r="M168" s="406"/>
      <c r="N168" s="406"/>
      <c r="O168" s="408">
        <f t="shared" si="40"/>
        <v>0</v>
      </c>
      <c r="P168" s="408">
        <f>+(O168*$T$4)+O168</f>
        <v>0</v>
      </c>
      <c r="Q168" s="425"/>
    </row>
    <row r="169" spans="1:17">
      <c r="A169" s="405" t="s">
        <v>229</v>
      </c>
      <c r="B169" s="411"/>
      <c r="C169" s="423"/>
      <c r="D169" s="423"/>
      <c r="E169" s="423"/>
      <c r="F169" s="423"/>
      <c r="G169" s="423"/>
      <c r="H169" s="423"/>
      <c r="I169" s="423"/>
      <c r="J169" s="423"/>
      <c r="K169" s="423"/>
      <c r="L169" s="423"/>
      <c r="M169" s="423"/>
      <c r="N169" s="423"/>
      <c r="O169" s="408">
        <f t="shared" si="40"/>
        <v>0</v>
      </c>
      <c r="P169" s="408">
        <f>+(O169*$T$4)+O169</f>
        <v>0</v>
      </c>
      <c r="Q169" s="425"/>
    </row>
    <row r="170" spans="1:17">
      <c r="A170" s="405" t="s">
        <v>226</v>
      </c>
      <c r="B170" s="412" t="s">
        <v>352</v>
      </c>
      <c r="C170" s="406">
        <v>132594</v>
      </c>
      <c r="D170" s="406">
        <v>161634</v>
      </c>
      <c r="E170" s="406">
        <v>165873</v>
      </c>
      <c r="F170" s="406">
        <v>132000</v>
      </c>
      <c r="G170" s="406">
        <v>132665</v>
      </c>
      <c r="H170" s="406">
        <v>124550</v>
      </c>
      <c r="I170" s="406">
        <v>132299</v>
      </c>
      <c r="J170" s="406">
        <v>0</v>
      </c>
      <c r="K170" s="406">
        <v>0</v>
      </c>
      <c r="L170" s="406">
        <v>274779</v>
      </c>
      <c r="M170" s="406">
        <v>213839</v>
      </c>
      <c r="N170" s="406">
        <v>141145</v>
      </c>
      <c r="O170" s="408">
        <f t="shared" si="40"/>
        <v>1611378</v>
      </c>
      <c r="P170" s="408">
        <f>+(O170*$T$4)+O170</f>
        <v>1659719.34</v>
      </c>
      <c r="Q170" s="425"/>
    </row>
    <row r="171" spans="1:17">
      <c r="A171" s="405" t="s">
        <v>227</v>
      </c>
      <c r="B171" s="415"/>
      <c r="C171" s="406">
        <v>0</v>
      </c>
      <c r="D171" s="406">
        <v>0</v>
      </c>
      <c r="E171" s="406">
        <v>0</v>
      </c>
      <c r="F171" s="406">
        <v>0</v>
      </c>
      <c r="G171" s="406">
        <v>0</v>
      </c>
      <c r="H171" s="406">
        <v>0</v>
      </c>
      <c r="I171" s="406">
        <v>0</v>
      </c>
      <c r="J171" s="406">
        <v>0</v>
      </c>
      <c r="K171" s="406">
        <v>0</v>
      </c>
      <c r="L171" s="406">
        <v>0</v>
      </c>
      <c r="M171" s="406">
        <v>0</v>
      </c>
      <c r="N171" s="406">
        <v>0</v>
      </c>
      <c r="O171" s="408">
        <f t="shared" si="40"/>
        <v>0</v>
      </c>
      <c r="P171" s="408">
        <f>+(O171*$T$4)+O171</f>
        <v>0</v>
      </c>
      <c r="Q171" s="425"/>
    </row>
    <row r="172" spans="1:17" s="35" customFormat="1">
      <c r="A172" s="426" t="s">
        <v>162</v>
      </c>
      <c r="B172" s="420"/>
      <c r="C172" s="420">
        <f t="shared" ref="C172:P172" si="41">SUM(C166:C171)</f>
        <v>731681</v>
      </c>
      <c r="D172" s="420">
        <f t="shared" si="41"/>
        <v>744188</v>
      </c>
      <c r="E172" s="420">
        <f t="shared" si="41"/>
        <v>844239</v>
      </c>
      <c r="F172" s="420">
        <f t="shared" si="41"/>
        <v>837452</v>
      </c>
      <c r="G172" s="420">
        <f t="shared" si="41"/>
        <v>759601</v>
      </c>
      <c r="H172" s="420">
        <f t="shared" si="41"/>
        <v>792963</v>
      </c>
      <c r="I172" s="420">
        <f>SUM(I166:I171)</f>
        <v>764432</v>
      </c>
      <c r="J172" s="420">
        <f t="shared" si="41"/>
        <v>589908</v>
      </c>
      <c r="K172" s="420">
        <f t="shared" si="41"/>
        <v>628456</v>
      </c>
      <c r="L172" s="420">
        <f t="shared" si="41"/>
        <v>814785</v>
      </c>
      <c r="M172" s="420">
        <f t="shared" si="41"/>
        <v>867600</v>
      </c>
      <c r="N172" s="420">
        <f t="shared" si="41"/>
        <v>343116</v>
      </c>
      <c r="O172" s="427">
        <f>SUM(O166:O171)</f>
        <v>8718421</v>
      </c>
      <c r="P172" s="427">
        <f t="shared" si="41"/>
        <v>8979973.6300000008</v>
      </c>
      <c r="Q172" s="420"/>
    </row>
    <row r="173" spans="1:17">
      <c r="A173" s="754" t="s">
        <v>385</v>
      </c>
      <c r="B173" s="755"/>
      <c r="C173" s="755"/>
      <c r="D173" s="755"/>
      <c r="E173" s="755"/>
      <c r="F173" s="755"/>
      <c r="G173" s="755"/>
      <c r="H173" s="755"/>
      <c r="I173" s="755"/>
      <c r="J173" s="755"/>
      <c r="K173" s="755"/>
      <c r="L173" s="755"/>
      <c r="M173" s="755"/>
      <c r="N173" s="755"/>
      <c r="O173" s="755"/>
      <c r="P173" s="755"/>
      <c r="Q173" s="756"/>
    </row>
    <row r="174" spans="1:17">
      <c r="A174" s="405" t="s">
        <v>222</v>
      </c>
      <c r="B174" s="406" t="s">
        <v>349</v>
      </c>
      <c r="C174" s="406">
        <v>100000</v>
      </c>
      <c r="D174" s="406">
        <v>100000</v>
      </c>
      <c r="E174" s="406">
        <v>100000</v>
      </c>
      <c r="F174" s="406">
        <v>100000</v>
      </c>
      <c r="G174" s="406">
        <v>100000</v>
      </c>
      <c r="H174" s="406">
        <v>100000</v>
      </c>
      <c r="I174" s="406">
        <v>100000</v>
      </c>
      <c r="J174" s="406">
        <v>100000</v>
      </c>
      <c r="K174" s="406">
        <v>100000</v>
      </c>
      <c r="L174" s="406">
        <v>100000</v>
      </c>
      <c r="M174" s="406">
        <v>100000</v>
      </c>
      <c r="N174" s="406">
        <v>100000</v>
      </c>
      <c r="O174" s="408">
        <f t="shared" ref="O174:O179" si="42">SUM(C174:N174)</f>
        <v>1200000</v>
      </c>
      <c r="P174" s="408">
        <f>O174*(1+$T$4)</f>
        <v>1236000</v>
      </c>
      <c r="Q174" s="751" t="s">
        <v>386</v>
      </c>
    </row>
    <row r="175" spans="1:17">
      <c r="A175" s="405" t="s">
        <v>228</v>
      </c>
      <c r="B175" s="406" t="s">
        <v>351</v>
      </c>
      <c r="C175" s="406">
        <v>100000</v>
      </c>
      <c r="D175" s="406">
        <v>100000</v>
      </c>
      <c r="E175" s="406">
        <v>100000</v>
      </c>
      <c r="F175" s="406">
        <v>100000</v>
      </c>
      <c r="G175" s="406">
        <v>100000</v>
      </c>
      <c r="H175" s="406">
        <v>100000</v>
      </c>
      <c r="I175" s="406">
        <v>100000</v>
      </c>
      <c r="J175" s="406">
        <v>100000</v>
      </c>
      <c r="K175" s="406">
        <v>100000</v>
      </c>
      <c r="L175" s="406">
        <v>100000</v>
      </c>
      <c r="M175" s="406">
        <v>100000</v>
      </c>
      <c r="N175" s="406">
        <v>100000</v>
      </c>
      <c r="O175" s="408">
        <f t="shared" si="42"/>
        <v>1200000</v>
      </c>
      <c r="P175" s="408">
        <f>+(O175*$T$4)+O175</f>
        <v>1236000</v>
      </c>
      <c r="Q175" s="753"/>
    </row>
    <row r="176" spans="1:17">
      <c r="A176" s="405" t="s">
        <v>224</v>
      </c>
      <c r="B176" s="406" t="str">
        <f>+B175</f>
        <v>02-02-02-006-009</v>
      </c>
      <c r="C176" s="406"/>
      <c r="D176" s="406"/>
      <c r="E176" s="406"/>
      <c r="F176" s="406"/>
      <c r="G176" s="406"/>
      <c r="H176" s="406"/>
      <c r="I176" s="406"/>
      <c r="J176" s="406"/>
      <c r="K176" s="406"/>
      <c r="L176" s="406"/>
      <c r="M176" s="406"/>
      <c r="N176" s="406"/>
      <c r="O176" s="408">
        <f t="shared" si="42"/>
        <v>0</v>
      </c>
      <c r="P176" s="408">
        <f>+(O176*$T$4)+O176</f>
        <v>0</v>
      </c>
      <c r="Q176" s="425"/>
    </row>
    <row r="177" spans="1:17">
      <c r="A177" s="405" t="s">
        <v>229</v>
      </c>
      <c r="B177" s="411"/>
      <c r="C177" s="423"/>
      <c r="D177" s="423"/>
      <c r="E177" s="423"/>
      <c r="F177" s="423"/>
      <c r="G177" s="423"/>
      <c r="H177" s="423"/>
      <c r="I177" s="423"/>
      <c r="J177" s="423"/>
      <c r="K177" s="423"/>
      <c r="L177" s="423"/>
      <c r="M177" s="423"/>
      <c r="N177" s="423"/>
      <c r="O177" s="408">
        <f t="shared" si="42"/>
        <v>0</v>
      </c>
      <c r="P177" s="408">
        <f>+(O177*$T$4)+O177</f>
        <v>0</v>
      </c>
      <c r="Q177" s="425"/>
    </row>
    <row r="178" spans="1:17">
      <c r="A178" s="405" t="s">
        <v>226</v>
      </c>
      <c r="B178" s="412" t="s">
        <v>352</v>
      </c>
      <c r="C178" s="406"/>
      <c r="D178" s="406"/>
      <c r="E178" s="406"/>
      <c r="F178" s="406"/>
      <c r="G178" s="406"/>
      <c r="H178" s="406"/>
      <c r="I178" s="406"/>
      <c r="J178" s="406"/>
      <c r="K178" s="406"/>
      <c r="L178" s="406"/>
      <c r="M178" s="406"/>
      <c r="N178" s="406"/>
      <c r="O178" s="408">
        <f t="shared" si="42"/>
        <v>0</v>
      </c>
      <c r="P178" s="408">
        <f>+(O178*$T$4)+O178</f>
        <v>0</v>
      </c>
      <c r="Q178" s="425"/>
    </row>
    <row r="179" spans="1:17">
      <c r="A179" s="405" t="s">
        <v>227</v>
      </c>
      <c r="B179" s="415"/>
      <c r="C179" s="406">
        <v>0</v>
      </c>
      <c r="D179" s="406">
        <v>0</v>
      </c>
      <c r="E179" s="406">
        <v>0</v>
      </c>
      <c r="F179" s="406">
        <v>0</v>
      </c>
      <c r="G179" s="406">
        <v>0</v>
      </c>
      <c r="H179" s="406">
        <v>0</v>
      </c>
      <c r="I179" s="406">
        <v>0</v>
      </c>
      <c r="J179" s="406">
        <v>0</v>
      </c>
      <c r="K179" s="406">
        <v>0</v>
      </c>
      <c r="L179" s="406">
        <v>0</v>
      </c>
      <c r="M179" s="406">
        <v>0</v>
      </c>
      <c r="N179" s="406">
        <v>0</v>
      </c>
      <c r="O179" s="408">
        <f t="shared" si="42"/>
        <v>0</v>
      </c>
      <c r="P179" s="408">
        <f>+(O179*$T$4)+O179</f>
        <v>0</v>
      </c>
      <c r="Q179" s="425"/>
    </row>
    <row r="180" spans="1:17" s="35" customFormat="1">
      <c r="A180" s="426" t="s">
        <v>162</v>
      </c>
      <c r="B180" s="420"/>
      <c r="C180" s="420">
        <f t="shared" ref="C180:H180" si="43">SUM(C174:C179)</f>
        <v>200000</v>
      </c>
      <c r="D180" s="420">
        <f t="shared" si="43"/>
        <v>200000</v>
      </c>
      <c r="E180" s="420">
        <f t="shared" si="43"/>
        <v>200000</v>
      </c>
      <c r="F180" s="420">
        <f t="shared" si="43"/>
        <v>200000</v>
      </c>
      <c r="G180" s="420">
        <f t="shared" si="43"/>
        <v>200000</v>
      </c>
      <c r="H180" s="420">
        <f t="shared" si="43"/>
        <v>200000</v>
      </c>
      <c r="I180" s="420">
        <f t="shared" ref="I180:P180" si="44">SUM(I174:I179)</f>
        <v>200000</v>
      </c>
      <c r="J180" s="420">
        <f t="shared" si="44"/>
        <v>200000</v>
      </c>
      <c r="K180" s="420">
        <f t="shared" si="44"/>
        <v>200000</v>
      </c>
      <c r="L180" s="420">
        <f t="shared" si="44"/>
        <v>200000</v>
      </c>
      <c r="M180" s="420">
        <f t="shared" si="44"/>
        <v>200000</v>
      </c>
      <c r="N180" s="420">
        <f t="shared" si="44"/>
        <v>200000</v>
      </c>
      <c r="O180" s="427">
        <f t="shared" si="44"/>
        <v>2400000</v>
      </c>
      <c r="P180" s="427">
        <f t="shared" si="44"/>
        <v>2472000</v>
      </c>
      <c r="Q180" s="420"/>
    </row>
    <row r="181" spans="1:17" s="35" customFormat="1">
      <c r="A181" s="754" t="s">
        <v>387</v>
      </c>
      <c r="B181" s="755"/>
      <c r="C181" s="755"/>
      <c r="D181" s="755"/>
      <c r="E181" s="755"/>
      <c r="F181" s="755"/>
      <c r="G181" s="755"/>
      <c r="H181" s="755"/>
      <c r="I181" s="755"/>
      <c r="J181" s="755"/>
      <c r="K181" s="755"/>
      <c r="L181" s="755"/>
      <c r="M181" s="755"/>
      <c r="N181" s="755"/>
      <c r="O181" s="755"/>
      <c r="P181" s="755"/>
      <c r="Q181" s="756"/>
    </row>
    <row r="182" spans="1:17" s="35" customFormat="1" ht="12.75" customHeight="1">
      <c r="A182" s="405" t="s">
        <v>222</v>
      </c>
      <c r="B182" s="406" t="s">
        <v>349</v>
      </c>
      <c r="C182" s="406">
        <v>100000</v>
      </c>
      <c r="D182" s="406">
        <v>100000</v>
      </c>
      <c r="E182" s="406">
        <v>100000</v>
      </c>
      <c r="F182" s="406">
        <v>100000</v>
      </c>
      <c r="G182" s="406">
        <v>100000</v>
      </c>
      <c r="H182" s="406">
        <v>100000</v>
      </c>
      <c r="I182" s="406">
        <v>100000</v>
      </c>
      <c r="J182" s="406">
        <v>100000</v>
      </c>
      <c r="K182" s="406">
        <v>100000</v>
      </c>
      <c r="L182" s="406">
        <v>100000</v>
      </c>
      <c r="M182" s="406">
        <v>100000</v>
      </c>
      <c r="N182" s="406">
        <v>100000</v>
      </c>
      <c r="O182" s="408">
        <f t="shared" ref="O182:O187" si="45">SUM(C182:N182)</f>
        <v>1200000</v>
      </c>
      <c r="P182" s="408">
        <f>O182*(1+$T$4)</f>
        <v>1236000</v>
      </c>
      <c r="Q182" s="751" t="s">
        <v>386</v>
      </c>
    </row>
    <row r="183" spans="1:17" s="35" customFormat="1">
      <c r="A183" s="405" t="s">
        <v>228</v>
      </c>
      <c r="B183" s="406" t="s">
        <v>351</v>
      </c>
      <c r="C183" s="406">
        <v>100000</v>
      </c>
      <c r="D183" s="406">
        <v>100000</v>
      </c>
      <c r="E183" s="406">
        <v>100000</v>
      </c>
      <c r="F183" s="406">
        <v>100000</v>
      </c>
      <c r="G183" s="406">
        <v>100000</v>
      </c>
      <c r="H183" s="406">
        <v>100000</v>
      </c>
      <c r="I183" s="406">
        <v>100000</v>
      </c>
      <c r="J183" s="406">
        <v>100000</v>
      </c>
      <c r="K183" s="406">
        <v>100000</v>
      </c>
      <c r="L183" s="406">
        <v>100000</v>
      </c>
      <c r="M183" s="406">
        <v>100000</v>
      </c>
      <c r="N183" s="406">
        <v>100000</v>
      </c>
      <c r="O183" s="408">
        <f t="shared" si="45"/>
        <v>1200000</v>
      </c>
      <c r="P183" s="408">
        <f>+(O183*$T$4)+O183</f>
        <v>1236000</v>
      </c>
      <c r="Q183" s="753"/>
    </row>
    <row r="184" spans="1:17" s="35" customFormat="1">
      <c r="A184" s="405" t="s">
        <v>224</v>
      </c>
      <c r="B184" s="406" t="str">
        <f>+B183</f>
        <v>02-02-02-006-009</v>
      </c>
      <c r="C184" s="406"/>
      <c r="D184" s="406"/>
      <c r="E184" s="406"/>
      <c r="F184" s="406"/>
      <c r="G184" s="406"/>
      <c r="H184" s="406"/>
      <c r="I184" s="406"/>
      <c r="J184" s="406"/>
      <c r="K184" s="406"/>
      <c r="L184" s="406"/>
      <c r="M184" s="406"/>
      <c r="N184" s="406"/>
      <c r="O184" s="408">
        <f t="shared" si="45"/>
        <v>0</v>
      </c>
      <c r="P184" s="408">
        <f>+(O184*$T$4)+O184</f>
        <v>0</v>
      </c>
      <c r="Q184" s="425"/>
    </row>
    <row r="185" spans="1:17" s="35" customFormat="1">
      <c r="A185" s="405" t="s">
        <v>229</v>
      </c>
      <c r="B185" s="411"/>
      <c r="C185" s="423"/>
      <c r="D185" s="423"/>
      <c r="E185" s="423"/>
      <c r="F185" s="423"/>
      <c r="G185" s="423"/>
      <c r="H185" s="423"/>
      <c r="I185" s="423"/>
      <c r="J185" s="423"/>
      <c r="K185" s="423"/>
      <c r="L185" s="423"/>
      <c r="M185" s="423"/>
      <c r="N185" s="423"/>
      <c r="O185" s="408">
        <f t="shared" si="45"/>
        <v>0</v>
      </c>
      <c r="P185" s="408">
        <f>+(O185*$T$4)+O185</f>
        <v>0</v>
      </c>
      <c r="Q185" s="425"/>
    </row>
    <row r="186" spans="1:17" s="35" customFormat="1">
      <c r="A186" s="405" t="s">
        <v>226</v>
      </c>
      <c r="B186" s="412" t="s">
        <v>352</v>
      </c>
      <c r="C186" s="406"/>
      <c r="D186" s="406"/>
      <c r="E186" s="406"/>
      <c r="F186" s="406"/>
      <c r="G186" s="406"/>
      <c r="H186" s="406"/>
      <c r="I186" s="406"/>
      <c r="J186" s="406"/>
      <c r="K186" s="406"/>
      <c r="L186" s="406"/>
      <c r="M186" s="406"/>
      <c r="N186" s="406"/>
      <c r="O186" s="408">
        <f t="shared" si="45"/>
        <v>0</v>
      </c>
      <c r="P186" s="408">
        <f>+(O186*$T$4)+O186</f>
        <v>0</v>
      </c>
      <c r="Q186" s="425"/>
    </row>
    <row r="187" spans="1:17" s="35" customFormat="1">
      <c r="A187" s="405" t="s">
        <v>227</v>
      </c>
      <c r="B187" s="415"/>
      <c r="C187" s="406">
        <v>0</v>
      </c>
      <c r="D187" s="406">
        <v>0</v>
      </c>
      <c r="E187" s="406">
        <v>0</v>
      </c>
      <c r="F187" s="406">
        <v>0</v>
      </c>
      <c r="G187" s="406">
        <v>0</v>
      </c>
      <c r="H187" s="406">
        <v>0</v>
      </c>
      <c r="I187" s="406">
        <v>0</v>
      </c>
      <c r="J187" s="406">
        <v>0</v>
      </c>
      <c r="K187" s="406">
        <v>0</v>
      </c>
      <c r="L187" s="406">
        <v>0</v>
      </c>
      <c r="M187" s="406">
        <v>0</v>
      </c>
      <c r="N187" s="406">
        <v>0</v>
      </c>
      <c r="O187" s="408">
        <f t="shared" si="45"/>
        <v>0</v>
      </c>
      <c r="P187" s="408">
        <f>+(O187*$T$4)+O187</f>
        <v>0</v>
      </c>
      <c r="Q187" s="425"/>
    </row>
    <row r="188" spans="1:17" s="35" customFormat="1">
      <c r="A188" s="426" t="s">
        <v>162</v>
      </c>
      <c r="B188" s="420"/>
      <c r="C188" s="420">
        <f t="shared" ref="C188:H188" si="46">SUM(C182:C187)</f>
        <v>200000</v>
      </c>
      <c r="D188" s="420">
        <f t="shared" si="46"/>
        <v>200000</v>
      </c>
      <c r="E188" s="420">
        <f t="shared" si="46"/>
        <v>200000</v>
      </c>
      <c r="F188" s="420">
        <f t="shared" si="46"/>
        <v>200000</v>
      </c>
      <c r="G188" s="420">
        <f t="shared" si="46"/>
        <v>200000</v>
      </c>
      <c r="H188" s="420">
        <f t="shared" si="46"/>
        <v>200000</v>
      </c>
      <c r="I188" s="420">
        <f t="shared" ref="I188:P188" si="47">SUM(I182:I187)</f>
        <v>200000</v>
      </c>
      <c r="J188" s="420">
        <f t="shared" si="47"/>
        <v>200000</v>
      </c>
      <c r="K188" s="420">
        <f t="shared" si="47"/>
        <v>200000</v>
      </c>
      <c r="L188" s="420">
        <f t="shared" si="47"/>
        <v>200000</v>
      </c>
      <c r="M188" s="420">
        <f t="shared" si="47"/>
        <v>200000</v>
      </c>
      <c r="N188" s="420">
        <f t="shared" si="47"/>
        <v>200000</v>
      </c>
      <c r="O188" s="427">
        <f t="shared" si="47"/>
        <v>2400000</v>
      </c>
      <c r="P188" s="427">
        <f t="shared" si="47"/>
        <v>2472000</v>
      </c>
      <c r="Q188" s="420"/>
    </row>
    <row r="189" spans="1:17">
      <c r="A189" s="754" t="s">
        <v>388</v>
      </c>
      <c r="B189" s="755"/>
      <c r="C189" s="755"/>
      <c r="D189" s="755"/>
      <c r="E189" s="755"/>
      <c r="F189" s="755"/>
      <c r="G189" s="755"/>
      <c r="H189" s="755"/>
      <c r="I189" s="755"/>
      <c r="J189" s="755"/>
      <c r="K189" s="755"/>
      <c r="L189" s="755"/>
      <c r="M189" s="755"/>
      <c r="N189" s="755"/>
      <c r="O189" s="755"/>
      <c r="P189" s="755"/>
      <c r="Q189" s="756"/>
    </row>
    <row r="190" spans="1:17">
      <c r="A190" s="405" t="s">
        <v>222</v>
      </c>
      <c r="B190" s="406" t="s">
        <v>349</v>
      </c>
      <c r="C190" s="406">
        <v>90394</v>
      </c>
      <c r="D190" s="406">
        <v>85964</v>
      </c>
      <c r="E190" s="406">
        <v>72523</v>
      </c>
      <c r="F190" s="406">
        <v>124996</v>
      </c>
      <c r="G190" s="406">
        <v>73972</v>
      </c>
      <c r="H190" s="406">
        <v>70554</v>
      </c>
      <c r="I190" s="406">
        <v>70562</v>
      </c>
      <c r="J190" s="406">
        <v>80713</v>
      </c>
      <c r="K190" s="406">
        <v>79880</v>
      </c>
      <c r="L190" s="406">
        <v>125279</v>
      </c>
      <c r="M190" s="406">
        <v>86845</v>
      </c>
      <c r="N190" s="406">
        <v>86845</v>
      </c>
      <c r="O190" s="408">
        <f t="shared" ref="O190:O195" si="48">SUM(C190:N190)</f>
        <v>1048527</v>
      </c>
      <c r="P190" s="408">
        <f>O190*(1+$T$4)</f>
        <v>1079982.81</v>
      </c>
      <c r="Q190" s="751" t="s">
        <v>355</v>
      </c>
    </row>
    <row r="191" spans="1:17">
      <c r="A191" s="405" t="s">
        <v>228</v>
      </c>
      <c r="B191" s="406" t="s">
        <v>351</v>
      </c>
      <c r="C191" s="406">
        <v>1748810</v>
      </c>
      <c r="D191" s="406">
        <v>1928080</v>
      </c>
      <c r="E191" s="406">
        <v>1369510</v>
      </c>
      <c r="F191" s="406">
        <v>1280570</v>
      </c>
      <c r="G191" s="406">
        <v>2031600</v>
      </c>
      <c r="H191" s="406">
        <v>1325220</v>
      </c>
      <c r="I191" s="406">
        <v>1612560</v>
      </c>
      <c r="J191" s="406">
        <v>1843310</v>
      </c>
      <c r="K191" s="406">
        <v>1710570</v>
      </c>
      <c r="L191" s="406">
        <v>1813710</v>
      </c>
      <c r="M191" s="406">
        <v>1669170</v>
      </c>
      <c r="N191" s="406">
        <v>1932540</v>
      </c>
      <c r="O191" s="408">
        <f t="shared" si="48"/>
        <v>20265650</v>
      </c>
      <c r="P191" s="408">
        <f>+(O191*$T$4)+O191</f>
        <v>20873619.5</v>
      </c>
      <c r="Q191" s="752"/>
    </row>
    <row r="192" spans="1:17">
      <c r="A192" s="405" t="s">
        <v>224</v>
      </c>
      <c r="B192" s="406" t="str">
        <f>+B191</f>
        <v>02-02-02-006-009</v>
      </c>
      <c r="C192" s="406">
        <v>5819</v>
      </c>
      <c r="D192" s="406">
        <v>5815</v>
      </c>
      <c r="E192" s="406">
        <v>5441</v>
      </c>
      <c r="F192" s="406">
        <v>5566</v>
      </c>
      <c r="G192" s="406">
        <v>5609</v>
      </c>
      <c r="H192" s="406">
        <v>5635</v>
      </c>
      <c r="I192" s="406">
        <v>5684</v>
      </c>
      <c r="J192" s="406">
        <v>5660</v>
      </c>
      <c r="K192" s="406">
        <v>5730</v>
      </c>
      <c r="L192" s="406">
        <v>5716</v>
      </c>
      <c r="M192" s="406">
        <v>5716</v>
      </c>
      <c r="N192" s="406">
        <v>5723</v>
      </c>
      <c r="O192" s="408">
        <f t="shared" si="48"/>
        <v>68114</v>
      </c>
      <c r="P192" s="408">
        <f>+(O192*$T$4)+O192</f>
        <v>70157.42</v>
      </c>
      <c r="Q192" s="753"/>
    </row>
    <row r="193" spans="1:17">
      <c r="A193" s="405" t="s">
        <v>229</v>
      </c>
      <c r="B193" s="411"/>
      <c r="C193" s="406">
        <v>0</v>
      </c>
      <c r="D193" s="406">
        <v>0</v>
      </c>
      <c r="E193" s="406">
        <v>0</v>
      </c>
      <c r="F193" s="406">
        <v>0</v>
      </c>
      <c r="G193" s="406">
        <v>0</v>
      </c>
      <c r="H193" s="406">
        <v>0</v>
      </c>
      <c r="I193" s="406">
        <v>0</v>
      </c>
      <c r="J193" s="406">
        <v>0</v>
      </c>
      <c r="K193" s="406">
        <v>0</v>
      </c>
      <c r="L193" s="406">
        <v>0</v>
      </c>
      <c r="M193" s="406">
        <v>0</v>
      </c>
      <c r="N193" s="406">
        <v>0</v>
      </c>
      <c r="O193" s="408">
        <f t="shared" si="48"/>
        <v>0</v>
      </c>
      <c r="P193" s="408">
        <f>+(O193*$T$4)+O193</f>
        <v>0</v>
      </c>
      <c r="Q193" s="425"/>
    </row>
    <row r="194" spans="1:17">
      <c r="A194" s="405" t="s">
        <v>226</v>
      </c>
      <c r="B194" s="412" t="s">
        <v>352</v>
      </c>
      <c r="C194" s="406">
        <v>0</v>
      </c>
      <c r="D194" s="406">
        <v>0</v>
      </c>
      <c r="E194" s="406">
        <v>0</v>
      </c>
      <c r="F194" s="406">
        <v>0</v>
      </c>
      <c r="G194" s="406">
        <v>0</v>
      </c>
      <c r="H194" s="406">
        <v>0</v>
      </c>
      <c r="I194" s="406">
        <v>0</v>
      </c>
      <c r="J194" s="406">
        <v>0</v>
      </c>
      <c r="K194" s="406">
        <v>0</v>
      </c>
      <c r="L194" s="406">
        <v>0</v>
      </c>
      <c r="M194" s="406">
        <v>0</v>
      </c>
      <c r="N194" s="406">
        <v>0</v>
      </c>
      <c r="O194" s="408">
        <f t="shared" si="48"/>
        <v>0</v>
      </c>
      <c r="P194" s="408">
        <f>+(O194*$T$4)+O194</f>
        <v>0</v>
      </c>
      <c r="Q194" s="425"/>
    </row>
    <row r="195" spans="1:17">
      <c r="A195" s="405" t="s">
        <v>227</v>
      </c>
      <c r="B195" s="415"/>
      <c r="C195" s="406">
        <v>0</v>
      </c>
      <c r="D195" s="406">
        <v>0</v>
      </c>
      <c r="E195" s="406">
        <v>0</v>
      </c>
      <c r="F195" s="406">
        <v>0</v>
      </c>
      <c r="G195" s="406">
        <v>0</v>
      </c>
      <c r="H195" s="406">
        <v>0</v>
      </c>
      <c r="I195" s="406">
        <v>0</v>
      </c>
      <c r="J195" s="406">
        <v>0</v>
      </c>
      <c r="K195" s="406">
        <v>0</v>
      </c>
      <c r="L195" s="406">
        <v>0</v>
      </c>
      <c r="M195" s="406">
        <v>0</v>
      </c>
      <c r="N195" s="406">
        <v>0</v>
      </c>
      <c r="O195" s="408">
        <f t="shared" si="48"/>
        <v>0</v>
      </c>
      <c r="P195" s="408">
        <f>+(O195*$T$4)+O195</f>
        <v>0</v>
      </c>
      <c r="Q195" s="425"/>
    </row>
    <row r="196" spans="1:17" s="35" customFormat="1">
      <c r="A196" s="426" t="s">
        <v>162</v>
      </c>
      <c r="B196" s="420"/>
      <c r="C196" s="420">
        <f t="shared" ref="C196:P196" si="49">SUM(C190:C195)</f>
        <v>1845023</v>
      </c>
      <c r="D196" s="420">
        <f t="shared" si="49"/>
        <v>2019859</v>
      </c>
      <c r="E196" s="420">
        <f t="shared" si="49"/>
        <v>1447474</v>
      </c>
      <c r="F196" s="420">
        <f t="shared" si="49"/>
        <v>1411132</v>
      </c>
      <c r="G196" s="420">
        <f t="shared" si="49"/>
        <v>2111181</v>
      </c>
      <c r="H196" s="420">
        <f t="shared" si="49"/>
        <v>1401409</v>
      </c>
      <c r="I196" s="420">
        <f>SUM(I190:I195)</f>
        <v>1688806</v>
      </c>
      <c r="J196" s="420">
        <f t="shared" si="49"/>
        <v>1929683</v>
      </c>
      <c r="K196" s="420">
        <f t="shared" si="49"/>
        <v>1796180</v>
      </c>
      <c r="L196" s="420">
        <f t="shared" si="49"/>
        <v>1944705</v>
      </c>
      <c r="M196" s="420">
        <f t="shared" si="49"/>
        <v>1761731</v>
      </c>
      <c r="N196" s="420">
        <f t="shared" si="49"/>
        <v>2025108</v>
      </c>
      <c r="O196" s="427">
        <f>SUM(O190:O195)</f>
        <v>21382291</v>
      </c>
      <c r="P196" s="427">
        <f t="shared" si="49"/>
        <v>22023759.73</v>
      </c>
      <c r="Q196" s="420"/>
    </row>
    <row r="197" spans="1:17">
      <c r="A197" s="754" t="s">
        <v>389</v>
      </c>
      <c r="B197" s="755"/>
      <c r="C197" s="755"/>
      <c r="D197" s="755"/>
      <c r="E197" s="755"/>
      <c r="F197" s="755"/>
      <c r="G197" s="755"/>
      <c r="H197" s="755"/>
      <c r="I197" s="755"/>
      <c r="J197" s="755"/>
      <c r="K197" s="755"/>
      <c r="L197" s="755"/>
      <c r="M197" s="755"/>
      <c r="N197" s="755"/>
      <c r="O197" s="755"/>
      <c r="P197" s="755"/>
      <c r="Q197" s="756"/>
    </row>
    <row r="198" spans="1:17" ht="12.75" customHeight="1">
      <c r="A198" s="405" t="s">
        <v>222</v>
      </c>
      <c r="B198" s="406" t="s">
        <v>349</v>
      </c>
      <c r="C198" s="406">
        <f>530+29156</f>
        <v>29686</v>
      </c>
      <c r="D198" s="406">
        <f>57780+29545</f>
        <v>87325</v>
      </c>
      <c r="E198" s="406">
        <v>153220</v>
      </c>
      <c r="F198" s="406">
        <f>187870+29951</f>
        <v>217821</v>
      </c>
      <c r="G198" s="406">
        <f>138300+28442</f>
        <v>166742</v>
      </c>
      <c r="H198" s="406">
        <f>108630+28808</f>
        <v>137438</v>
      </c>
      <c r="I198" s="406">
        <f>88570+29068</f>
        <v>117638</v>
      </c>
      <c r="J198" s="406">
        <f>45020+66910+28971</f>
        <v>140901</v>
      </c>
      <c r="K198" s="406">
        <f>45910+29872</f>
        <v>75782</v>
      </c>
      <c r="L198" s="406">
        <f>24509+28275</f>
        <v>52784</v>
      </c>
      <c r="M198" s="406">
        <f>32850+30253</f>
        <v>63103</v>
      </c>
      <c r="N198" s="406">
        <f>30020+66590</f>
        <v>96610</v>
      </c>
      <c r="O198" s="408">
        <f t="shared" ref="O198:O203" si="50">SUM(C198:N198)</f>
        <v>1339050</v>
      </c>
      <c r="P198" s="408">
        <f>O198*(1+$T$4)</f>
        <v>1379221.5</v>
      </c>
      <c r="Q198" s="751" t="s">
        <v>355</v>
      </c>
    </row>
    <row r="199" spans="1:17">
      <c r="A199" s="405" t="s">
        <v>228</v>
      </c>
      <c r="B199" s="406" t="s">
        <v>351</v>
      </c>
      <c r="C199" s="406">
        <v>1503250</v>
      </c>
      <c r="D199" s="406">
        <v>1721340</v>
      </c>
      <c r="E199" s="406">
        <v>1017040</v>
      </c>
      <c r="F199" s="406">
        <v>864500</v>
      </c>
      <c r="G199" s="406">
        <v>882370</v>
      </c>
      <c r="H199" s="406">
        <v>921120</v>
      </c>
      <c r="I199" s="406">
        <v>708860</v>
      </c>
      <c r="J199" s="406">
        <v>580790</v>
      </c>
      <c r="K199" s="406">
        <v>929900</v>
      </c>
      <c r="L199" s="406">
        <v>1625930</v>
      </c>
      <c r="M199" s="406">
        <v>1529730</v>
      </c>
      <c r="N199" s="406">
        <v>1241470</v>
      </c>
      <c r="O199" s="408">
        <f t="shared" si="50"/>
        <v>13526300</v>
      </c>
      <c r="P199" s="408">
        <f>+(O199*$T$4)+O199</f>
        <v>13932089</v>
      </c>
      <c r="Q199" s="752"/>
    </row>
    <row r="200" spans="1:17">
      <c r="A200" s="405" t="s">
        <v>224</v>
      </c>
      <c r="B200" s="406" t="str">
        <f>+B199</f>
        <v>02-02-02-006-009</v>
      </c>
      <c r="C200" s="406">
        <v>2658</v>
      </c>
      <c r="D200" s="406">
        <v>2679</v>
      </c>
      <c r="E200" s="406">
        <v>78394</v>
      </c>
      <c r="F200" s="406">
        <v>13818</v>
      </c>
      <c r="G200" s="406">
        <v>9523</v>
      </c>
      <c r="H200" s="406">
        <v>4825</v>
      </c>
      <c r="I200" s="406">
        <v>6790</v>
      </c>
      <c r="J200" s="406">
        <v>2610</v>
      </c>
      <c r="K200" s="406">
        <v>92401</v>
      </c>
      <c r="L200" s="406">
        <v>67035</v>
      </c>
      <c r="M200" s="406">
        <v>192594</v>
      </c>
      <c r="N200" s="406">
        <v>2640</v>
      </c>
      <c r="O200" s="408">
        <f t="shared" si="50"/>
        <v>475967</v>
      </c>
      <c r="P200" s="408">
        <f>+(O200*$T$4)+O200</f>
        <v>490246.01</v>
      </c>
      <c r="Q200" s="753"/>
    </row>
    <row r="201" spans="1:17">
      <c r="A201" s="405" t="s">
        <v>229</v>
      </c>
      <c r="B201" s="411"/>
      <c r="C201" s="406"/>
      <c r="D201" s="406">
        <v>0</v>
      </c>
      <c r="E201" s="406">
        <v>0</v>
      </c>
      <c r="F201" s="406">
        <v>0</v>
      </c>
      <c r="G201" s="406">
        <v>0</v>
      </c>
      <c r="H201" s="406">
        <v>0</v>
      </c>
      <c r="I201" s="406">
        <v>0</v>
      </c>
      <c r="J201" s="406">
        <v>0</v>
      </c>
      <c r="K201" s="406">
        <v>0</v>
      </c>
      <c r="L201" s="406">
        <v>0</v>
      </c>
      <c r="M201" s="406">
        <v>0</v>
      </c>
      <c r="N201" s="406">
        <v>0</v>
      </c>
      <c r="O201" s="408">
        <f t="shared" si="50"/>
        <v>0</v>
      </c>
      <c r="P201" s="408">
        <f>+(O201*$T$4)+O201</f>
        <v>0</v>
      </c>
      <c r="Q201" s="425"/>
    </row>
    <row r="202" spans="1:17">
      <c r="A202" s="405" t="s">
        <v>226</v>
      </c>
      <c r="B202" s="412" t="s">
        <v>352</v>
      </c>
      <c r="C202" s="406"/>
      <c r="D202" s="406">
        <v>0</v>
      </c>
      <c r="E202" s="406">
        <v>0</v>
      </c>
      <c r="F202" s="406">
        <v>0</v>
      </c>
      <c r="G202" s="406">
        <v>0</v>
      </c>
      <c r="H202" s="406">
        <v>0</v>
      </c>
      <c r="I202" s="406">
        <v>0</v>
      </c>
      <c r="J202" s="406">
        <v>0</v>
      </c>
      <c r="K202" s="406">
        <v>0</v>
      </c>
      <c r="L202" s="406">
        <v>0</v>
      </c>
      <c r="M202" s="406">
        <v>0</v>
      </c>
      <c r="N202" s="406">
        <v>0</v>
      </c>
      <c r="O202" s="408">
        <f t="shared" si="50"/>
        <v>0</v>
      </c>
      <c r="P202" s="408">
        <f>+(O202*$T$4)+O202</f>
        <v>0</v>
      </c>
      <c r="Q202" s="425"/>
    </row>
    <row r="203" spans="1:17">
      <c r="A203" s="405" t="s">
        <v>227</v>
      </c>
      <c r="B203" s="415"/>
      <c r="C203" s="406">
        <v>0</v>
      </c>
      <c r="D203" s="406">
        <v>0</v>
      </c>
      <c r="E203" s="406">
        <v>0</v>
      </c>
      <c r="F203" s="406">
        <v>0</v>
      </c>
      <c r="G203" s="406">
        <v>0</v>
      </c>
      <c r="H203" s="406">
        <v>0</v>
      </c>
      <c r="I203" s="406">
        <v>0</v>
      </c>
      <c r="J203" s="406">
        <v>0</v>
      </c>
      <c r="K203" s="406">
        <v>0</v>
      </c>
      <c r="L203" s="406">
        <v>0</v>
      </c>
      <c r="M203" s="406">
        <v>0</v>
      </c>
      <c r="N203" s="406">
        <v>0</v>
      </c>
      <c r="O203" s="408">
        <f t="shared" si="50"/>
        <v>0</v>
      </c>
      <c r="P203" s="408">
        <f>+(O203*$T$4)+O203</f>
        <v>0</v>
      </c>
      <c r="Q203" s="425"/>
    </row>
    <row r="204" spans="1:17" s="35" customFormat="1">
      <c r="A204" s="426" t="s">
        <v>162</v>
      </c>
      <c r="B204" s="420"/>
      <c r="C204" s="420">
        <f t="shared" ref="C204:P204" si="51">SUM(C198:C203)</f>
        <v>1535594</v>
      </c>
      <c r="D204" s="420">
        <f t="shared" si="51"/>
        <v>1811344</v>
      </c>
      <c r="E204" s="420">
        <f t="shared" si="51"/>
        <v>1248654</v>
      </c>
      <c r="F204" s="420">
        <f t="shared" si="51"/>
        <v>1096139</v>
      </c>
      <c r="G204" s="420">
        <f t="shared" si="51"/>
        <v>1058635</v>
      </c>
      <c r="H204" s="420">
        <f t="shared" si="51"/>
        <v>1063383</v>
      </c>
      <c r="I204" s="420">
        <f>SUM(I198:I203)</f>
        <v>833288</v>
      </c>
      <c r="J204" s="420">
        <f t="shared" si="51"/>
        <v>724301</v>
      </c>
      <c r="K204" s="420">
        <f t="shared" si="51"/>
        <v>1098083</v>
      </c>
      <c r="L204" s="420">
        <f t="shared" si="51"/>
        <v>1745749</v>
      </c>
      <c r="M204" s="420">
        <f t="shared" si="51"/>
        <v>1785427</v>
      </c>
      <c r="N204" s="420">
        <f t="shared" si="51"/>
        <v>1340720</v>
      </c>
      <c r="O204" s="427">
        <f>SUM(O198:O203)</f>
        <v>15341317</v>
      </c>
      <c r="P204" s="427">
        <f t="shared" si="51"/>
        <v>15801556.51</v>
      </c>
      <c r="Q204" s="420"/>
    </row>
    <row r="205" spans="1:17">
      <c r="A205" s="754" t="s">
        <v>390</v>
      </c>
      <c r="B205" s="755"/>
      <c r="C205" s="755"/>
      <c r="D205" s="755"/>
      <c r="E205" s="755"/>
      <c r="F205" s="755"/>
      <c r="G205" s="755"/>
      <c r="H205" s="755"/>
      <c r="I205" s="755"/>
      <c r="J205" s="755"/>
      <c r="K205" s="755"/>
      <c r="L205" s="755"/>
      <c r="M205" s="755"/>
      <c r="N205" s="755"/>
      <c r="O205" s="755"/>
      <c r="P205" s="755"/>
      <c r="Q205" s="756"/>
    </row>
    <row r="206" spans="1:17">
      <c r="A206" s="405" t="s">
        <v>222</v>
      </c>
      <c r="B206" s="406" t="s">
        <v>349</v>
      </c>
      <c r="C206" s="449">
        <v>119446</v>
      </c>
      <c r="D206" s="406">
        <v>132900</v>
      </c>
      <c r="E206" s="406">
        <v>104250</v>
      </c>
      <c r="F206" s="406">
        <v>127600</v>
      </c>
      <c r="G206" s="406">
        <v>131620</v>
      </c>
      <c r="H206" s="406">
        <v>132606</v>
      </c>
      <c r="I206" s="406">
        <v>126460</v>
      </c>
      <c r="J206" s="406">
        <f>102570+42510</f>
        <v>145080</v>
      </c>
      <c r="K206" s="406">
        <v>184270</v>
      </c>
      <c r="L206" s="406">
        <v>83500</v>
      </c>
      <c r="M206" s="406">
        <v>140270</v>
      </c>
      <c r="N206" s="406">
        <v>110644</v>
      </c>
      <c r="O206" s="408">
        <f t="shared" ref="O206:O211" si="52">SUM(C206:N206)</f>
        <v>1538646</v>
      </c>
      <c r="P206" s="408">
        <f>O206*(1+$T$4)</f>
        <v>1584805.3800000001</v>
      </c>
      <c r="Q206" s="751" t="s">
        <v>391</v>
      </c>
    </row>
    <row r="207" spans="1:17">
      <c r="A207" s="405" t="s">
        <v>228</v>
      </c>
      <c r="B207" s="406" t="s">
        <v>351</v>
      </c>
      <c r="C207" s="406">
        <v>423370</v>
      </c>
      <c r="D207" s="406">
        <v>528070</v>
      </c>
      <c r="E207" s="406">
        <v>243560</v>
      </c>
      <c r="F207" s="406">
        <v>221140</v>
      </c>
      <c r="G207" s="406">
        <v>285580</v>
      </c>
      <c r="H207" s="406">
        <v>291940</v>
      </c>
      <c r="I207" s="406">
        <v>306160</v>
      </c>
      <c r="J207" s="406">
        <v>2887850</v>
      </c>
      <c r="K207" s="406">
        <v>448670</v>
      </c>
      <c r="L207" s="406">
        <v>494650</v>
      </c>
      <c r="M207" s="406">
        <v>420460</v>
      </c>
      <c r="N207" s="406">
        <v>465200</v>
      </c>
      <c r="O207" s="408">
        <f t="shared" si="52"/>
        <v>7016650</v>
      </c>
      <c r="P207" s="408">
        <f>+(O207*$T$4)+O207</f>
        <v>7227149.5</v>
      </c>
      <c r="Q207" s="753"/>
    </row>
    <row r="208" spans="1:17">
      <c r="A208" s="405" t="s">
        <v>224</v>
      </c>
      <c r="B208" s="406" t="str">
        <f>+B207</f>
        <v>02-02-02-006-009</v>
      </c>
      <c r="C208" s="406">
        <v>0</v>
      </c>
      <c r="D208" s="406">
        <v>0</v>
      </c>
      <c r="E208" s="406">
        <v>0</v>
      </c>
      <c r="F208" s="406">
        <v>0</v>
      </c>
      <c r="G208" s="406">
        <v>0</v>
      </c>
      <c r="H208" s="406">
        <v>0</v>
      </c>
      <c r="I208" s="406">
        <v>0</v>
      </c>
      <c r="J208" s="406">
        <v>0</v>
      </c>
      <c r="K208" s="406">
        <v>0</v>
      </c>
      <c r="L208" s="406">
        <v>0</v>
      </c>
      <c r="M208" s="406">
        <v>0</v>
      </c>
      <c r="N208" s="406">
        <v>0</v>
      </c>
      <c r="O208" s="408">
        <f t="shared" si="52"/>
        <v>0</v>
      </c>
      <c r="P208" s="408">
        <f>+(O208*$T$4)+O208</f>
        <v>0</v>
      </c>
      <c r="Q208" s="425"/>
    </row>
    <row r="209" spans="1:17">
      <c r="A209" s="405" t="s">
        <v>229</v>
      </c>
      <c r="B209" s="411"/>
      <c r="C209" s="406">
        <v>0</v>
      </c>
      <c r="D209" s="406">
        <v>0</v>
      </c>
      <c r="E209" s="406">
        <v>0</v>
      </c>
      <c r="F209" s="406">
        <v>0</v>
      </c>
      <c r="G209" s="406">
        <v>0</v>
      </c>
      <c r="H209" s="406">
        <v>0</v>
      </c>
      <c r="I209" s="406">
        <v>0</v>
      </c>
      <c r="J209" s="406">
        <v>0</v>
      </c>
      <c r="K209" s="406">
        <v>0</v>
      </c>
      <c r="L209" s="406">
        <v>0</v>
      </c>
      <c r="M209" s="406">
        <v>0</v>
      </c>
      <c r="N209" s="406">
        <v>0</v>
      </c>
      <c r="O209" s="408">
        <f t="shared" si="52"/>
        <v>0</v>
      </c>
      <c r="P209" s="408">
        <f>+(O209*$T$4)+O209</f>
        <v>0</v>
      </c>
      <c r="Q209" s="425"/>
    </row>
    <row r="210" spans="1:17">
      <c r="A210" s="405" t="s">
        <v>226</v>
      </c>
      <c r="B210" s="412" t="s">
        <v>352</v>
      </c>
      <c r="C210" s="406">
        <v>0</v>
      </c>
      <c r="D210" s="406">
        <v>0</v>
      </c>
      <c r="E210" s="406">
        <v>0</v>
      </c>
      <c r="F210" s="406">
        <v>0</v>
      </c>
      <c r="G210" s="406">
        <v>0</v>
      </c>
      <c r="H210" s="406">
        <v>0</v>
      </c>
      <c r="I210" s="406">
        <v>0</v>
      </c>
      <c r="J210" s="406">
        <v>0</v>
      </c>
      <c r="K210" s="406">
        <v>0</v>
      </c>
      <c r="L210" s="406">
        <v>0</v>
      </c>
      <c r="M210" s="406">
        <v>0</v>
      </c>
      <c r="N210" s="406">
        <v>0</v>
      </c>
      <c r="O210" s="408">
        <f t="shared" si="52"/>
        <v>0</v>
      </c>
      <c r="P210" s="408">
        <f>+(O210*$T$4)+O210</f>
        <v>0</v>
      </c>
      <c r="Q210" s="425"/>
    </row>
    <row r="211" spans="1:17">
      <c r="A211" s="405" t="s">
        <v>227</v>
      </c>
      <c r="B211" s="415"/>
      <c r="C211" s="406">
        <v>0</v>
      </c>
      <c r="D211" s="406">
        <v>0</v>
      </c>
      <c r="E211" s="406">
        <v>0</v>
      </c>
      <c r="F211" s="406">
        <v>0</v>
      </c>
      <c r="G211" s="406">
        <v>0</v>
      </c>
      <c r="H211" s="406">
        <v>0</v>
      </c>
      <c r="I211" s="406">
        <v>0</v>
      </c>
      <c r="J211" s="406">
        <v>0</v>
      </c>
      <c r="K211" s="406">
        <v>0</v>
      </c>
      <c r="L211" s="406">
        <v>0</v>
      </c>
      <c r="M211" s="406">
        <v>0</v>
      </c>
      <c r="N211" s="406">
        <v>0</v>
      </c>
      <c r="O211" s="408">
        <f t="shared" si="52"/>
        <v>0</v>
      </c>
      <c r="P211" s="408">
        <f>+(O211*$T$4)+O211</f>
        <v>0</v>
      </c>
      <c r="Q211" s="425"/>
    </row>
    <row r="212" spans="1:17" s="35" customFormat="1">
      <c r="A212" s="426" t="s">
        <v>162</v>
      </c>
      <c r="B212" s="420"/>
      <c r="C212" s="420">
        <f>SUM(C206:C211)</f>
        <v>542816</v>
      </c>
      <c r="D212" s="420">
        <f t="shared" ref="D212:P212" si="53">SUM(D206:D211)</f>
        <v>660970</v>
      </c>
      <c r="E212" s="420">
        <f t="shared" si="53"/>
        <v>347810</v>
      </c>
      <c r="F212" s="420">
        <f t="shared" si="53"/>
        <v>348740</v>
      </c>
      <c r="G212" s="420">
        <f t="shared" si="53"/>
        <v>417200</v>
      </c>
      <c r="H212" s="420">
        <f t="shared" si="53"/>
        <v>424546</v>
      </c>
      <c r="I212" s="420">
        <f>SUM(I206:I211)</f>
        <v>432620</v>
      </c>
      <c r="J212" s="420">
        <f t="shared" si="53"/>
        <v>3032930</v>
      </c>
      <c r="K212" s="420">
        <f t="shared" si="53"/>
        <v>632940</v>
      </c>
      <c r="L212" s="420">
        <f t="shared" si="53"/>
        <v>578150</v>
      </c>
      <c r="M212" s="420">
        <f t="shared" si="53"/>
        <v>560730</v>
      </c>
      <c r="N212" s="420">
        <f t="shared" si="53"/>
        <v>575844</v>
      </c>
      <c r="O212" s="427">
        <f t="shared" si="53"/>
        <v>8555296</v>
      </c>
      <c r="P212" s="427">
        <f t="shared" si="53"/>
        <v>8811954.8800000008</v>
      </c>
      <c r="Q212" s="420"/>
    </row>
    <row r="213" spans="1:17" ht="13.5" thickBot="1">
      <c r="A213" s="757" t="s">
        <v>98</v>
      </c>
      <c r="B213" s="757"/>
      <c r="C213" s="454">
        <f t="shared" ref="C213:P213" si="54">+C12+C28+C36+C44+C52+C60+C68+C76+C84+C92+C100+C108+C124+C132+C140+C148+C156+C164+C172+C20+C196+C204+C212+C116</f>
        <v>246819107</v>
      </c>
      <c r="D213" s="454">
        <f t="shared" si="54"/>
        <v>251873199.93000001</v>
      </c>
      <c r="E213" s="454">
        <f t="shared" si="54"/>
        <v>230755557</v>
      </c>
      <c r="F213" s="454">
        <f t="shared" si="54"/>
        <v>228100094</v>
      </c>
      <c r="G213" s="454">
        <f t="shared" si="54"/>
        <v>233771403</v>
      </c>
      <c r="H213" s="454">
        <f t="shared" si="54"/>
        <v>228575891</v>
      </c>
      <c r="I213" s="454">
        <f t="shared" si="54"/>
        <v>231520028</v>
      </c>
      <c r="J213" s="454">
        <f t="shared" si="54"/>
        <v>241520939</v>
      </c>
      <c r="K213" s="454">
        <f t="shared" si="54"/>
        <v>239841182</v>
      </c>
      <c r="L213" s="454">
        <f t="shared" si="54"/>
        <v>241465718</v>
      </c>
      <c r="M213" s="454">
        <f t="shared" si="54"/>
        <v>242588096</v>
      </c>
      <c r="N213" s="454">
        <f t="shared" si="54"/>
        <v>240627355</v>
      </c>
      <c r="O213" s="454">
        <f t="shared" si="54"/>
        <v>2857458569.9299998</v>
      </c>
      <c r="P213" s="454">
        <f t="shared" si="54"/>
        <v>2943182327.0279002</v>
      </c>
      <c r="Q213" s="455"/>
    </row>
    <row r="214" spans="1:17">
      <c r="O214" s="45"/>
    </row>
    <row r="215" spans="1:17" ht="13.5" thickBot="1">
      <c r="A215" s="747" t="s">
        <v>230</v>
      </c>
      <c r="B215" s="747"/>
    </row>
    <row r="216" spans="1:17">
      <c r="A216" s="91" t="s">
        <v>231</v>
      </c>
      <c r="B216" s="92" t="s">
        <v>232</v>
      </c>
      <c r="C216" s="92" t="s">
        <v>454</v>
      </c>
      <c r="D216" s="39"/>
      <c r="E216" s="39"/>
      <c r="F216" s="39"/>
      <c r="G216" s="39"/>
      <c r="H216" s="39"/>
      <c r="I216" s="39"/>
      <c r="J216" s="39"/>
      <c r="K216" s="39"/>
      <c r="L216" s="39"/>
      <c r="M216" s="39"/>
      <c r="N216" s="39"/>
    </row>
    <row r="217" spans="1:17">
      <c r="A217" s="456" t="s">
        <v>222</v>
      </c>
      <c r="B217" s="457">
        <f t="shared" ref="B217:B222" si="55">P6+P22+P30+P38+P46+P54+P62+P70+P78+P86+P94+P102+P118+P126+P134+P142+P150+P158+P166+P14+P190+P198+P206+P110+P174+P182</f>
        <v>720407615.1421001</v>
      </c>
      <c r="C217" s="631">
        <v>720407615</v>
      </c>
      <c r="D217" s="46"/>
      <c r="E217" s="46"/>
      <c r="F217" s="46"/>
      <c r="G217" s="46"/>
      <c r="H217" s="46"/>
      <c r="I217" s="46"/>
      <c r="J217" s="46"/>
      <c r="K217" s="46"/>
      <c r="L217" s="46"/>
      <c r="M217" s="46"/>
      <c r="N217" s="46"/>
    </row>
    <row r="218" spans="1:17">
      <c r="A218" s="456" t="s">
        <v>228</v>
      </c>
      <c r="B218" s="457">
        <f t="shared" si="55"/>
        <v>2068269593.6510005</v>
      </c>
      <c r="C218" s="632">
        <v>2068269593</v>
      </c>
      <c r="D218" s="46">
        <f>+C218+C219</f>
        <v>2070330566</v>
      </c>
      <c r="E218" s="46"/>
      <c r="F218" s="46"/>
      <c r="G218" s="46"/>
      <c r="H218" s="46"/>
      <c r="I218" s="46"/>
      <c r="J218" s="46"/>
      <c r="K218" s="46"/>
      <c r="L218" s="46"/>
      <c r="M218" s="46"/>
      <c r="N218" s="46"/>
    </row>
    <row r="219" spans="1:17">
      <c r="A219" s="456" t="s">
        <v>224</v>
      </c>
      <c r="B219" s="457">
        <f t="shared" si="55"/>
        <v>2060973.5147999998</v>
      </c>
      <c r="C219" s="632">
        <v>2060973</v>
      </c>
      <c r="D219" s="46"/>
      <c r="E219" s="46"/>
      <c r="F219" s="46"/>
      <c r="G219" s="46"/>
      <c r="H219" s="46"/>
      <c r="I219" s="46"/>
      <c r="J219" s="46"/>
      <c r="K219" s="46"/>
      <c r="L219" s="46"/>
      <c r="M219" s="46"/>
      <c r="N219" s="46"/>
    </row>
    <row r="220" spans="1:17">
      <c r="A220" s="456" t="s">
        <v>229</v>
      </c>
      <c r="B220" s="457">
        <f t="shared" si="55"/>
        <v>0</v>
      </c>
      <c r="C220" s="631">
        <v>0</v>
      </c>
      <c r="D220" s="46"/>
      <c r="E220" s="46"/>
      <c r="F220" s="46"/>
      <c r="G220" s="46"/>
      <c r="H220" s="46"/>
      <c r="I220" s="46"/>
      <c r="J220" s="46"/>
      <c r="K220" s="46"/>
      <c r="L220" s="46"/>
      <c r="M220" s="46"/>
      <c r="N220" s="46"/>
    </row>
    <row r="221" spans="1:17">
      <c r="A221" s="456" t="s">
        <v>226</v>
      </c>
      <c r="B221" s="457">
        <f t="shared" si="55"/>
        <v>157388144.72</v>
      </c>
      <c r="C221" s="631">
        <v>157388144</v>
      </c>
      <c r="D221" s="46"/>
      <c r="E221" s="46"/>
      <c r="F221" s="46"/>
      <c r="G221" s="46"/>
      <c r="H221" s="46"/>
      <c r="I221" s="46"/>
      <c r="J221" s="46"/>
      <c r="K221" s="46"/>
      <c r="L221" s="46"/>
      <c r="M221" s="46"/>
      <c r="N221" s="46"/>
    </row>
    <row r="222" spans="1:17">
      <c r="A222" s="456" t="s">
        <v>227</v>
      </c>
      <c r="B222" s="457">
        <f t="shared" si="55"/>
        <v>0</v>
      </c>
      <c r="C222" s="631">
        <v>0</v>
      </c>
      <c r="D222" s="46">
        <f>+C220+C221+C222</f>
        <v>157388144</v>
      </c>
      <c r="E222" s="46"/>
      <c r="F222" s="46"/>
      <c r="G222" s="46"/>
      <c r="H222" s="46"/>
      <c r="I222" s="46"/>
      <c r="J222" s="46"/>
      <c r="K222" s="46"/>
      <c r="L222" s="46"/>
      <c r="M222" s="46"/>
      <c r="N222" s="46"/>
    </row>
    <row r="223" spans="1:17" ht="13.5" thickBot="1">
      <c r="A223" s="458" t="s">
        <v>231</v>
      </c>
      <c r="B223" s="459">
        <f>SUM(B217:B222)</f>
        <v>2948126327.0279002</v>
      </c>
      <c r="C223" s="633">
        <f>SUM(C217:C222)</f>
        <v>2948126325</v>
      </c>
      <c r="D223" s="41"/>
      <c r="E223" s="40"/>
      <c r="F223" s="40"/>
      <c r="G223" s="41"/>
      <c r="H223" s="41"/>
      <c r="I223" s="41"/>
      <c r="J223" s="41"/>
      <c r="K223" s="41"/>
      <c r="L223" s="41"/>
      <c r="M223" s="41"/>
      <c r="N223" s="41"/>
    </row>
    <row r="224" spans="1:17">
      <c r="B224" s="47"/>
      <c r="E224" s="11"/>
      <c r="F224" s="47"/>
    </row>
    <row r="225" spans="1:17">
      <c r="A225" s="748" t="s">
        <v>100</v>
      </c>
      <c r="B225" s="749"/>
      <c r="C225" s="749"/>
      <c r="D225" s="749"/>
      <c r="E225" s="750"/>
      <c r="F225" s="724" t="s">
        <v>165</v>
      </c>
      <c r="G225" s="724"/>
      <c r="H225" s="724"/>
      <c r="I225" s="724"/>
      <c r="J225" s="724"/>
      <c r="K225" s="724"/>
      <c r="L225" s="724"/>
      <c r="M225" s="724"/>
      <c r="N225" s="724"/>
      <c r="O225" s="725" t="s">
        <v>233</v>
      </c>
      <c r="P225" s="725"/>
      <c r="Q225" s="725"/>
    </row>
  </sheetData>
  <autoFilter ref="A4:T213" xr:uid="{FD250F33-D7BC-4853-B927-6899950934DA}"/>
  <mergeCells count="58">
    <mergeCell ref="A45:Q45"/>
    <mergeCell ref="A3:Q3"/>
    <mergeCell ref="A5:Q5"/>
    <mergeCell ref="Q6:Q9"/>
    <mergeCell ref="A13:Q13"/>
    <mergeCell ref="Q14:Q15"/>
    <mergeCell ref="A21:Q21"/>
    <mergeCell ref="Q22:Q24"/>
    <mergeCell ref="A29:Q29"/>
    <mergeCell ref="Q30:Q31"/>
    <mergeCell ref="A37:Q37"/>
    <mergeCell ref="Q38:Q39"/>
    <mergeCell ref="A93:Q93"/>
    <mergeCell ref="Q46:Q48"/>
    <mergeCell ref="A53:Q53"/>
    <mergeCell ref="Q54:Q55"/>
    <mergeCell ref="A61:Q61"/>
    <mergeCell ref="Q62:Q63"/>
    <mergeCell ref="A69:Q69"/>
    <mergeCell ref="Q70:Q72"/>
    <mergeCell ref="A77:Q77"/>
    <mergeCell ref="Q78:Q79"/>
    <mergeCell ref="A85:Q85"/>
    <mergeCell ref="Q86:Q87"/>
    <mergeCell ref="A141:Q141"/>
    <mergeCell ref="Q94:Q95"/>
    <mergeCell ref="A101:Q101"/>
    <mergeCell ref="Q102:Q103"/>
    <mergeCell ref="A109:Q109"/>
    <mergeCell ref="Q110:Q111"/>
    <mergeCell ref="A117:Q117"/>
    <mergeCell ref="Q118:Q120"/>
    <mergeCell ref="A125:Q125"/>
    <mergeCell ref="Q126:Q127"/>
    <mergeCell ref="A133:Q133"/>
    <mergeCell ref="Q134:Q136"/>
    <mergeCell ref="A189:Q189"/>
    <mergeCell ref="Q142:Q143"/>
    <mergeCell ref="A149:Q149"/>
    <mergeCell ref="Q150:Q151"/>
    <mergeCell ref="A157:Q157"/>
    <mergeCell ref="Q158:Q160"/>
    <mergeCell ref="A165:Q165"/>
    <mergeCell ref="Q166:Q167"/>
    <mergeCell ref="A173:Q173"/>
    <mergeCell ref="Q174:Q175"/>
    <mergeCell ref="A181:Q181"/>
    <mergeCell ref="Q182:Q183"/>
    <mergeCell ref="A215:B215"/>
    <mergeCell ref="A225:E225"/>
    <mergeCell ref="F225:N225"/>
    <mergeCell ref="O225:Q225"/>
    <mergeCell ref="Q190:Q192"/>
    <mergeCell ref="A197:Q197"/>
    <mergeCell ref="Q198:Q200"/>
    <mergeCell ref="A205:Q205"/>
    <mergeCell ref="Q206:Q207"/>
    <mergeCell ref="A213:B213"/>
  </mergeCells>
  <printOptions gridLines="1"/>
  <pageMargins left="0.23622047244094491" right="0.23622047244094491" top="0.74803149606299213" bottom="0.74803149606299213" header="0.31496062992125984" footer="0.31496062992125984"/>
  <pageSetup scale="37" fitToHeight="0" orientation="landscape" horizontalDpi="4294967294" verticalDpi="4294967294" r:id="rId1"/>
  <rowBreaks count="1" manualBreakCount="1">
    <brk id="92" max="1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83A01-5F85-44B2-B1AF-193F1CD49C61}">
  <sheetPr>
    <tabColor theme="8" tint="-0.499984740745262"/>
  </sheetPr>
  <dimension ref="A3:M55"/>
  <sheetViews>
    <sheetView showGridLines="0" view="pageBreakPreview" zoomScale="85" zoomScaleNormal="100" zoomScaleSheetLayoutView="85" workbookViewId="0">
      <pane ySplit="4" topLeftCell="A45" activePane="bottomLeft" state="frozen"/>
      <selection pane="bottomLeft" activeCell="H45" sqref="H45"/>
    </sheetView>
  </sheetViews>
  <sheetFormatPr baseColWidth="10" defaultColWidth="11.42578125" defaultRowHeight="12.75"/>
  <cols>
    <col min="1" max="1" width="35.5703125" style="30" bestFit="1" customWidth="1"/>
    <col min="2" max="2" width="29.140625" style="30" customWidth="1"/>
    <col min="3" max="3" width="20" style="30" customWidth="1"/>
    <col min="4" max="4" width="21.7109375" style="30" bestFit="1" customWidth="1"/>
    <col min="5" max="5" width="23.42578125" style="30" bestFit="1" customWidth="1"/>
    <col min="6" max="6" width="21.42578125" style="30" customWidth="1"/>
    <col min="7" max="7" width="27.42578125" style="30" bestFit="1" customWidth="1"/>
    <col min="8" max="10" width="27.42578125" style="30" customWidth="1"/>
    <col min="11" max="13" width="13.7109375" style="30" bestFit="1" customWidth="1"/>
    <col min="14" max="16384" width="11.42578125" style="30"/>
  </cols>
  <sheetData>
    <row r="3" spans="1:13" ht="30.75" customHeight="1">
      <c r="A3" s="770" t="s">
        <v>234</v>
      </c>
      <c r="B3" s="770"/>
      <c r="C3" s="770"/>
      <c r="D3" s="770"/>
      <c r="E3" s="770"/>
      <c r="F3" s="770"/>
      <c r="G3" s="770"/>
      <c r="H3" s="770"/>
      <c r="I3" s="657"/>
      <c r="J3" s="657"/>
    </row>
    <row r="4" spans="1:13" ht="26.25" thickBot="1">
      <c r="A4" s="85" t="s">
        <v>168</v>
      </c>
      <c r="B4" s="85" t="s">
        <v>138</v>
      </c>
      <c r="C4" s="85" t="s">
        <v>153</v>
      </c>
      <c r="D4" s="85" t="s">
        <v>154</v>
      </c>
      <c r="E4" s="85" t="s">
        <v>155</v>
      </c>
      <c r="F4" s="85" t="s">
        <v>141</v>
      </c>
      <c r="G4" s="85" t="s">
        <v>156</v>
      </c>
      <c r="H4" s="85" t="s">
        <v>157</v>
      </c>
      <c r="I4" s="596" t="s">
        <v>458</v>
      </c>
      <c r="J4" s="596" t="s">
        <v>459</v>
      </c>
      <c r="L4" s="32" t="s">
        <v>7</v>
      </c>
      <c r="M4" s="33">
        <f>'PRESUPUESTO T+1 '!B12</f>
        <v>0.03</v>
      </c>
    </row>
    <row r="5" spans="1:13" ht="21" customHeight="1" thickTop="1">
      <c r="A5" s="771" t="s">
        <v>235</v>
      </c>
      <c r="B5" s="771"/>
      <c r="C5" s="771"/>
      <c r="D5" s="771"/>
      <c r="E5" s="771"/>
      <c r="F5" s="771"/>
      <c r="G5" s="771"/>
      <c r="H5" s="771"/>
      <c r="I5" s="658"/>
      <c r="J5" s="662">
        <f t="shared" ref="J5:J43" si="0">+I5-G5</f>
        <v>0</v>
      </c>
    </row>
    <row r="6" spans="1:13">
      <c r="A6" s="266" t="s">
        <v>306</v>
      </c>
      <c r="B6" s="355"/>
      <c r="C6" s="356"/>
      <c r="D6" s="357"/>
      <c r="E6" s="357"/>
      <c r="F6" s="320"/>
      <c r="G6" s="357"/>
      <c r="H6" s="155"/>
      <c r="I6" s="643"/>
      <c r="J6" s="662">
        <f t="shared" si="0"/>
        <v>0</v>
      </c>
    </row>
    <row r="7" spans="1:13">
      <c r="A7" s="266" t="s">
        <v>307</v>
      </c>
      <c r="B7" s="355"/>
      <c r="C7" s="356"/>
      <c r="D7" s="357"/>
      <c r="E7" s="357"/>
      <c r="F7" s="320"/>
      <c r="G7" s="357"/>
      <c r="H7" s="155"/>
      <c r="I7" s="643"/>
      <c r="J7" s="662">
        <f t="shared" si="0"/>
        <v>0</v>
      </c>
    </row>
    <row r="8" spans="1:13" ht="25.5">
      <c r="A8" s="269" t="s">
        <v>308</v>
      </c>
      <c r="B8" s="152" t="s">
        <v>323</v>
      </c>
      <c r="C8" s="239">
        <v>136</v>
      </c>
      <c r="D8" s="153">
        <v>1300000</v>
      </c>
      <c r="E8" s="153">
        <v>176800000</v>
      </c>
      <c r="F8" s="238">
        <v>11</v>
      </c>
      <c r="G8" s="153">
        <v>2253434000</v>
      </c>
      <c r="H8" s="155" t="s">
        <v>434</v>
      </c>
      <c r="I8" s="643">
        <f>+G8</f>
        <v>2253434000</v>
      </c>
      <c r="J8" s="662">
        <f t="shared" si="0"/>
        <v>0</v>
      </c>
      <c r="L8" s="120"/>
    </row>
    <row r="9" spans="1:13" ht="63.75">
      <c r="A9" s="267" t="s">
        <v>309</v>
      </c>
      <c r="B9" s="152"/>
      <c r="C9" s="239"/>
      <c r="D9" s="153"/>
      <c r="E9" s="153">
        <v>2365150000</v>
      </c>
      <c r="F9" s="238"/>
      <c r="G9" s="153">
        <v>20764079000</v>
      </c>
      <c r="H9" s="155" t="s">
        <v>432</v>
      </c>
      <c r="I9" s="643">
        <f t="shared" ref="I9:I15" si="1">+G9</f>
        <v>20764079000</v>
      </c>
      <c r="J9" s="662">
        <f t="shared" si="0"/>
        <v>0</v>
      </c>
    </row>
    <row r="10" spans="1:13">
      <c r="A10" s="267" t="s">
        <v>310</v>
      </c>
      <c r="B10" s="355"/>
      <c r="C10" s="356"/>
      <c r="D10" s="357"/>
      <c r="E10" s="357"/>
      <c r="F10" s="320"/>
      <c r="G10" s="357"/>
      <c r="H10" s="155"/>
      <c r="I10" s="643">
        <f t="shared" si="1"/>
        <v>0</v>
      </c>
      <c r="J10" s="662">
        <f t="shared" si="0"/>
        <v>0</v>
      </c>
    </row>
    <row r="11" spans="1:13">
      <c r="A11" s="267" t="s">
        <v>311</v>
      </c>
      <c r="B11" s="355"/>
      <c r="C11" s="356"/>
      <c r="D11" s="357"/>
      <c r="E11" s="357"/>
      <c r="F11" s="320"/>
      <c r="G11" s="357"/>
      <c r="H11" s="155"/>
      <c r="I11" s="643">
        <f t="shared" si="1"/>
        <v>0</v>
      </c>
      <c r="J11" s="662">
        <f t="shared" si="0"/>
        <v>0</v>
      </c>
    </row>
    <row r="12" spans="1:13">
      <c r="A12" s="267" t="s">
        <v>312</v>
      </c>
      <c r="B12" s="355"/>
      <c r="C12" s="356"/>
      <c r="D12" s="357"/>
      <c r="E12" s="357"/>
      <c r="F12" s="320"/>
      <c r="G12" s="357"/>
      <c r="H12" s="155"/>
      <c r="I12" s="643">
        <f t="shared" si="1"/>
        <v>0</v>
      </c>
      <c r="J12" s="662">
        <f t="shared" si="0"/>
        <v>0</v>
      </c>
    </row>
    <row r="13" spans="1:13">
      <c r="A13" s="267" t="s">
        <v>313</v>
      </c>
      <c r="B13" s="355"/>
      <c r="C13" s="356"/>
      <c r="D13" s="357"/>
      <c r="E13" s="357"/>
      <c r="F13" s="320"/>
      <c r="G13" s="357"/>
      <c r="H13" s="155"/>
      <c r="I13" s="643">
        <f t="shared" si="1"/>
        <v>0</v>
      </c>
      <c r="J13" s="662">
        <f t="shared" si="0"/>
        <v>0</v>
      </c>
    </row>
    <row r="14" spans="1:13">
      <c r="A14" s="267" t="s">
        <v>314</v>
      </c>
      <c r="B14" s="355"/>
      <c r="C14" s="356"/>
      <c r="D14" s="357"/>
      <c r="E14" s="357"/>
      <c r="F14" s="320"/>
      <c r="G14" s="357"/>
      <c r="H14" s="155"/>
      <c r="I14" s="643">
        <f t="shared" si="1"/>
        <v>0</v>
      </c>
      <c r="J14" s="662">
        <f t="shared" si="0"/>
        <v>0</v>
      </c>
    </row>
    <row r="15" spans="1:13" ht="15" customHeight="1">
      <c r="A15" s="161"/>
      <c r="B15" s="180"/>
      <c r="C15" s="237"/>
      <c r="D15" s="179"/>
      <c r="E15" s="154">
        <f>(+D15*C15)</f>
        <v>0</v>
      </c>
      <c r="F15" s="238"/>
      <c r="G15" s="154">
        <f>(E15*F15)*(1+$M$4)</f>
        <v>0</v>
      </c>
      <c r="H15" s="178"/>
      <c r="I15" s="643">
        <f t="shared" si="1"/>
        <v>0</v>
      </c>
      <c r="J15" s="662">
        <f t="shared" si="0"/>
        <v>0</v>
      </c>
    </row>
    <row r="16" spans="1:13" ht="15" customHeight="1">
      <c r="A16" s="772" t="s">
        <v>145</v>
      </c>
      <c r="B16" s="772"/>
      <c r="C16" s="156"/>
      <c r="D16" s="157"/>
      <c r="E16" s="123">
        <f>SUM(E6:E15)</f>
        <v>2541950000</v>
      </c>
      <c r="F16" s="181"/>
      <c r="G16" s="123">
        <f>SUM(G6:G15)</f>
        <v>23017513000</v>
      </c>
      <c r="H16" s="158"/>
      <c r="I16" s="659">
        <f>+SUM(I6:I15)</f>
        <v>23017513000</v>
      </c>
      <c r="J16" s="662">
        <f t="shared" si="0"/>
        <v>0</v>
      </c>
      <c r="L16" s="34"/>
    </row>
    <row r="17" spans="1:13" ht="21" customHeight="1">
      <c r="A17" s="773" t="s">
        <v>236</v>
      </c>
      <c r="B17" s="773"/>
      <c r="C17" s="773"/>
      <c r="D17" s="773"/>
      <c r="E17" s="773"/>
      <c r="F17" s="773"/>
      <c r="G17" s="773"/>
      <c r="H17" s="773"/>
      <c r="I17" s="660"/>
      <c r="J17" s="662">
        <f t="shared" si="0"/>
        <v>0</v>
      </c>
    </row>
    <row r="18" spans="1:13">
      <c r="A18" s="266" t="s">
        <v>306</v>
      </c>
      <c r="B18" s="355"/>
      <c r="C18" s="356"/>
      <c r="D18" s="357"/>
      <c r="E18" s="357"/>
      <c r="F18" s="320"/>
      <c r="G18" s="357"/>
      <c r="H18" s="155"/>
      <c r="I18" s="643"/>
      <c r="J18" s="662">
        <f t="shared" si="0"/>
        <v>0</v>
      </c>
    </row>
    <row r="19" spans="1:13">
      <c r="A19" s="266" t="s">
        <v>307</v>
      </c>
      <c r="B19" s="355"/>
      <c r="C19" s="356"/>
      <c r="D19" s="357"/>
      <c r="E19" s="357"/>
      <c r="F19" s="320"/>
      <c r="G19" s="357"/>
      <c r="H19" s="155"/>
      <c r="I19" s="643"/>
      <c r="J19" s="662">
        <f t="shared" si="0"/>
        <v>0</v>
      </c>
    </row>
    <row r="20" spans="1:13" ht="25.5">
      <c r="A20" s="269" t="s">
        <v>308</v>
      </c>
      <c r="B20" s="152" t="s">
        <v>324</v>
      </c>
      <c r="C20" s="239">
        <v>136</v>
      </c>
      <c r="D20" s="153">
        <v>1300000</v>
      </c>
      <c r="E20" s="153">
        <v>176800000</v>
      </c>
      <c r="F20" s="238">
        <v>11</v>
      </c>
      <c r="G20" s="153">
        <v>2003144000</v>
      </c>
      <c r="H20" s="155"/>
      <c r="I20" s="643">
        <f>+G20</f>
        <v>2003144000</v>
      </c>
      <c r="J20" s="662">
        <f t="shared" si="0"/>
        <v>0</v>
      </c>
    </row>
    <row r="21" spans="1:13" ht="25.5">
      <c r="A21" s="267" t="s">
        <v>309</v>
      </c>
      <c r="B21" s="152"/>
      <c r="C21" s="239"/>
      <c r="D21" s="153"/>
      <c r="E21" s="153">
        <v>8521500000</v>
      </c>
      <c r="F21" s="238"/>
      <c r="G21" s="153">
        <v>9701055000</v>
      </c>
      <c r="H21" s="155" t="s">
        <v>433</v>
      </c>
      <c r="I21" s="643">
        <f>+G21</f>
        <v>9701055000</v>
      </c>
      <c r="J21" s="662">
        <f t="shared" si="0"/>
        <v>0</v>
      </c>
    </row>
    <row r="22" spans="1:13">
      <c r="A22" s="267" t="s">
        <v>310</v>
      </c>
      <c r="B22" s="355"/>
      <c r="C22" s="356"/>
      <c r="D22" s="357"/>
      <c r="E22" s="357"/>
      <c r="F22" s="320"/>
      <c r="G22" s="357"/>
      <c r="H22" s="155"/>
      <c r="I22" s="643"/>
      <c r="J22" s="662">
        <f t="shared" si="0"/>
        <v>0</v>
      </c>
    </row>
    <row r="23" spans="1:13">
      <c r="A23" s="267" t="s">
        <v>311</v>
      </c>
      <c r="B23" s="355"/>
      <c r="C23" s="356"/>
      <c r="D23" s="357"/>
      <c r="E23" s="357"/>
      <c r="F23" s="320"/>
      <c r="G23" s="357"/>
      <c r="H23" s="155"/>
      <c r="I23" s="643"/>
      <c r="J23" s="662">
        <f t="shared" si="0"/>
        <v>0</v>
      </c>
    </row>
    <row r="24" spans="1:13">
      <c r="A24" s="267" t="s">
        <v>312</v>
      </c>
      <c r="B24" s="355"/>
      <c r="C24" s="356"/>
      <c r="D24" s="357"/>
      <c r="E24" s="357"/>
      <c r="F24" s="320"/>
      <c r="G24" s="357"/>
      <c r="H24" s="155"/>
      <c r="I24" s="643"/>
      <c r="J24" s="662">
        <f t="shared" si="0"/>
        <v>0</v>
      </c>
    </row>
    <row r="25" spans="1:13">
      <c r="A25" s="267" t="s">
        <v>313</v>
      </c>
      <c r="B25" s="355"/>
      <c r="C25" s="356"/>
      <c r="D25" s="357"/>
      <c r="E25" s="357"/>
      <c r="F25" s="320"/>
      <c r="G25" s="357"/>
      <c r="H25" s="155"/>
      <c r="I25" s="643"/>
      <c r="J25" s="662">
        <f t="shared" si="0"/>
        <v>0</v>
      </c>
    </row>
    <row r="26" spans="1:13">
      <c r="A26" s="267" t="s">
        <v>314</v>
      </c>
      <c r="B26" s="355"/>
      <c r="C26" s="356"/>
      <c r="D26" s="357"/>
      <c r="E26" s="357"/>
      <c r="F26" s="320"/>
      <c r="G26" s="357"/>
      <c r="H26" s="155"/>
      <c r="I26" s="643"/>
      <c r="J26" s="662">
        <f t="shared" si="0"/>
        <v>0</v>
      </c>
    </row>
    <row r="27" spans="1:13" ht="15" customHeight="1">
      <c r="A27" s="161"/>
      <c r="B27" s="180"/>
      <c r="C27" s="237"/>
      <c r="D27" s="179"/>
      <c r="E27" s="154">
        <f>(+D27*C27)</f>
        <v>0</v>
      </c>
      <c r="F27" s="238"/>
      <c r="G27" s="154">
        <f>(E27*F27)*(1+$M$4)</f>
        <v>0</v>
      </c>
      <c r="H27" s="121"/>
      <c r="I27" s="120"/>
      <c r="J27" s="662">
        <f t="shared" si="0"/>
        <v>0</v>
      </c>
    </row>
    <row r="28" spans="1:13" ht="15" customHeight="1">
      <c r="A28" s="772" t="s">
        <v>145</v>
      </c>
      <c r="B28" s="772"/>
      <c r="C28" s="156"/>
      <c r="D28" s="157"/>
      <c r="E28" s="123">
        <f>SUM(E18:E27)</f>
        <v>8698300000</v>
      </c>
      <c r="F28" s="181"/>
      <c r="G28" s="123">
        <f>SUM(G18:G27)</f>
        <v>11704199000</v>
      </c>
      <c r="H28" s="159"/>
      <c r="I28" s="644">
        <f>+SUM(I18:I27)</f>
        <v>11704199000</v>
      </c>
      <c r="J28" s="662">
        <f t="shared" si="0"/>
        <v>0</v>
      </c>
      <c r="L28" s="34"/>
    </row>
    <row r="29" spans="1:13" ht="18" customHeight="1">
      <c r="A29" s="769" t="s">
        <v>237</v>
      </c>
      <c r="B29" s="769"/>
      <c r="C29" s="769"/>
      <c r="D29" s="769"/>
      <c r="E29" s="769"/>
      <c r="F29" s="769"/>
      <c r="G29" s="769"/>
      <c r="H29" s="769"/>
      <c r="I29" s="645"/>
      <c r="J29" s="662">
        <f t="shared" si="0"/>
        <v>0</v>
      </c>
      <c r="L29" s="35"/>
      <c r="M29" s="36"/>
    </row>
    <row r="30" spans="1:13">
      <c r="A30" s="266" t="s">
        <v>306</v>
      </c>
      <c r="B30" s="355"/>
      <c r="C30" s="356"/>
      <c r="D30" s="357"/>
      <c r="E30" s="357"/>
      <c r="F30" s="320"/>
      <c r="G30" s="357"/>
      <c r="H30" s="155"/>
      <c r="I30" s="643"/>
      <c r="J30" s="662">
        <f t="shared" si="0"/>
        <v>0</v>
      </c>
    </row>
    <row r="31" spans="1:13">
      <c r="A31" s="266" t="s">
        <v>307</v>
      </c>
      <c r="B31" s="355"/>
      <c r="C31" s="356"/>
      <c r="D31" s="357"/>
      <c r="E31" s="357"/>
      <c r="F31" s="320"/>
      <c r="G31" s="357"/>
      <c r="H31" s="155"/>
      <c r="I31" s="643"/>
      <c r="J31" s="662">
        <f t="shared" si="0"/>
        <v>0</v>
      </c>
    </row>
    <row r="32" spans="1:13" ht="25.5">
      <c r="A32" s="269" t="s">
        <v>308</v>
      </c>
      <c r="B32" s="152" t="s">
        <v>325</v>
      </c>
      <c r="C32" s="239">
        <v>136</v>
      </c>
      <c r="D32" s="153">
        <v>1300000</v>
      </c>
      <c r="E32" s="153">
        <v>176800000</v>
      </c>
      <c r="F32" s="238">
        <v>11</v>
      </c>
      <c r="G32" s="153">
        <v>2003144000</v>
      </c>
      <c r="H32" s="155"/>
      <c r="I32" s="643">
        <f>+G32</f>
        <v>2003144000</v>
      </c>
      <c r="J32" s="662">
        <f t="shared" si="0"/>
        <v>0</v>
      </c>
    </row>
    <row r="33" spans="1:13">
      <c r="A33" s="267" t="s">
        <v>309</v>
      </c>
      <c r="B33" s="355"/>
      <c r="C33" s="356"/>
      <c r="D33" s="357"/>
      <c r="E33" s="357"/>
      <c r="F33" s="320"/>
      <c r="G33" s="357"/>
      <c r="H33" s="155"/>
      <c r="I33" s="643"/>
      <c r="J33" s="662">
        <f t="shared" si="0"/>
        <v>0</v>
      </c>
    </row>
    <row r="34" spans="1:13">
      <c r="A34" s="267" t="s">
        <v>310</v>
      </c>
      <c r="B34" s="355"/>
      <c r="C34" s="356"/>
      <c r="D34" s="357"/>
      <c r="E34" s="357"/>
      <c r="F34" s="320"/>
      <c r="G34" s="357"/>
      <c r="H34" s="155"/>
      <c r="I34" s="643"/>
      <c r="J34" s="662">
        <f t="shared" si="0"/>
        <v>0</v>
      </c>
    </row>
    <row r="35" spans="1:13">
      <c r="A35" s="267" t="s">
        <v>311</v>
      </c>
      <c r="B35" s="355"/>
      <c r="C35" s="356"/>
      <c r="D35" s="357"/>
      <c r="E35" s="357"/>
      <c r="F35" s="320"/>
      <c r="G35" s="357"/>
      <c r="H35" s="155"/>
      <c r="I35" s="643"/>
      <c r="J35" s="662">
        <f t="shared" si="0"/>
        <v>0</v>
      </c>
    </row>
    <row r="36" spans="1:13">
      <c r="A36" s="267" t="s">
        <v>312</v>
      </c>
      <c r="B36" s="355"/>
      <c r="C36" s="356"/>
      <c r="D36" s="357"/>
      <c r="E36" s="357"/>
      <c r="F36" s="320"/>
      <c r="G36" s="357"/>
      <c r="H36" s="155"/>
      <c r="I36" s="643"/>
      <c r="J36" s="662">
        <f t="shared" si="0"/>
        <v>0</v>
      </c>
    </row>
    <row r="37" spans="1:13">
      <c r="A37" s="267" t="s">
        <v>313</v>
      </c>
      <c r="B37" s="355"/>
      <c r="C37" s="356"/>
      <c r="D37" s="357"/>
      <c r="E37" s="357"/>
      <c r="F37" s="320"/>
      <c r="G37" s="357"/>
      <c r="H37" s="155"/>
      <c r="I37" s="643"/>
      <c r="J37" s="662">
        <f t="shared" si="0"/>
        <v>0</v>
      </c>
    </row>
    <row r="38" spans="1:13">
      <c r="A38" s="267" t="s">
        <v>314</v>
      </c>
      <c r="B38" s="355"/>
      <c r="C38" s="356"/>
      <c r="D38" s="357"/>
      <c r="E38" s="357"/>
      <c r="F38" s="320"/>
      <c r="G38" s="357"/>
      <c r="H38" s="155"/>
      <c r="I38" s="643"/>
      <c r="J38" s="662">
        <f t="shared" si="0"/>
        <v>0</v>
      </c>
    </row>
    <row r="39" spans="1:13" ht="15" customHeight="1">
      <c r="A39" s="151"/>
      <c r="B39" s="152"/>
      <c r="C39" s="239"/>
      <c r="D39" s="153"/>
      <c r="E39" s="154">
        <f>(+D39*C39)</f>
        <v>0</v>
      </c>
      <c r="F39" s="238"/>
      <c r="G39" s="154">
        <f>(E39*F39)*(1+$M$4)</f>
        <v>0</v>
      </c>
      <c r="H39" s="182"/>
      <c r="I39" s="643"/>
      <c r="J39" s="662">
        <f t="shared" si="0"/>
        <v>0</v>
      </c>
    </row>
    <row r="40" spans="1:13" ht="15" customHeight="1">
      <c r="A40" s="772" t="s">
        <v>145</v>
      </c>
      <c r="B40" s="772"/>
      <c r="C40" s="156"/>
      <c r="D40" s="157"/>
      <c r="E40" s="158">
        <f>SUM(E30:E39)</f>
        <v>176800000</v>
      </c>
      <c r="F40" s="159"/>
      <c r="G40" s="158">
        <f>SUM(G30:G39)</f>
        <v>2003144000</v>
      </c>
      <c r="H40" s="159"/>
      <c r="I40" s="644">
        <f>+SUM(I30:I39)</f>
        <v>2003144000</v>
      </c>
      <c r="J40" s="662">
        <f t="shared" si="0"/>
        <v>0</v>
      </c>
    </row>
    <row r="41" spans="1:13" ht="18" customHeight="1">
      <c r="A41" s="773" t="s">
        <v>238</v>
      </c>
      <c r="B41" s="773"/>
      <c r="C41" s="773"/>
      <c r="D41" s="773"/>
      <c r="E41" s="773"/>
      <c r="F41" s="773"/>
      <c r="G41" s="773"/>
      <c r="H41" s="773"/>
      <c r="I41" s="660"/>
      <c r="J41" s="662">
        <f t="shared" si="0"/>
        <v>0</v>
      </c>
      <c r="L41" s="35"/>
      <c r="M41" s="36"/>
    </row>
    <row r="42" spans="1:13">
      <c r="A42" s="266" t="s">
        <v>306</v>
      </c>
      <c r="B42" s="355"/>
      <c r="C42" s="356"/>
      <c r="D42" s="357"/>
      <c r="E42" s="357"/>
      <c r="F42" s="320"/>
      <c r="G42" s="357"/>
      <c r="H42" s="155"/>
      <c r="I42" s="643">
        <f>+G42</f>
        <v>0</v>
      </c>
      <c r="J42" s="662">
        <f t="shared" si="0"/>
        <v>0</v>
      </c>
    </row>
    <row r="43" spans="1:13">
      <c r="A43" s="266" t="s">
        <v>307</v>
      </c>
      <c r="B43" s="355"/>
      <c r="C43" s="356"/>
      <c r="D43" s="357"/>
      <c r="E43" s="357"/>
      <c r="F43" s="320"/>
      <c r="G43" s="357"/>
      <c r="H43" s="155"/>
      <c r="I43" s="643">
        <f t="shared" ref="I43:I46" si="2">+G43</f>
        <v>0</v>
      </c>
      <c r="J43" s="662">
        <f t="shared" si="0"/>
        <v>0</v>
      </c>
    </row>
    <row r="44" spans="1:13" ht="76.5">
      <c r="A44" s="269" t="s">
        <v>308</v>
      </c>
      <c r="B44" s="152"/>
      <c r="C44" s="239"/>
      <c r="D44" s="153"/>
      <c r="E44" s="153"/>
      <c r="F44" s="238">
        <v>12</v>
      </c>
      <c r="G44" s="153">
        <v>2280000000</v>
      </c>
      <c r="H44" s="155" t="s">
        <v>435</v>
      </c>
      <c r="I44" s="643">
        <f>+G44</f>
        <v>2280000000</v>
      </c>
      <c r="J44" s="662">
        <f>+I44-G44</f>
        <v>0</v>
      </c>
      <c r="K44" s="120"/>
    </row>
    <row r="45" spans="1:13" ht="409.5">
      <c r="A45" s="267" t="s">
        <v>309</v>
      </c>
      <c r="B45" s="152"/>
      <c r="C45" s="239"/>
      <c r="D45" s="153"/>
      <c r="E45" s="503">
        <v>40000000000</v>
      </c>
      <c r="F45" s="404">
        <v>1</v>
      </c>
      <c r="G45" s="404">
        <v>41200000000</v>
      </c>
      <c r="H45" s="661" t="s">
        <v>461</v>
      </c>
      <c r="I45" s="643">
        <f>+G45*0.8</f>
        <v>32960000000</v>
      </c>
      <c r="J45" s="663">
        <f t="shared" ref="J45:J47" si="3">+I45-G45</f>
        <v>-8240000000</v>
      </c>
    </row>
    <row r="46" spans="1:13">
      <c r="A46" s="267" t="s">
        <v>310</v>
      </c>
      <c r="B46" s="355"/>
      <c r="C46" s="356"/>
      <c r="D46" s="357"/>
      <c r="E46" s="357"/>
      <c r="F46" s="320"/>
      <c r="G46" s="357"/>
      <c r="H46" s="155"/>
      <c r="I46" s="643">
        <f t="shared" si="2"/>
        <v>0</v>
      </c>
      <c r="J46" s="662">
        <f t="shared" si="3"/>
        <v>0</v>
      </c>
    </row>
    <row r="47" spans="1:13" ht="255">
      <c r="A47" s="267" t="s">
        <v>311</v>
      </c>
      <c r="B47" s="152" t="s">
        <v>337</v>
      </c>
      <c r="C47" s="239"/>
      <c r="D47" s="153"/>
      <c r="E47" s="153"/>
      <c r="F47" s="238"/>
      <c r="G47" s="153">
        <v>9926585721.5599995</v>
      </c>
      <c r="H47" s="155" t="s">
        <v>392</v>
      </c>
      <c r="I47" s="643">
        <v>8637475019.3000031</v>
      </c>
      <c r="J47" s="663">
        <f t="shared" si="3"/>
        <v>-1289110702.2599964</v>
      </c>
    </row>
    <row r="48" spans="1:13">
      <c r="A48" s="267" t="s">
        <v>312</v>
      </c>
      <c r="B48" s="355"/>
      <c r="C48" s="356"/>
      <c r="D48" s="357"/>
      <c r="E48" s="357"/>
      <c r="F48" s="320"/>
      <c r="G48" s="357"/>
      <c r="H48" s="155"/>
      <c r="I48" s="643"/>
      <c r="J48" s="662"/>
    </row>
    <row r="49" spans="1:10">
      <c r="A49" s="267" t="s">
        <v>313</v>
      </c>
      <c r="B49" s="355"/>
      <c r="C49" s="356"/>
      <c r="D49" s="357"/>
      <c r="E49" s="357"/>
      <c r="F49" s="320"/>
      <c r="G49" s="357"/>
      <c r="H49" s="155"/>
      <c r="I49" s="643"/>
      <c r="J49" s="662"/>
    </row>
    <row r="50" spans="1:10">
      <c r="A50" s="267" t="s">
        <v>314</v>
      </c>
      <c r="B50" s="355"/>
      <c r="C50" s="356"/>
      <c r="D50" s="357"/>
      <c r="E50" s="357"/>
      <c r="F50" s="320"/>
      <c r="G50" s="357"/>
      <c r="H50" s="155"/>
      <c r="I50" s="643"/>
      <c r="J50" s="662"/>
    </row>
    <row r="51" spans="1:10" ht="15" customHeight="1">
      <c r="A51" s="151"/>
      <c r="B51" s="152"/>
      <c r="C51" s="239"/>
      <c r="D51" s="153"/>
      <c r="E51" s="154">
        <f>(+D51*C51)</f>
        <v>0</v>
      </c>
      <c r="F51" s="238"/>
      <c r="G51" s="154">
        <f>(E51*F51)*(1+$M$4)</f>
        <v>0</v>
      </c>
      <c r="H51" s="182"/>
      <c r="I51" s="643"/>
      <c r="J51" s="662"/>
    </row>
    <row r="52" spans="1:10" ht="15" customHeight="1">
      <c r="A52" s="772" t="s">
        <v>145</v>
      </c>
      <c r="B52" s="772"/>
      <c r="C52" s="156"/>
      <c r="D52" s="157"/>
      <c r="E52" s="158">
        <f>SUM(E42:E51)</f>
        <v>40000000000</v>
      </c>
      <c r="F52" s="159"/>
      <c r="G52" s="158">
        <f>SUM(G42:G51)</f>
        <v>53406585721.559998</v>
      </c>
      <c r="H52" s="159"/>
      <c r="I52" s="644">
        <v>43877475019.300003</v>
      </c>
      <c r="J52" s="644">
        <f>+I52-SUM(I42:I51)</f>
        <v>0</v>
      </c>
    </row>
    <row r="53" spans="1:10" ht="25.5" customHeight="1">
      <c r="A53" s="774" t="s">
        <v>239</v>
      </c>
      <c r="B53" s="774"/>
      <c r="C53" s="183"/>
      <c r="D53" s="183"/>
      <c r="E53" s="184">
        <f>E16+E28+E40+E52</f>
        <v>51417050000</v>
      </c>
      <c r="F53" s="183"/>
      <c r="G53" s="184">
        <f>G16+G28+G40+G52</f>
        <v>90131441721.559998</v>
      </c>
      <c r="H53" s="183"/>
      <c r="I53" s="647"/>
      <c r="J53" s="647"/>
    </row>
    <row r="54" spans="1:10">
      <c r="E54" s="34"/>
      <c r="F54" s="34"/>
    </row>
    <row r="55" spans="1:10">
      <c r="A55" s="724" t="s">
        <v>100</v>
      </c>
      <c r="B55" s="724"/>
      <c r="C55" s="724"/>
      <c r="D55" s="724" t="s">
        <v>165</v>
      </c>
      <c r="E55" s="724"/>
      <c r="F55" s="724"/>
      <c r="G55" s="725" t="s">
        <v>166</v>
      </c>
      <c r="H55" s="725"/>
      <c r="I55" s="648"/>
      <c r="J55" s="648"/>
    </row>
  </sheetData>
  <sheetProtection formatRows="0" insertRows="0"/>
  <mergeCells count="13">
    <mergeCell ref="A55:C55"/>
    <mergeCell ref="D55:F55"/>
    <mergeCell ref="G55:H55"/>
    <mergeCell ref="A40:B40"/>
    <mergeCell ref="A53:B53"/>
    <mergeCell ref="A41:H41"/>
    <mergeCell ref="A52:B52"/>
    <mergeCell ref="A29:H29"/>
    <mergeCell ref="A3:H3"/>
    <mergeCell ref="A5:H5"/>
    <mergeCell ref="A16:B16"/>
    <mergeCell ref="A17:H17"/>
    <mergeCell ref="A28:B28"/>
  </mergeCells>
  <dataValidations disablePrompts="1" count="1">
    <dataValidation type="whole" operator="greaterThanOrEqual" allowBlank="1" showErrorMessage="1" errorTitle="SOLO NUMEROS ENTEROS" error="SOLO NUMEROS ENTEROS" sqref="F30:F39 F18:F27 F42:F51 C18:D27 C30:D39 C42:D51 F6:F15 C6:D15" xr:uid="{3B71B526-56A5-4D0B-8894-4B3A33690643}">
      <formula1>0</formula1>
    </dataValidation>
  </dataValidations>
  <printOptions gridLines="1"/>
  <pageMargins left="0.23622047244094491" right="0.23622047244094491" top="0.74803149606299213" bottom="0.74803149606299213" header="0.31496062992125984" footer="0.31496062992125984"/>
  <pageSetup scale="64" fitToHeight="0" orientation="landscape" horizontalDpi="4294967294" verticalDpi="4294967294" r:id="rId1"/>
  <ignoredErrors>
    <ignoredError sqref="E16:G16 E40:G40 E53:G53 E28:G28 E27 E15 G15 E39 G39 E51 G51 E52:F52" unlocked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7D35-6633-4FFA-99E3-46BC274AAC9D}">
  <sheetPr>
    <tabColor theme="8" tint="-0.499984740745262"/>
  </sheetPr>
  <dimension ref="A3:J29"/>
  <sheetViews>
    <sheetView showGridLines="0" view="pageBreakPreview" topLeftCell="A16" zoomScaleNormal="100" zoomScaleSheetLayoutView="100" workbookViewId="0">
      <selection activeCell="E37" sqref="E37"/>
    </sheetView>
  </sheetViews>
  <sheetFormatPr baseColWidth="10" defaultColWidth="11.42578125" defaultRowHeight="12.75"/>
  <cols>
    <col min="1" max="1" width="25.140625" style="16" customWidth="1"/>
    <col min="2" max="2" width="29.140625" style="16" customWidth="1"/>
    <col min="3" max="3" width="20" style="16" customWidth="1"/>
    <col min="4" max="4" width="21.7109375" style="16" bestFit="1" customWidth="1"/>
    <col min="5" max="5" width="29.85546875" style="16" customWidth="1"/>
    <col min="6" max="6" width="26.28515625" style="16" customWidth="1"/>
    <col min="7" max="7" width="32.28515625" style="16" customWidth="1"/>
    <col min="8" max="8" width="4.42578125" style="16" customWidth="1"/>
    <col min="9" max="9" width="5.140625" style="16" customWidth="1"/>
    <col min="10" max="16384" width="11.42578125" style="16"/>
  </cols>
  <sheetData>
    <row r="3" spans="1:10" ht="18.75" customHeight="1">
      <c r="A3" s="775" t="s">
        <v>240</v>
      </c>
      <c r="B3" s="775"/>
      <c r="C3" s="775"/>
      <c r="D3" s="775"/>
      <c r="E3" s="775"/>
      <c r="F3" s="775"/>
      <c r="G3" s="775"/>
    </row>
    <row r="4" spans="1:10" ht="19.5" customHeight="1">
      <c r="A4" s="776" t="s">
        <v>241</v>
      </c>
      <c r="B4" s="776"/>
      <c r="C4" s="776"/>
      <c r="D4" s="776"/>
      <c r="E4" s="776"/>
      <c r="F4" s="776"/>
      <c r="G4" s="776"/>
    </row>
    <row r="5" spans="1:10" ht="26.25" thickBot="1">
      <c r="A5" s="86" t="s">
        <v>168</v>
      </c>
      <c r="B5" s="86" t="s">
        <v>138</v>
      </c>
      <c r="C5" s="86" t="s">
        <v>153</v>
      </c>
      <c r="D5" s="86" t="s">
        <v>242</v>
      </c>
      <c r="E5" s="86" t="s">
        <v>142</v>
      </c>
      <c r="F5" s="86" t="s">
        <v>156</v>
      </c>
      <c r="G5" s="86" t="s">
        <v>157</v>
      </c>
      <c r="I5" s="18" t="s">
        <v>7</v>
      </c>
      <c r="J5" s="19">
        <f>'PRESUPUESTO T+1 '!B12</f>
        <v>0.03</v>
      </c>
    </row>
    <row r="6" spans="1:10" ht="21" customHeight="1" thickTop="1">
      <c r="A6" s="777" t="s">
        <v>243</v>
      </c>
      <c r="B6" s="777"/>
      <c r="C6" s="777"/>
      <c r="D6" s="777"/>
      <c r="E6" s="777"/>
      <c r="F6" s="777"/>
      <c r="G6" s="777"/>
    </row>
    <row r="7" spans="1:10" ht="25.5">
      <c r="A7" s="185" t="s">
        <v>422</v>
      </c>
      <c r="B7" s="189" t="s">
        <v>421</v>
      </c>
      <c r="C7" s="233">
        <v>1</v>
      </c>
      <c r="D7" s="186">
        <v>13353427950</v>
      </c>
      <c r="E7" s="187">
        <v>13353427950</v>
      </c>
      <c r="F7" s="187">
        <v>13754030788.5</v>
      </c>
      <c r="G7" s="188"/>
    </row>
    <row r="8" spans="1:10" ht="15" customHeight="1">
      <c r="A8" s="516"/>
      <c r="B8" s="517"/>
      <c r="C8" s="518"/>
      <c r="D8" s="519"/>
      <c r="E8" s="520"/>
      <c r="F8" s="520"/>
      <c r="G8" s="188"/>
    </row>
    <row r="9" spans="1:10" ht="15" customHeight="1">
      <c r="A9" s="516"/>
      <c r="B9" s="521"/>
      <c r="C9" s="518"/>
      <c r="D9" s="519"/>
      <c r="E9" s="520"/>
      <c r="F9" s="520"/>
      <c r="G9" s="188"/>
    </row>
    <row r="10" spans="1:10" ht="15" customHeight="1">
      <c r="A10" s="778" t="s">
        <v>145</v>
      </c>
      <c r="B10" s="778"/>
      <c r="C10" s="190"/>
      <c r="D10" s="191"/>
      <c r="E10" s="192">
        <f>SUM(E7:E9)</f>
        <v>13353427950</v>
      </c>
      <c r="F10" s="192">
        <f>SUM(F7:F9)</f>
        <v>13754030788.5</v>
      </c>
      <c r="G10" s="193"/>
      <c r="I10" s="20"/>
    </row>
    <row r="11" spans="1:10" ht="18" customHeight="1">
      <c r="A11" s="777" t="s">
        <v>244</v>
      </c>
      <c r="B11" s="777"/>
      <c r="C11" s="777"/>
      <c r="D11" s="777"/>
      <c r="E11" s="777"/>
      <c r="F11" s="777"/>
      <c r="G11" s="777"/>
      <c r="I11" s="21"/>
      <c r="J11" s="22"/>
    </row>
    <row r="12" spans="1:10" ht="15" customHeight="1">
      <c r="A12" s="516"/>
      <c r="B12" s="517"/>
      <c r="C12" s="518"/>
      <c r="D12" s="519"/>
      <c r="E12" s="520"/>
      <c r="F12" s="520"/>
      <c r="G12" s="197"/>
    </row>
    <row r="13" spans="1:10" ht="15" customHeight="1">
      <c r="A13" s="516"/>
      <c r="B13" s="521"/>
      <c r="C13" s="518"/>
      <c r="D13" s="519"/>
      <c r="E13" s="520"/>
      <c r="F13" s="520"/>
      <c r="G13" s="197"/>
    </row>
    <row r="14" spans="1:10" ht="15" customHeight="1">
      <c r="A14" s="194"/>
      <c r="B14" s="195"/>
      <c r="C14" s="234"/>
      <c r="D14" s="196"/>
      <c r="E14" s="187">
        <f>(+D14*C14)</f>
        <v>0</v>
      </c>
      <c r="F14" s="187">
        <f>E14*(1+$J$5)</f>
        <v>0</v>
      </c>
      <c r="G14" s="197"/>
    </row>
    <row r="15" spans="1:10" ht="15" customHeight="1">
      <c r="A15" s="778" t="s">
        <v>145</v>
      </c>
      <c r="B15" s="778"/>
      <c r="C15" s="190"/>
      <c r="D15" s="191"/>
      <c r="E15" s="198">
        <f>SUM(E12:E14)</f>
        <v>0</v>
      </c>
      <c r="F15" s="198">
        <f>SUM(F12:F14)</f>
        <v>0</v>
      </c>
      <c r="G15" s="193"/>
    </row>
    <row r="16" spans="1:10" ht="18" customHeight="1">
      <c r="A16" s="777" t="s">
        <v>245</v>
      </c>
      <c r="B16" s="777"/>
      <c r="C16" s="777"/>
      <c r="D16" s="777"/>
      <c r="E16" s="777"/>
      <c r="F16" s="777"/>
      <c r="G16" s="777"/>
      <c r="J16" s="22"/>
    </row>
    <row r="17" spans="1:10" ht="15" customHeight="1">
      <c r="A17" s="516"/>
      <c r="B17" s="517"/>
      <c r="C17" s="518"/>
      <c r="D17" s="519"/>
      <c r="E17" s="520"/>
      <c r="F17" s="520"/>
      <c r="G17" s="197"/>
    </row>
    <row r="18" spans="1:10" ht="15" customHeight="1">
      <c r="A18" s="516"/>
      <c r="B18" s="521"/>
      <c r="C18" s="518"/>
      <c r="D18" s="519"/>
      <c r="E18" s="520"/>
      <c r="F18" s="520"/>
      <c r="G18" s="197"/>
    </row>
    <row r="19" spans="1:10" ht="15" customHeight="1">
      <c r="A19" s="194"/>
      <c r="B19" s="195"/>
      <c r="C19" s="234"/>
      <c r="D19" s="196"/>
      <c r="E19" s="187">
        <f>(+D19*C19)</f>
        <v>0</v>
      </c>
      <c r="F19" s="187">
        <f>E19*(1+$J$5)</f>
        <v>0</v>
      </c>
      <c r="G19" s="197"/>
    </row>
    <row r="20" spans="1:10" ht="15" customHeight="1">
      <c r="A20" s="778" t="s">
        <v>145</v>
      </c>
      <c r="B20" s="778"/>
      <c r="C20" s="190"/>
      <c r="D20" s="191"/>
      <c r="E20" s="198">
        <f>SUM(E17:E19)</f>
        <v>0</v>
      </c>
      <c r="F20" s="198">
        <f>SUM(F17:F19)</f>
        <v>0</v>
      </c>
      <c r="G20" s="193"/>
    </row>
    <row r="21" spans="1:10" ht="18" customHeight="1">
      <c r="A21" s="781" t="s">
        <v>246</v>
      </c>
      <c r="B21" s="781"/>
      <c r="C21" s="781"/>
      <c r="D21" s="781"/>
      <c r="E21" s="781"/>
      <c r="F21" s="781"/>
      <c r="G21" s="781"/>
      <c r="I21" s="21"/>
      <c r="J21" s="22"/>
    </row>
    <row r="22" spans="1:10" ht="21" customHeight="1">
      <c r="A22" s="777" t="s">
        <v>247</v>
      </c>
      <c r="B22" s="777"/>
      <c r="C22" s="777"/>
      <c r="D22" s="777"/>
      <c r="E22" s="777"/>
      <c r="F22" s="777"/>
      <c r="G22" s="777"/>
    </row>
    <row r="23" spans="1:10" ht="15" customHeight="1">
      <c r="A23" s="516"/>
      <c r="B23" s="517"/>
      <c r="C23" s="518"/>
      <c r="D23" s="519"/>
      <c r="E23" s="520"/>
      <c r="F23" s="520"/>
      <c r="G23" s="197"/>
    </row>
    <row r="24" spans="1:10" ht="15" customHeight="1">
      <c r="A24" s="516"/>
      <c r="B24" s="521"/>
      <c r="C24" s="518"/>
      <c r="D24" s="519"/>
      <c r="E24" s="520"/>
      <c r="F24" s="520"/>
      <c r="G24" s="197"/>
    </row>
    <row r="25" spans="1:10" ht="15" customHeight="1">
      <c r="A25" s="194"/>
      <c r="B25" s="195"/>
      <c r="C25" s="234"/>
      <c r="D25" s="196"/>
      <c r="E25" s="187">
        <f>(+D25*C25)</f>
        <v>0</v>
      </c>
      <c r="F25" s="187">
        <f>E25*(1+$J$5)</f>
        <v>0</v>
      </c>
      <c r="G25" s="197"/>
    </row>
    <row r="26" spans="1:10" ht="15" customHeight="1">
      <c r="A26" s="778" t="s">
        <v>145</v>
      </c>
      <c r="B26" s="778"/>
      <c r="C26" s="190"/>
      <c r="D26" s="191"/>
      <c r="E26" s="198">
        <f>SUM(E23:E25)</f>
        <v>0</v>
      </c>
      <c r="F26" s="198">
        <f>SUM(F23:F25)</f>
        <v>0</v>
      </c>
      <c r="G26" s="193"/>
    </row>
    <row r="27" spans="1:10" ht="25.5" customHeight="1">
      <c r="A27" s="782" t="s">
        <v>248</v>
      </c>
      <c r="B27" s="782"/>
      <c r="C27" s="199"/>
      <c r="D27" s="199"/>
      <c r="E27" s="200">
        <f>E10+E15+E20+E26</f>
        <v>13353427950</v>
      </c>
      <c r="F27" s="200">
        <f>F10+F15+F20+F26</f>
        <v>13754030788.5</v>
      </c>
      <c r="G27" s="199"/>
    </row>
    <row r="28" spans="1:10">
      <c r="E28" s="20"/>
      <c r="F28" s="20"/>
    </row>
    <row r="29" spans="1:10">
      <c r="A29" s="779" t="s">
        <v>100</v>
      </c>
      <c r="B29" s="779"/>
      <c r="C29" s="779"/>
      <c r="D29" s="779" t="s">
        <v>165</v>
      </c>
      <c r="E29" s="779"/>
      <c r="F29" s="780" t="s">
        <v>192</v>
      </c>
      <c r="G29" s="780"/>
    </row>
  </sheetData>
  <sheetProtection formatRows="0" insertRows="0"/>
  <mergeCells count="15">
    <mergeCell ref="A29:C29"/>
    <mergeCell ref="D29:E29"/>
    <mergeCell ref="F29:G29"/>
    <mergeCell ref="A21:G21"/>
    <mergeCell ref="A20:B20"/>
    <mergeCell ref="A26:B26"/>
    <mergeCell ref="A22:G22"/>
    <mergeCell ref="A27:B27"/>
    <mergeCell ref="A3:G3"/>
    <mergeCell ref="A4:G4"/>
    <mergeCell ref="A6:G6"/>
    <mergeCell ref="A11:G11"/>
    <mergeCell ref="A16:G16"/>
    <mergeCell ref="A10:B10"/>
    <mergeCell ref="A15:B15"/>
  </mergeCells>
  <dataValidations count="1">
    <dataValidation type="whole" operator="greaterThanOrEqual" allowBlank="1" showErrorMessage="1" errorTitle="SOLO NUMEROS ENTEROS" error="SOLO NUMEROS ENTEROS" sqref="C7:D9 C17:D19 C12:D14 C23:D25" xr:uid="{A17BF346-68BA-4FB8-B21B-09A834C97496}">
      <formula1>0</formula1>
    </dataValidation>
  </dataValidations>
  <printOptions gridLines="1"/>
  <pageMargins left="0.23622047244094491" right="0.23622047244094491" top="0.74803149606299213" bottom="0.74803149606299213" header="0.31496062992125984" footer="0.31496062992125984"/>
  <pageSetup scale="64" fitToHeight="0" orientation="landscape" horizontalDpi="4294967294" verticalDpi="4294967294" r:id="rId1"/>
  <ignoredErrors>
    <ignoredError sqref="E10:F10 E14:E15 E19:E20 E25 E26:E27 F14:F15 F20 F19 F25:F27" unlocked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F0540-23CB-4092-9245-F9F360F123D6}">
  <sheetPr>
    <tabColor theme="3" tint="0.59999389629810485"/>
  </sheetPr>
  <dimension ref="A3:K17"/>
  <sheetViews>
    <sheetView showGridLines="0" view="pageBreakPreview" topLeftCell="A10" zoomScaleNormal="100" zoomScaleSheetLayoutView="100" workbookViewId="0">
      <selection activeCell="F21" sqref="F21"/>
    </sheetView>
  </sheetViews>
  <sheetFormatPr baseColWidth="10" defaultColWidth="11.42578125" defaultRowHeight="12.75"/>
  <cols>
    <col min="1" max="1" width="25.140625" style="30" customWidth="1"/>
    <col min="2" max="2" width="29.140625" style="30" customWidth="1"/>
    <col min="3" max="3" width="20" style="30" customWidth="1"/>
    <col min="4" max="4" width="21.7109375" style="30" bestFit="1" customWidth="1"/>
    <col min="5" max="5" width="23.42578125" style="30" bestFit="1" customWidth="1"/>
    <col min="6" max="6" width="21.42578125" style="30" customWidth="1"/>
    <col min="7" max="7" width="27.42578125" style="30" bestFit="1" customWidth="1"/>
    <col min="8" max="8" width="27.42578125" style="30" customWidth="1"/>
    <col min="9" max="9" width="11.42578125" style="30"/>
    <col min="10" max="10" width="6.85546875" style="30" customWidth="1"/>
    <col min="11" max="11" width="9.42578125" style="30" customWidth="1"/>
    <col min="12" max="16384" width="11.42578125" style="30"/>
  </cols>
  <sheetData>
    <row r="3" spans="1:11" ht="19.5" customHeight="1">
      <c r="A3" s="783" t="s">
        <v>249</v>
      </c>
      <c r="B3" s="783"/>
      <c r="C3" s="783"/>
      <c r="D3" s="783"/>
      <c r="E3" s="783"/>
      <c r="F3" s="783"/>
      <c r="G3" s="783"/>
      <c r="H3" s="783"/>
    </row>
    <row r="4" spans="1:11" ht="18.75" customHeight="1">
      <c r="A4" s="786" t="s">
        <v>250</v>
      </c>
      <c r="B4" s="786"/>
      <c r="C4" s="786"/>
      <c r="D4" s="786"/>
      <c r="E4" s="786"/>
      <c r="F4" s="786"/>
      <c r="G4" s="786"/>
      <c r="H4" s="787"/>
    </row>
    <row r="5" spans="1:11" ht="26.25" thickBot="1">
      <c r="A5" s="85" t="s">
        <v>168</v>
      </c>
      <c r="B5" s="85" t="s">
        <v>138</v>
      </c>
      <c r="C5" s="85" t="s">
        <v>153</v>
      </c>
      <c r="D5" s="85" t="s">
        <v>154</v>
      </c>
      <c r="E5" s="85" t="s">
        <v>155</v>
      </c>
      <c r="F5" s="85" t="s">
        <v>141</v>
      </c>
      <c r="G5" s="85" t="s">
        <v>156</v>
      </c>
      <c r="H5" s="97" t="s">
        <v>157</v>
      </c>
      <c r="J5" s="32" t="s">
        <v>7</v>
      </c>
      <c r="K5" s="33">
        <f>'PRESUPUESTO T+1 '!B12</f>
        <v>0.03</v>
      </c>
    </row>
    <row r="6" spans="1:11" ht="33" customHeight="1" thickTop="1">
      <c r="A6" s="688" t="s">
        <v>251</v>
      </c>
      <c r="B6" s="688"/>
      <c r="C6" s="688"/>
      <c r="D6" s="688"/>
      <c r="E6" s="688"/>
      <c r="F6" s="688"/>
      <c r="G6" s="688"/>
      <c r="H6" s="729"/>
      <c r="J6" s="35"/>
      <c r="K6" s="36"/>
    </row>
    <row r="7" spans="1:11" ht="51">
      <c r="A7" s="151" t="s">
        <v>311</v>
      </c>
      <c r="B7" s="152"/>
      <c r="C7" s="239"/>
      <c r="D7" s="153"/>
      <c r="E7" s="153">
        <f>(+D7*C7)</f>
        <v>0</v>
      </c>
      <c r="F7" s="238"/>
      <c r="G7" s="153">
        <v>143381562000</v>
      </c>
      <c r="H7" s="155" t="s">
        <v>338</v>
      </c>
    </row>
    <row r="8" spans="1:11" ht="15" customHeight="1">
      <c r="A8" s="730" t="s">
        <v>145</v>
      </c>
      <c r="B8" s="731"/>
      <c r="C8" s="156"/>
      <c r="D8" s="157"/>
      <c r="E8" s="158">
        <f>SUM(E7:E7)</f>
        <v>0</v>
      </c>
      <c r="F8" s="159"/>
      <c r="G8" s="158">
        <f>SUM(G7:G7)</f>
        <v>143381562000</v>
      </c>
      <c r="H8" s="160"/>
    </row>
    <row r="9" spans="1:11" ht="36" customHeight="1">
      <c r="A9" s="784" t="s">
        <v>252</v>
      </c>
      <c r="B9" s="784"/>
      <c r="C9" s="784"/>
      <c r="D9" s="784"/>
      <c r="E9" s="784"/>
      <c r="F9" s="784"/>
      <c r="G9" s="784"/>
      <c r="H9" s="785"/>
      <c r="J9" s="35"/>
      <c r="K9" s="36"/>
    </row>
    <row r="10" spans="1:11" ht="25.5">
      <c r="A10" s="151" t="s">
        <v>311</v>
      </c>
      <c r="B10" s="152"/>
      <c r="C10" s="240"/>
      <c r="D10" s="162"/>
      <c r="E10" s="153">
        <f>(+D10*C10)</f>
        <v>0</v>
      </c>
      <c r="F10" s="238"/>
      <c r="G10" s="153">
        <v>32618040000</v>
      </c>
      <c r="H10" s="155" t="s">
        <v>339</v>
      </c>
    </row>
    <row r="11" spans="1:11" ht="15" customHeight="1">
      <c r="A11" s="730" t="s">
        <v>145</v>
      </c>
      <c r="B11" s="731"/>
      <c r="C11" s="156"/>
      <c r="D11" s="157"/>
      <c r="E11" s="163">
        <f>SUM(E10:E10)</f>
        <v>0</v>
      </c>
      <c r="F11" s="164"/>
      <c r="G11" s="163">
        <f>SUM(G10:G10)</f>
        <v>32618040000</v>
      </c>
      <c r="H11" s="165"/>
    </row>
    <row r="12" spans="1:11" ht="34.5" customHeight="1">
      <c r="A12" s="784" t="s">
        <v>304</v>
      </c>
      <c r="B12" s="784"/>
      <c r="C12" s="784"/>
      <c r="D12" s="784"/>
      <c r="E12" s="784"/>
      <c r="F12" s="784"/>
      <c r="G12" s="784"/>
      <c r="H12" s="785"/>
    </row>
    <row r="13" spans="1:11">
      <c r="A13" s="161"/>
      <c r="B13" s="152"/>
      <c r="C13" s="240"/>
      <c r="D13" s="162"/>
      <c r="E13" s="153">
        <f>(+D13*C13)</f>
        <v>0</v>
      </c>
      <c r="F13" s="238"/>
      <c r="G13" s="153">
        <f>(E13*F13)*(1+$K$5)</f>
        <v>0</v>
      </c>
      <c r="H13" s="155"/>
    </row>
    <row r="14" spans="1:11" ht="13.5" thickBot="1">
      <c r="A14" s="730" t="s">
        <v>145</v>
      </c>
      <c r="B14" s="731"/>
      <c r="C14" s="156"/>
      <c r="D14" s="157"/>
      <c r="E14" s="163">
        <f>SUM(E13:E13)</f>
        <v>0</v>
      </c>
      <c r="F14" s="164"/>
      <c r="G14" s="163">
        <f>SUM(G13:G13)</f>
        <v>0</v>
      </c>
      <c r="H14" s="165"/>
    </row>
    <row r="15" spans="1:11" ht="13.5" thickBot="1">
      <c r="A15" s="726" t="s">
        <v>253</v>
      </c>
      <c r="B15" s="727"/>
      <c r="C15" s="166"/>
      <c r="D15" s="166"/>
      <c r="E15" s="167">
        <f>+E8+E14</f>
        <v>0</v>
      </c>
      <c r="F15" s="166"/>
      <c r="G15" s="167">
        <f>+G8+G14+G11</f>
        <v>175999602000</v>
      </c>
      <c r="H15" s="166"/>
    </row>
    <row r="16" spans="1:11">
      <c r="E16" s="34"/>
      <c r="F16" s="34"/>
    </row>
    <row r="17" spans="1:8">
      <c r="A17" s="724" t="s">
        <v>100</v>
      </c>
      <c r="B17" s="724"/>
      <c r="C17" s="724"/>
      <c r="D17" s="724" t="s">
        <v>165</v>
      </c>
      <c r="E17" s="724"/>
      <c r="F17" s="724"/>
      <c r="G17" s="725" t="s">
        <v>192</v>
      </c>
      <c r="H17" s="725"/>
    </row>
  </sheetData>
  <sheetProtection formatRows="0" insertRows="0"/>
  <mergeCells count="12">
    <mergeCell ref="A17:C17"/>
    <mergeCell ref="G17:H17"/>
    <mergeCell ref="D17:F17"/>
    <mergeCell ref="A3:H3"/>
    <mergeCell ref="A8:B8"/>
    <mergeCell ref="A12:H12"/>
    <mergeCell ref="A14:B14"/>
    <mergeCell ref="A15:B15"/>
    <mergeCell ref="A4:H4"/>
    <mergeCell ref="A6:H6"/>
    <mergeCell ref="A9:H9"/>
    <mergeCell ref="A11:B11"/>
  </mergeCells>
  <dataValidations count="1">
    <dataValidation type="whole" operator="greaterThanOrEqual" allowBlank="1" showErrorMessage="1" errorTitle="SOLO NUMEROS ENTEROS" error="SOLO NUMEROS ENTEROS" sqref="F7 F10 C7:D7 C10:D10 C13:D13 F13" xr:uid="{092C287A-75A9-44BE-841E-7BB34F5AD363}">
      <formula1>0</formula1>
    </dataValidation>
  </dataValidations>
  <printOptions gridLines="1"/>
  <pageMargins left="0.23622047244094491" right="0.23622047244094491" top="0.74803149606299213" bottom="0.74803149606299213" header="0.31496062992125984" footer="0.31496062992125984"/>
  <pageSetup scale="64" fitToHeight="0" orientation="landscape" horizontalDpi="4294967294" verticalDpi="4294967294" r:id="rId1"/>
  <ignoredErrors>
    <ignoredError sqref="E8:G8 E13 F14:G14 F15 E14 E16:G16 E15 E7 G13" unlockedFormula="1"/>
  </ignoredError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7FC13-D3E3-D84F-A494-5ECCAEE975E7}">
  <sheetPr>
    <tabColor theme="3" tint="0.59999389629810485"/>
  </sheetPr>
  <dimension ref="A3:K29"/>
  <sheetViews>
    <sheetView showGridLines="0" view="pageBreakPreview" topLeftCell="A19" zoomScaleNormal="100" zoomScaleSheetLayoutView="100" workbookViewId="0">
      <selection activeCell="G24" sqref="E24:G25"/>
    </sheetView>
  </sheetViews>
  <sheetFormatPr baseColWidth="10" defaultColWidth="11.42578125" defaultRowHeight="12.75"/>
  <cols>
    <col min="1" max="1" width="25.140625" style="30" customWidth="1"/>
    <col min="2" max="2" width="29.140625" style="30" customWidth="1"/>
    <col min="3" max="3" width="20" style="30" customWidth="1"/>
    <col min="4" max="4" width="21.7109375" style="30" bestFit="1" customWidth="1"/>
    <col min="5" max="5" width="23.42578125" style="30" bestFit="1" customWidth="1"/>
    <col min="6" max="6" width="21.42578125" style="30" customWidth="1"/>
    <col min="7" max="7" width="27.42578125" style="30" bestFit="1" customWidth="1"/>
    <col min="8" max="8" width="27.42578125" style="473" customWidth="1"/>
    <col min="9" max="9" width="11.42578125" style="30"/>
    <col min="10" max="10" width="6.85546875" style="30" customWidth="1"/>
    <col min="11" max="11" width="9.42578125" style="30" customWidth="1"/>
    <col min="12" max="16384" width="11.42578125" style="30"/>
  </cols>
  <sheetData>
    <row r="3" spans="1:11" ht="19.5" customHeight="1">
      <c r="A3" s="794" t="s">
        <v>254</v>
      </c>
      <c r="B3" s="794"/>
      <c r="C3" s="794"/>
      <c r="D3" s="794"/>
      <c r="E3" s="794"/>
      <c r="F3" s="794"/>
      <c r="G3" s="794"/>
      <c r="H3" s="794"/>
      <c r="I3" s="1"/>
    </row>
    <row r="4" spans="1:11" ht="48.95" customHeight="1">
      <c r="A4" s="87" t="s">
        <v>168</v>
      </c>
      <c r="B4" s="87" t="s">
        <v>138</v>
      </c>
      <c r="C4" s="87" t="s">
        <v>153</v>
      </c>
      <c r="D4" s="87" t="s">
        <v>154</v>
      </c>
      <c r="E4" s="87" t="s">
        <v>155</v>
      </c>
      <c r="F4" s="87" t="s">
        <v>141</v>
      </c>
      <c r="G4" s="87" t="s">
        <v>156</v>
      </c>
      <c r="H4" s="87" t="s">
        <v>255</v>
      </c>
      <c r="I4" s="1"/>
    </row>
    <row r="5" spans="1:11" ht="16.5" thickBot="1">
      <c r="A5" s="795" t="s">
        <v>256</v>
      </c>
      <c r="B5" s="795"/>
      <c r="C5" s="795"/>
      <c r="D5" s="795"/>
      <c r="E5" s="795"/>
      <c r="F5" s="795"/>
      <c r="G5" s="795"/>
      <c r="H5" s="795"/>
      <c r="I5" s="1"/>
      <c r="J5" s="32" t="s">
        <v>7</v>
      </c>
      <c r="K5" s="33">
        <f>'PRESUPUESTO T+1 '!B12</f>
        <v>0.03</v>
      </c>
    </row>
    <row r="6" spans="1:11" ht="33" customHeight="1" thickTop="1">
      <c r="A6" s="201" t="s">
        <v>334</v>
      </c>
      <c r="B6" s="396" t="s">
        <v>333</v>
      </c>
      <c r="C6" s="244">
        <v>12</v>
      </c>
      <c r="D6" s="203">
        <v>166666667</v>
      </c>
      <c r="E6" s="204">
        <v>166666667</v>
      </c>
      <c r="F6" s="245">
        <v>12</v>
      </c>
      <c r="G6" s="204">
        <v>2000000004</v>
      </c>
      <c r="H6" s="394" t="s">
        <v>332</v>
      </c>
      <c r="I6" s="395"/>
      <c r="J6" s="35"/>
      <c r="K6" s="36"/>
    </row>
    <row r="7" spans="1:11" ht="33" customHeight="1">
      <c r="A7" s="201" t="s">
        <v>334</v>
      </c>
      <c r="B7" s="461" t="s">
        <v>393</v>
      </c>
      <c r="C7" s="461"/>
      <c r="D7" s="462"/>
      <c r="E7" s="463">
        <v>70000000</v>
      </c>
      <c r="F7" s="464">
        <v>1</v>
      </c>
      <c r="G7" s="464">
        <v>72100000</v>
      </c>
      <c r="H7" s="468" t="s">
        <v>394</v>
      </c>
      <c r="I7" s="395"/>
      <c r="J7" s="35"/>
      <c r="K7" s="36"/>
    </row>
    <row r="8" spans="1:11" ht="33" customHeight="1">
      <c r="A8" s="201" t="s">
        <v>334</v>
      </c>
      <c r="B8" s="461" t="s">
        <v>395</v>
      </c>
      <c r="C8" s="461"/>
      <c r="D8" s="462"/>
      <c r="E8" s="463">
        <v>31080000</v>
      </c>
      <c r="F8" s="464">
        <v>1</v>
      </c>
      <c r="G8" s="464">
        <v>32012400</v>
      </c>
      <c r="H8" s="468" t="s">
        <v>396</v>
      </c>
      <c r="I8" s="395"/>
      <c r="J8" s="35"/>
      <c r="K8" s="36"/>
    </row>
    <row r="9" spans="1:11" ht="15" customHeight="1">
      <c r="A9" s="201"/>
      <c r="B9" s="202"/>
      <c r="C9" s="244"/>
      <c r="D9" s="203"/>
      <c r="E9" s="204"/>
      <c r="F9" s="245"/>
      <c r="G9" s="204"/>
      <c r="H9" s="394"/>
      <c r="I9" s="1"/>
    </row>
    <row r="10" spans="1:11" ht="15" customHeight="1">
      <c r="A10" s="201"/>
      <c r="B10" s="202"/>
      <c r="C10" s="244"/>
      <c r="D10" s="203"/>
      <c r="E10" s="204"/>
      <c r="F10" s="245"/>
      <c r="G10" s="204"/>
      <c r="H10" s="394"/>
      <c r="I10" s="1"/>
    </row>
    <row r="11" spans="1:11" ht="15" customHeight="1">
      <c r="A11" s="789" t="s">
        <v>145</v>
      </c>
      <c r="B11" s="789"/>
      <c r="C11" s="205"/>
      <c r="D11" s="206"/>
      <c r="E11" s="207">
        <f>SUM(E6:E10)</f>
        <v>267746667</v>
      </c>
      <c r="F11" s="208"/>
      <c r="G11" s="207">
        <f>SUM(G6:G10)</f>
        <v>2104112404</v>
      </c>
      <c r="H11" s="469"/>
      <c r="I11" s="1"/>
    </row>
    <row r="12" spans="1:11" ht="15" customHeight="1">
      <c r="A12" s="788" t="s">
        <v>257</v>
      </c>
      <c r="B12" s="788"/>
      <c r="C12" s="788"/>
      <c r="D12" s="788"/>
      <c r="E12" s="788"/>
      <c r="F12" s="788"/>
      <c r="G12" s="788"/>
      <c r="H12" s="788"/>
      <c r="I12" s="1"/>
    </row>
    <row r="13" spans="1:11" ht="49.5">
      <c r="A13" s="201" t="s">
        <v>334</v>
      </c>
      <c r="B13" s="465" t="s">
        <v>397</v>
      </c>
      <c r="C13" s="466"/>
      <c r="D13" s="463"/>
      <c r="E13" s="463">
        <v>1000000</v>
      </c>
      <c r="F13" s="464">
        <v>1</v>
      </c>
      <c r="G13" s="464">
        <v>1030000</v>
      </c>
      <c r="H13" s="467" t="s">
        <v>398</v>
      </c>
      <c r="I13" s="1"/>
      <c r="J13" s="35"/>
      <c r="K13" s="36"/>
    </row>
    <row r="14" spans="1:11" ht="15" customHeight="1">
      <c r="A14" s="201" t="s">
        <v>334</v>
      </c>
      <c r="B14" s="465" t="s">
        <v>399</v>
      </c>
      <c r="C14" s="466"/>
      <c r="D14" s="463"/>
      <c r="E14" s="463">
        <v>40000000</v>
      </c>
      <c r="F14" s="464">
        <v>1</v>
      </c>
      <c r="G14" s="464">
        <v>41200000</v>
      </c>
      <c r="H14" s="467" t="s">
        <v>398</v>
      </c>
      <c r="I14" s="1"/>
    </row>
    <row r="15" spans="1:11" ht="15" customHeight="1">
      <c r="A15" s="210"/>
      <c r="B15" s="211"/>
      <c r="C15" s="246"/>
      <c r="D15" s="204"/>
      <c r="E15" s="204"/>
      <c r="F15" s="245"/>
      <c r="G15" s="204"/>
      <c r="H15" s="212"/>
      <c r="I15" s="1"/>
    </row>
    <row r="16" spans="1:11" ht="15" customHeight="1">
      <c r="A16" s="789" t="s">
        <v>145</v>
      </c>
      <c r="B16" s="789"/>
      <c r="C16" s="205"/>
      <c r="D16" s="206"/>
      <c r="E16" s="213">
        <f>SUM(E13:E15)</f>
        <v>41000000</v>
      </c>
      <c r="F16" s="209"/>
      <c r="G16" s="213">
        <f>SUM(G13:G15)</f>
        <v>42230000</v>
      </c>
      <c r="H16" s="469"/>
      <c r="I16" s="1"/>
    </row>
    <row r="17" spans="1:9" ht="15" customHeight="1">
      <c r="A17" s="788" t="s">
        <v>258</v>
      </c>
      <c r="B17" s="788"/>
      <c r="C17" s="788"/>
      <c r="D17" s="788"/>
      <c r="E17" s="788"/>
      <c r="F17" s="788"/>
      <c r="G17" s="788"/>
      <c r="H17" s="788"/>
      <c r="I17" s="1"/>
    </row>
    <row r="18" spans="1:9" ht="34.5" customHeight="1">
      <c r="A18" s="201" t="s">
        <v>334</v>
      </c>
      <c r="B18" s="211" t="s">
        <v>335</v>
      </c>
      <c r="C18" s="247"/>
      <c r="D18" s="214"/>
      <c r="E18" s="204">
        <v>3524246057</v>
      </c>
      <c r="F18" s="245"/>
      <c r="G18" s="245">
        <v>3524246057</v>
      </c>
      <c r="H18" s="212"/>
      <c r="I18" s="1"/>
    </row>
    <row r="19" spans="1:9" ht="16.5">
      <c r="A19" s="201"/>
      <c r="B19" s="211"/>
      <c r="C19" s="247"/>
      <c r="D19" s="214"/>
      <c r="E19" s="204"/>
      <c r="F19" s="245"/>
      <c r="G19" s="204"/>
      <c r="H19" s="212"/>
      <c r="I19" s="1"/>
    </row>
    <row r="20" spans="1:9" ht="16.5">
      <c r="A20" s="201"/>
      <c r="B20" s="211"/>
      <c r="C20" s="247"/>
      <c r="D20" s="214"/>
      <c r="E20" s="204"/>
      <c r="F20" s="245"/>
      <c r="G20" s="204"/>
      <c r="H20" s="212"/>
      <c r="I20" s="1"/>
    </row>
    <row r="21" spans="1:9" ht="16.5">
      <c r="A21" s="789" t="s">
        <v>145</v>
      </c>
      <c r="B21" s="789"/>
      <c r="C21" s="205"/>
      <c r="D21" s="206"/>
      <c r="E21" s="216">
        <f>SUM(E18:E20)</f>
        <v>3524246057</v>
      </c>
      <c r="F21" s="215"/>
      <c r="G21" s="216">
        <f>SUM(G18:G20)</f>
        <v>3524246057</v>
      </c>
      <c r="H21" s="470"/>
      <c r="I21" s="1"/>
    </row>
    <row r="22" spans="1:9" ht="15.75">
      <c r="A22" s="788" t="s">
        <v>259</v>
      </c>
      <c r="B22" s="788"/>
      <c r="C22" s="788"/>
      <c r="D22" s="788"/>
      <c r="E22" s="788"/>
      <c r="F22" s="788"/>
      <c r="G22" s="788"/>
      <c r="H22" s="788"/>
      <c r="I22" s="1"/>
    </row>
    <row r="23" spans="1:9" ht="16.5">
      <c r="A23" s="201" t="s">
        <v>334</v>
      </c>
      <c r="B23" s="201" t="s">
        <v>400</v>
      </c>
      <c r="C23" s="248"/>
      <c r="D23" s="214"/>
      <c r="E23" s="204">
        <v>54600000</v>
      </c>
      <c r="F23" s="245">
        <v>1</v>
      </c>
      <c r="G23" s="204">
        <v>56238000</v>
      </c>
      <c r="H23" s="212"/>
      <c r="I23" s="1"/>
    </row>
    <row r="24" spans="1:9" ht="16.5">
      <c r="A24" s="201"/>
      <c r="B24" s="201"/>
      <c r="C24" s="248"/>
      <c r="D24" s="214"/>
      <c r="E24" s="204"/>
      <c r="F24" s="245"/>
      <c r="G24" s="204"/>
      <c r="H24" s="212"/>
      <c r="I24" s="1"/>
    </row>
    <row r="25" spans="1:9" ht="16.5">
      <c r="A25" s="201"/>
      <c r="B25" s="201"/>
      <c r="C25" s="248"/>
      <c r="D25" s="214"/>
      <c r="E25" s="204"/>
      <c r="F25" s="245"/>
      <c r="G25" s="204"/>
      <c r="H25" s="212"/>
      <c r="I25" s="1"/>
    </row>
    <row r="26" spans="1:9" ht="16.5">
      <c r="A26" s="205" t="s">
        <v>162</v>
      </c>
      <c r="B26" s="205"/>
      <c r="C26" s="205"/>
      <c r="D26" s="206"/>
      <c r="E26" s="213">
        <f>SUM(E23:E25)</f>
        <v>54600000</v>
      </c>
      <c r="F26" s="209"/>
      <c r="G26" s="213">
        <f>SUM(G23:G25)</f>
        <v>56238000</v>
      </c>
      <c r="H26" s="469"/>
      <c r="I26" s="1"/>
    </row>
    <row r="27" spans="1:9" ht="16.5">
      <c r="A27" s="790" t="s">
        <v>260</v>
      </c>
      <c r="B27" s="790"/>
      <c r="C27" s="217"/>
      <c r="D27" s="217"/>
      <c r="E27" s="217"/>
      <c r="F27" s="217"/>
      <c r="G27" s="218">
        <f>G11+G16+G21+G26</f>
        <v>5726826461</v>
      </c>
      <c r="H27" s="471"/>
      <c r="I27" s="3"/>
    </row>
    <row r="28" spans="1:9" ht="16.5">
      <c r="A28" s="5"/>
      <c r="B28" s="5"/>
      <c r="C28" s="5"/>
      <c r="D28" s="5"/>
      <c r="E28" s="6"/>
      <c r="F28" s="6"/>
      <c r="G28" s="5"/>
      <c r="H28" s="472"/>
      <c r="I28" s="1"/>
    </row>
    <row r="29" spans="1:9" ht="15">
      <c r="A29" s="791" t="s">
        <v>100</v>
      </c>
      <c r="B29" s="791"/>
      <c r="C29" s="791"/>
      <c r="D29" s="792" t="s">
        <v>165</v>
      </c>
      <c r="E29" s="792"/>
      <c r="F29" s="792"/>
      <c r="G29" s="793" t="s">
        <v>192</v>
      </c>
      <c r="H29" s="793"/>
      <c r="I29" s="1"/>
    </row>
  </sheetData>
  <sheetProtection formatRows="0" insertRows="0"/>
  <mergeCells count="12">
    <mergeCell ref="A3:H3"/>
    <mergeCell ref="A5:H5"/>
    <mergeCell ref="A11:B11"/>
    <mergeCell ref="A12:H12"/>
    <mergeCell ref="A16:B16"/>
    <mergeCell ref="A17:H17"/>
    <mergeCell ref="A21:B21"/>
    <mergeCell ref="A22:H22"/>
    <mergeCell ref="A27:B27"/>
    <mergeCell ref="A29:C29"/>
    <mergeCell ref="D29:F29"/>
    <mergeCell ref="G29:H29"/>
  </mergeCells>
  <dataValidations count="1">
    <dataValidation type="whole" operator="greaterThanOrEqual" allowBlank="1" showErrorMessage="1" errorTitle="SOLO NUMEROS ENTEROS" error="SOLO NUMEROS ENTEROS" sqref="F6:F10 F13:F15 F18:F20 F23:F25 C23:D25 C13:D15 C18:D20 C6:D10 G18" xr:uid="{B916CAEC-2EAD-472D-9E55-72AF65F4F460}">
      <formula1>0</formula1>
    </dataValidation>
  </dataValidations>
  <printOptions gridLines="1"/>
  <pageMargins left="0.23622047244094491" right="0.23622047244094491" top="0.74803149606299213" bottom="0.74803149606299213" header="0.31496062992125984" footer="0.31496062992125984"/>
  <pageSetup scale="64" fitToHeight="0" orientation="landscape" horizontalDpi="4294967294" verticalDpi="4294967294"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9ED99-DF06-45A0-BF5B-C28C33D0FB50}">
  <sheetPr>
    <tabColor theme="8" tint="-0.249977111117893"/>
  </sheetPr>
  <dimension ref="A1:K17"/>
  <sheetViews>
    <sheetView showGridLines="0" view="pageBreakPreview" topLeftCell="A6" zoomScaleNormal="100" zoomScaleSheetLayoutView="100" workbookViewId="0">
      <selection activeCell="G12" sqref="E12:G13"/>
    </sheetView>
  </sheetViews>
  <sheetFormatPr baseColWidth="10" defaultColWidth="11.42578125" defaultRowHeight="12.75"/>
  <cols>
    <col min="1" max="1" width="25.140625" style="30" customWidth="1"/>
    <col min="2" max="2" width="29.140625" style="30" customWidth="1"/>
    <col min="3" max="3" width="20" style="30" customWidth="1"/>
    <col min="4" max="4" width="21.7109375" style="30" bestFit="1" customWidth="1"/>
    <col min="5" max="5" width="23.42578125" style="30" bestFit="1" customWidth="1"/>
    <col min="6" max="6" width="21.42578125" style="30" customWidth="1"/>
    <col min="7" max="7" width="27.42578125" style="30" bestFit="1" customWidth="1"/>
    <col min="8" max="8" width="27.42578125" style="30" customWidth="1"/>
    <col min="9" max="9" width="11.42578125" style="30"/>
    <col min="10" max="10" width="6.85546875" style="30" customWidth="1"/>
    <col min="11" max="11" width="9.42578125" style="30" customWidth="1"/>
    <col min="12" max="16384" width="11.42578125" style="30"/>
  </cols>
  <sheetData>
    <row r="1" spans="1:11">
      <c r="I1" s="8"/>
      <c r="J1" s="8"/>
      <c r="K1" s="8"/>
    </row>
    <row r="2" spans="1:11">
      <c r="I2" s="8"/>
      <c r="J2" s="8"/>
      <c r="K2" s="8"/>
    </row>
    <row r="3" spans="1:11" ht="19.5" customHeight="1">
      <c r="A3" s="783" t="s">
        <v>261</v>
      </c>
      <c r="B3" s="783"/>
      <c r="C3" s="783"/>
      <c r="D3" s="783"/>
      <c r="E3" s="783"/>
      <c r="F3" s="783"/>
      <c r="G3" s="783"/>
      <c r="H3" s="783"/>
      <c r="I3" s="8"/>
      <c r="J3" s="8"/>
      <c r="K3" s="8"/>
    </row>
    <row r="4" spans="1:11" ht="31.5" customHeight="1">
      <c r="A4" s="85" t="s">
        <v>168</v>
      </c>
      <c r="B4" s="85" t="s">
        <v>138</v>
      </c>
      <c r="C4" s="85" t="s">
        <v>153</v>
      </c>
      <c r="D4" s="85" t="s">
        <v>154</v>
      </c>
      <c r="E4" s="85" t="s">
        <v>155</v>
      </c>
      <c r="F4" s="85" t="s">
        <v>141</v>
      </c>
      <c r="G4" s="85" t="s">
        <v>156</v>
      </c>
      <c r="H4" s="97" t="s">
        <v>157</v>
      </c>
      <c r="I4" s="8"/>
      <c r="J4" s="8"/>
      <c r="K4" s="8"/>
    </row>
    <row r="5" spans="1:11" ht="13.5" thickBot="1">
      <c r="A5" s="688" t="s">
        <v>262</v>
      </c>
      <c r="B5" s="688"/>
      <c r="C5" s="688"/>
      <c r="D5" s="688"/>
      <c r="E5" s="688"/>
      <c r="F5" s="688"/>
      <c r="G5" s="688"/>
      <c r="H5" s="729"/>
      <c r="I5" s="8"/>
      <c r="J5" s="32" t="s">
        <v>7</v>
      </c>
      <c r="K5" s="33">
        <f>'PRESUPUESTO T+1 '!B12</f>
        <v>0.03</v>
      </c>
    </row>
    <row r="6" spans="1:11" ht="33" customHeight="1" thickTop="1">
      <c r="A6" s="151" t="s">
        <v>312</v>
      </c>
      <c r="B6" s="152" t="s">
        <v>442</v>
      </c>
      <c r="C6" s="239">
        <v>1</v>
      </c>
      <c r="D6" s="153">
        <v>3304091967</v>
      </c>
      <c r="E6" s="153">
        <v>3304091967</v>
      </c>
      <c r="F6" s="238">
        <v>1</v>
      </c>
      <c r="G6" s="153">
        <f>(E6*F6)*(1+$K$5)</f>
        <v>3403214726.0100002</v>
      </c>
      <c r="H6" s="155"/>
      <c r="I6" s="8"/>
      <c r="J6" s="35"/>
      <c r="K6" s="36"/>
    </row>
    <row r="7" spans="1:11" ht="15" customHeight="1">
      <c r="A7" s="151"/>
      <c r="B7" s="152"/>
      <c r="C7" s="239"/>
      <c r="D7" s="153"/>
      <c r="E7" s="153"/>
      <c r="F7" s="238"/>
      <c r="G7" s="153"/>
      <c r="H7" s="155"/>
      <c r="I7" s="8"/>
      <c r="J7" s="8"/>
      <c r="K7" s="8"/>
    </row>
    <row r="8" spans="1:11" ht="15" customHeight="1">
      <c r="A8" s="151"/>
      <c r="B8" s="152"/>
      <c r="C8" s="239"/>
      <c r="D8" s="153"/>
      <c r="E8" s="153"/>
      <c r="F8" s="238"/>
      <c r="G8" s="153"/>
      <c r="H8" s="155"/>
      <c r="I8" s="8"/>
      <c r="J8" s="8"/>
      <c r="K8" s="8"/>
    </row>
    <row r="9" spans="1:11" ht="15" customHeight="1">
      <c r="A9" s="730" t="s">
        <v>145</v>
      </c>
      <c r="B9" s="731"/>
      <c r="C9" s="156"/>
      <c r="D9" s="157"/>
      <c r="E9" s="158">
        <f>SUM(E6:E8)</f>
        <v>3304091967</v>
      </c>
      <c r="F9" s="159"/>
      <c r="G9" s="158">
        <f>SUM(G6:G8)</f>
        <v>3403214726.0100002</v>
      </c>
      <c r="H9" s="160"/>
      <c r="I9" s="8"/>
      <c r="J9" s="8"/>
      <c r="K9" s="8"/>
    </row>
    <row r="10" spans="1:11" ht="15" customHeight="1">
      <c r="A10" s="732" t="s">
        <v>263</v>
      </c>
      <c r="B10" s="732"/>
      <c r="C10" s="732"/>
      <c r="D10" s="732"/>
      <c r="E10" s="732"/>
      <c r="F10" s="732"/>
      <c r="G10" s="732"/>
      <c r="H10" s="733"/>
      <c r="I10" s="8"/>
      <c r="J10" s="8"/>
      <c r="K10" s="8"/>
    </row>
    <row r="11" spans="1:11" ht="36" customHeight="1">
      <c r="A11" s="501" t="s">
        <v>312</v>
      </c>
      <c r="B11" s="502" t="s">
        <v>423</v>
      </c>
      <c r="C11" s="240">
        <v>1</v>
      </c>
      <c r="D11" s="162">
        <v>19625331521</v>
      </c>
      <c r="E11" s="153">
        <f>(+D11*C11)</f>
        <v>19625331521</v>
      </c>
      <c r="F11" s="238">
        <v>1</v>
      </c>
      <c r="G11" s="153">
        <f>(E11*F11)*(1+$K$5)</f>
        <v>20214091466.630001</v>
      </c>
      <c r="H11" s="155"/>
      <c r="I11" s="8"/>
      <c r="J11" s="35"/>
      <c r="K11" s="36"/>
    </row>
    <row r="12" spans="1:11" ht="15" customHeight="1">
      <c r="A12" s="161"/>
      <c r="B12" s="152"/>
      <c r="C12" s="240"/>
      <c r="D12" s="162"/>
      <c r="E12" s="153"/>
      <c r="F12" s="238"/>
      <c r="G12" s="153"/>
      <c r="H12" s="155"/>
      <c r="I12" s="8"/>
      <c r="J12" s="8"/>
      <c r="K12" s="8"/>
    </row>
    <row r="13" spans="1:11" ht="15" customHeight="1">
      <c r="A13" s="161"/>
      <c r="B13" s="152"/>
      <c r="C13" s="240"/>
      <c r="D13" s="162"/>
      <c r="E13" s="153"/>
      <c r="F13" s="238"/>
      <c r="G13" s="153"/>
      <c r="H13" s="155"/>
      <c r="I13" s="8"/>
      <c r="J13" s="8"/>
      <c r="K13" s="8"/>
    </row>
    <row r="14" spans="1:11" ht="15" customHeight="1" thickBot="1">
      <c r="A14" s="730" t="s">
        <v>145</v>
      </c>
      <c r="B14" s="731"/>
      <c r="C14" s="156"/>
      <c r="D14" s="157"/>
      <c r="E14" s="163">
        <f>SUM(E11:E13)</f>
        <v>19625331521</v>
      </c>
      <c r="F14" s="164"/>
      <c r="G14" s="163">
        <f>SUM(G11:G13)</f>
        <v>20214091466.630001</v>
      </c>
      <c r="H14" s="165"/>
      <c r="I14" s="8"/>
      <c r="J14" s="8"/>
      <c r="K14" s="8"/>
    </row>
    <row r="15" spans="1:11" ht="29.25" customHeight="1" thickBot="1">
      <c r="A15" s="726" t="s">
        <v>264</v>
      </c>
      <c r="B15" s="727"/>
      <c r="C15" s="166"/>
      <c r="D15" s="166"/>
      <c r="E15" s="167">
        <f>+E9+E14</f>
        <v>22929423488</v>
      </c>
      <c r="F15" s="166"/>
      <c r="G15" s="167">
        <f>+G9+G14</f>
        <v>23617306192.639999</v>
      </c>
      <c r="H15" s="166"/>
      <c r="I15" s="8"/>
      <c r="J15" s="8"/>
      <c r="K15" s="8"/>
    </row>
    <row r="16" spans="1:11" ht="34.5" customHeight="1">
      <c r="E16" s="34"/>
      <c r="F16" s="34"/>
      <c r="I16" s="8"/>
      <c r="J16" s="8"/>
      <c r="K16" s="8"/>
    </row>
    <row r="17" spans="1:11">
      <c r="A17" s="724" t="s">
        <v>100</v>
      </c>
      <c r="B17" s="724"/>
      <c r="C17" s="724"/>
      <c r="D17" s="724" t="s">
        <v>165</v>
      </c>
      <c r="E17" s="724"/>
      <c r="F17" s="724"/>
      <c r="G17" s="725" t="s">
        <v>166</v>
      </c>
      <c r="H17" s="725"/>
      <c r="I17" s="8"/>
      <c r="J17" s="8"/>
      <c r="K17" s="8"/>
    </row>
  </sheetData>
  <sheetProtection formatRows="0" insertRows="0"/>
  <mergeCells count="9">
    <mergeCell ref="A15:B15"/>
    <mergeCell ref="A17:C17"/>
    <mergeCell ref="D17:F17"/>
    <mergeCell ref="G17:H17"/>
    <mergeCell ref="A3:H3"/>
    <mergeCell ref="A5:H5"/>
    <mergeCell ref="A9:B9"/>
    <mergeCell ref="A10:H10"/>
    <mergeCell ref="A14:B14"/>
  </mergeCells>
  <dataValidations count="1">
    <dataValidation type="whole" operator="greaterThanOrEqual" allowBlank="1" showErrorMessage="1" errorTitle="SOLO NUMEROS ENTEROS" error="SOLO NUMEROS ENTEROS" sqref="F6:F8 F11:F13 C6:D8 C11:D13" xr:uid="{8D19B248-E830-4531-9A49-26662C898213}">
      <formula1>0</formula1>
    </dataValidation>
  </dataValidations>
  <pageMargins left="0.7" right="0.7" top="0.75" bottom="0.75" header="0.3" footer="0.3"/>
  <pageSetup paperSize="41" scale="40"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801FA-07CE-42EE-A641-C01D5FA2734D}">
  <sheetPr>
    <tabColor theme="4" tint="-0.249977111117893"/>
  </sheetPr>
  <dimension ref="A1:H12"/>
  <sheetViews>
    <sheetView showGridLines="0" view="pageBreakPreview" topLeftCell="A3" zoomScaleNormal="100" zoomScaleSheetLayoutView="100" workbookViewId="0">
      <pane ySplit="2" topLeftCell="A8" activePane="bottomLeft" state="frozen"/>
      <selection activeCell="A3" sqref="A3"/>
      <selection pane="bottomLeft" activeCell="D8" sqref="D8"/>
    </sheetView>
  </sheetViews>
  <sheetFormatPr baseColWidth="10" defaultColWidth="11.42578125" defaultRowHeight="12.75"/>
  <cols>
    <col min="1" max="1" width="33" style="4" customWidth="1"/>
    <col min="2" max="2" width="36.42578125" style="4" customWidth="1"/>
    <col min="3" max="3" width="18" style="4" customWidth="1"/>
    <col min="4" max="4" width="18.140625" style="4" customWidth="1"/>
    <col min="5" max="5" width="23.5703125" style="4" customWidth="1"/>
    <col min="6" max="16384" width="11.42578125" style="4"/>
  </cols>
  <sheetData>
    <row r="1" spans="1:8">
      <c r="A1" s="4" t="s">
        <v>265</v>
      </c>
    </row>
    <row r="3" spans="1:8" ht="22.5" customHeight="1">
      <c r="A3" s="798" t="s">
        <v>97</v>
      </c>
      <c r="B3" s="798"/>
      <c r="C3" s="798"/>
      <c r="D3" s="798"/>
      <c r="E3" s="798"/>
    </row>
    <row r="4" spans="1:8" ht="39" thickBot="1">
      <c r="A4" s="38" t="s">
        <v>266</v>
      </c>
      <c r="B4" s="38" t="s">
        <v>267</v>
      </c>
      <c r="C4" s="38" t="s">
        <v>142</v>
      </c>
      <c r="D4" s="38" t="s">
        <v>156</v>
      </c>
      <c r="E4" s="38" t="s">
        <v>157</v>
      </c>
      <c r="G4" s="88" t="s">
        <v>268</v>
      </c>
      <c r="H4" s="89">
        <f>'PRESUPUESTO T+1 '!B12</f>
        <v>0.03</v>
      </c>
    </row>
    <row r="5" spans="1:8" ht="13.5" thickTop="1">
      <c r="A5" s="799"/>
      <c r="B5" s="799"/>
      <c r="C5" s="799"/>
      <c r="D5" s="799"/>
      <c r="E5" s="799"/>
    </row>
    <row r="6" spans="1:8" ht="60.75" thickBot="1">
      <c r="A6" s="669" t="s">
        <v>466</v>
      </c>
      <c r="B6" s="670"/>
      <c r="C6" s="398"/>
      <c r="D6" s="670">
        <v>4627882951</v>
      </c>
      <c r="E6" s="397"/>
    </row>
    <row r="7" spans="1:8" ht="60.75" thickBot="1">
      <c r="A7" s="671" t="s">
        <v>464</v>
      </c>
      <c r="B7" s="670"/>
      <c r="C7" s="398"/>
      <c r="D7" s="670">
        <v>9941164905</v>
      </c>
      <c r="E7" s="397"/>
    </row>
    <row r="8" spans="1:8" ht="105.75" thickBot="1">
      <c r="A8" s="669" t="s">
        <v>465</v>
      </c>
      <c r="B8" s="670"/>
      <c r="C8" s="398"/>
      <c r="D8" s="670">
        <v>62077369649</v>
      </c>
      <c r="E8" s="397"/>
    </row>
    <row r="9" spans="1:8">
      <c r="A9" s="219" t="s">
        <v>162</v>
      </c>
      <c r="B9" s="220"/>
      <c r="C9" s="221">
        <f>SUM(C6:C8)</f>
        <v>0</v>
      </c>
      <c r="D9" s="221">
        <f>SUM(D6:D8)</f>
        <v>76646417505</v>
      </c>
      <c r="E9" s="222"/>
    </row>
    <row r="10" spans="1:8">
      <c r="A10" s="800" t="s">
        <v>269</v>
      </c>
      <c r="B10" s="800"/>
      <c r="C10" s="223">
        <f>+C9</f>
        <v>0</v>
      </c>
      <c r="D10" s="223">
        <f>+D9</f>
        <v>76646417505</v>
      </c>
      <c r="E10" s="224"/>
    </row>
    <row r="12" spans="1:8">
      <c r="A12" s="48" t="s">
        <v>100</v>
      </c>
      <c r="B12" s="797" t="s">
        <v>165</v>
      </c>
      <c r="C12" s="797"/>
      <c r="D12" s="796" t="s">
        <v>270</v>
      </c>
      <c r="E12" s="796"/>
    </row>
  </sheetData>
  <sheetProtection formatRows="0" insertRows="0"/>
  <mergeCells count="5">
    <mergeCell ref="D12:E12"/>
    <mergeCell ref="B12:C12"/>
    <mergeCell ref="A3:E3"/>
    <mergeCell ref="A5:E5"/>
    <mergeCell ref="A10:B10"/>
  </mergeCells>
  <dataValidations count="1">
    <dataValidation type="whole" operator="greaterThanOrEqual" allowBlank="1" showErrorMessage="1" errorTitle="SOLO NUMEROS ENTEROS" error="SOLO NUMEROS ENTEROS" sqref="C6:C8" xr:uid="{D19F6C10-0618-455E-AEBE-7A0A94F18357}">
      <formula1>0</formula1>
    </dataValidation>
  </dataValidations>
  <pageMargins left="0.70866141732283472" right="0.70866141732283472" top="0.74803149606299213" bottom="0.74803149606299213" header="0.31496062992125984" footer="0.31496062992125984"/>
  <pageSetup scale="72" orientation="landscape" horizontalDpi="4294967294" verticalDpi="4294967294"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00300-AAAB-4287-ADB5-EE321D112966}">
  <dimension ref="A1:B54"/>
  <sheetViews>
    <sheetView view="pageBreakPreview" topLeftCell="A3" zoomScaleNormal="100" zoomScaleSheetLayoutView="100" workbookViewId="0">
      <selection activeCell="A10" sqref="A10"/>
    </sheetView>
  </sheetViews>
  <sheetFormatPr baseColWidth="10" defaultColWidth="11.42578125" defaultRowHeight="15"/>
  <cols>
    <col min="1" max="1" width="45.140625" style="4" customWidth="1"/>
    <col min="2" max="2" width="75.140625" style="2" customWidth="1"/>
  </cols>
  <sheetData>
    <row r="1" spans="1:2" ht="18.75" customHeight="1">
      <c r="A1" s="801" t="s">
        <v>271</v>
      </c>
      <c r="B1" s="801"/>
    </row>
    <row r="2" spans="1:2" ht="29.25" customHeight="1">
      <c r="A2" s="7" t="s">
        <v>272</v>
      </c>
      <c r="B2" s="7" t="s">
        <v>138</v>
      </c>
    </row>
    <row r="3" spans="1:2" ht="54" customHeight="1">
      <c r="A3" s="804" t="s">
        <v>273</v>
      </c>
      <c r="B3" s="805"/>
    </row>
    <row r="4" spans="1:2" ht="59.25" customHeight="1">
      <c r="A4" s="76" t="s">
        <v>274</v>
      </c>
      <c r="B4" s="75" t="s">
        <v>275</v>
      </c>
    </row>
    <row r="5" spans="1:2" ht="50.1" customHeight="1">
      <c r="A5" s="76" t="s">
        <v>4</v>
      </c>
      <c r="B5" s="75" t="s">
        <v>276</v>
      </c>
    </row>
    <row r="6" spans="1:2" ht="58.5" customHeight="1">
      <c r="A6" s="49" t="s">
        <v>277</v>
      </c>
      <c r="B6" s="77" t="s">
        <v>278</v>
      </c>
    </row>
    <row r="7" spans="1:2" ht="15.75">
      <c r="A7" s="802" t="s">
        <v>6</v>
      </c>
      <c r="B7" s="803"/>
    </row>
    <row r="8" spans="1:2" ht="45">
      <c r="A8" s="72" t="s">
        <v>7</v>
      </c>
      <c r="B8" s="78" t="s">
        <v>279</v>
      </c>
    </row>
    <row r="9" spans="1:2" ht="45.75">
      <c r="A9" s="72" t="s">
        <v>280</v>
      </c>
      <c r="B9" s="79" t="s">
        <v>281</v>
      </c>
    </row>
    <row r="10" spans="1:2" ht="86.1" customHeight="1">
      <c r="A10" s="72" t="s">
        <v>282</v>
      </c>
      <c r="B10" s="73" t="s">
        <v>283</v>
      </c>
    </row>
    <row r="11" spans="1:2" ht="119.1" customHeight="1">
      <c r="A11" s="72" t="s">
        <v>284</v>
      </c>
      <c r="B11" s="74" t="s">
        <v>285</v>
      </c>
    </row>
    <row r="12" spans="1:2" ht="30">
      <c r="A12" s="72" t="s">
        <v>286</v>
      </c>
      <c r="B12" s="73" t="s">
        <v>287</v>
      </c>
    </row>
    <row r="13" spans="1:2" ht="36.950000000000003" customHeight="1">
      <c r="A13" s="72" t="s">
        <v>288</v>
      </c>
      <c r="B13" s="73" t="s">
        <v>289</v>
      </c>
    </row>
    <row r="14" spans="1:2" ht="75.75" customHeight="1">
      <c r="A14" s="72" t="s">
        <v>290</v>
      </c>
      <c r="B14" s="73" t="s">
        <v>291</v>
      </c>
    </row>
    <row r="15" spans="1:2" ht="57" customHeight="1">
      <c r="A15" s="72" t="s">
        <v>292</v>
      </c>
      <c r="B15" s="73" t="s">
        <v>293</v>
      </c>
    </row>
    <row r="16" spans="1:2" ht="83.1" customHeight="1">
      <c r="A16" s="72" t="s">
        <v>269</v>
      </c>
      <c r="B16" s="73" t="s">
        <v>294</v>
      </c>
    </row>
    <row r="17" spans="1:2" ht="31.5" customHeight="1">
      <c r="A17" s="49" t="s">
        <v>138</v>
      </c>
      <c r="B17" s="77" t="s">
        <v>295</v>
      </c>
    </row>
    <row r="18" spans="1:2" ht="49.5" customHeight="1">
      <c r="A18" s="49" t="s">
        <v>296</v>
      </c>
      <c r="B18" s="80" t="s">
        <v>297</v>
      </c>
    </row>
    <row r="19" spans="1:2" ht="99.75" customHeight="1">
      <c r="A19" s="49" t="s">
        <v>298</v>
      </c>
      <c r="B19" s="80" t="s">
        <v>299</v>
      </c>
    </row>
    <row r="20" spans="1:2" ht="52.5" customHeight="1">
      <c r="A20" s="81" t="s">
        <v>140</v>
      </c>
      <c r="B20" s="78" t="s">
        <v>300</v>
      </c>
    </row>
    <row r="21" spans="1:2" ht="117.95" customHeight="1">
      <c r="A21" s="49" t="s">
        <v>141</v>
      </c>
      <c r="B21" s="77" t="s">
        <v>301</v>
      </c>
    </row>
    <row r="22" spans="1:2" ht="52.5" customHeight="1">
      <c r="A22" s="49" t="s">
        <v>156</v>
      </c>
      <c r="B22" s="77" t="s">
        <v>302</v>
      </c>
    </row>
    <row r="23" spans="1:2" ht="99.95" customHeight="1">
      <c r="A23" s="49" t="s">
        <v>157</v>
      </c>
      <c r="B23" s="78" t="s">
        <v>303</v>
      </c>
    </row>
    <row r="24" spans="1:2" ht="99.95" customHeight="1">
      <c r="A24"/>
      <c r="B24"/>
    </row>
    <row r="25" spans="1:2" ht="99.95" customHeight="1"/>
    <row r="26" spans="1:2" ht="99.95" customHeight="1"/>
    <row r="27" spans="1:2" ht="99.95" customHeight="1"/>
    <row r="28" spans="1:2" ht="99.95" customHeight="1"/>
    <row r="29" spans="1:2" ht="99.95" customHeight="1"/>
    <row r="30" spans="1:2" ht="99.95" customHeight="1"/>
    <row r="31" spans="1:2" ht="99.95" customHeight="1"/>
    <row r="32" spans="1:2" ht="99.95" customHeight="1"/>
    <row r="33" ht="99.95" customHeight="1"/>
    <row r="34" ht="99.95" customHeight="1"/>
    <row r="35" ht="99.95" customHeight="1"/>
    <row r="36" ht="99.95" customHeight="1"/>
    <row r="37" ht="99.95" customHeight="1"/>
    <row r="38" ht="99.95" customHeight="1"/>
    <row r="39" ht="99.95" customHeight="1"/>
    <row r="40" ht="99.95" customHeight="1"/>
    <row r="41" ht="99.95" customHeight="1"/>
    <row r="42" ht="99.95" customHeight="1"/>
    <row r="43" ht="99.95" customHeight="1"/>
    <row r="44" ht="99.95" customHeight="1"/>
    <row r="45" ht="99.95" customHeight="1"/>
    <row r="46" ht="99.95" customHeight="1"/>
    <row r="52" ht="15.75" customHeight="1"/>
    <row r="53" ht="15" customHeight="1"/>
    <row r="54" ht="15" customHeight="1"/>
  </sheetData>
  <sheetProtection algorithmName="SHA-512" hashValue="QMv1vDqdHs9sAI9xYEAd4Z80Edm51dJoREXDz/rfFiCBE5QU32Piy4yB+mDq+lwG/dG8kNf1eivLRxxbfL69gA==" saltValue="sd7CEQsyimxZ/fmsu0XxbA==" spinCount="100000" sheet="1" objects="1" scenarios="1"/>
  <mergeCells count="3">
    <mergeCell ref="A1:B1"/>
    <mergeCell ref="A7:B7"/>
    <mergeCell ref="A3:B3"/>
  </mergeCells>
  <pageMargins left="0.7" right="0.7" top="0.75" bottom="0.75" header="0.3" footer="0.3"/>
  <pageSetup scale="57"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43A35-9735-41F7-8596-734240CF61BF}">
  <dimension ref="C4:C12"/>
  <sheetViews>
    <sheetView workbookViewId="0">
      <selection activeCell="C4" sqref="C4"/>
    </sheetView>
  </sheetViews>
  <sheetFormatPr baseColWidth="10" defaultColWidth="11.42578125" defaultRowHeight="15"/>
  <sheetData>
    <row r="4" spans="3:3">
      <c r="C4" t="s">
        <v>110</v>
      </c>
    </row>
    <row r="5" spans="3:3">
      <c r="C5" t="s">
        <v>111</v>
      </c>
    </row>
    <row r="6" spans="3:3">
      <c r="C6" t="s">
        <v>112</v>
      </c>
    </row>
    <row r="7" spans="3:3">
      <c r="C7" t="s">
        <v>113</v>
      </c>
    </row>
    <row r="8" spans="3:3">
      <c r="C8" t="s">
        <v>114</v>
      </c>
    </row>
    <row r="9" spans="3:3">
      <c r="C9" t="s">
        <v>115</v>
      </c>
    </row>
    <row r="10" spans="3:3">
      <c r="C10" t="s">
        <v>116</v>
      </c>
    </row>
    <row r="11" spans="3:3">
      <c r="C11" t="s">
        <v>117</v>
      </c>
    </row>
    <row r="12" spans="3:3">
      <c r="C12" t="s">
        <v>118</v>
      </c>
    </row>
  </sheetData>
  <pageMargins left="0.7" right="0.7" top="0.75" bottom="0.75" header="0.3" footer="0.3"/>
  <pageSetup paperSize="4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67D7-F956-4107-B5C6-B90177C5A9D7}">
  <sheetPr>
    <tabColor theme="4" tint="0.59999389629810485"/>
  </sheetPr>
  <dimension ref="A1:B43"/>
  <sheetViews>
    <sheetView showGridLines="0" view="pageBreakPreview" topLeftCell="A21" zoomScaleNormal="100" zoomScaleSheetLayoutView="100" zoomScalePageLayoutView="110" workbookViewId="0">
      <selection activeCell="B36" sqref="B36"/>
    </sheetView>
  </sheetViews>
  <sheetFormatPr baseColWidth="10" defaultColWidth="11.42578125" defaultRowHeight="12.75"/>
  <cols>
    <col min="1" max="1" width="54.140625" style="8" customWidth="1"/>
    <col min="2" max="2" width="18" style="8" customWidth="1"/>
    <col min="3" max="3" width="11.85546875" style="8" customWidth="1"/>
    <col min="4" max="16384" width="11.42578125" style="8"/>
  </cols>
  <sheetData>
    <row r="1" spans="1:2">
      <c r="A1" s="686" t="s">
        <v>119</v>
      </c>
      <c r="B1" s="687"/>
    </row>
    <row r="2" spans="1:2">
      <c r="A2" s="95" t="s">
        <v>120</v>
      </c>
      <c r="B2" s="95" t="s">
        <v>121</v>
      </c>
    </row>
    <row r="3" spans="1:2">
      <c r="A3" s="23" t="s">
        <v>122</v>
      </c>
      <c r="B3" s="112">
        <v>91051465232.084351</v>
      </c>
    </row>
    <row r="4" spans="1:2">
      <c r="A4" s="14" t="s">
        <v>123</v>
      </c>
      <c r="B4" s="113">
        <v>86752690387.412354</v>
      </c>
    </row>
    <row r="5" spans="1:2">
      <c r="A5" s="15" t="s">
        <v>15</v>
      </c>
      <c r="B5" s="114">
        <v>68774178737.334595</v>
      </c>
    </row>
    <row r="6" spans="1:2">
      <c r="A6" s="15" t="s">
        <v>16</v>
      </c>
      <c r="B6" s="114">
        <v>0</v>
      </c>
    </row>
    <row r="7" spans="1:2">
      <c r="A7" s="10" t="s">
        <v>17</v>
      </c>
      <c r="B7" s="115">
        <v>353918481.573888</v>
      </c>
    </row>
    <row r="8" spans="1:2">
      <c r="A8" s="10" t="s">
        <v>18</v>
      </c>
      <c r="B8" s="114">
        <v>226870056</v>
      </c>
    </row>
    <row r="9" spans="1:2">
      <c r="A9" s="10" t="s">
        <v>19</v>
      </c>
      <c r="B9" s="114">
        <v>235224000</v>
      </c>
    </row>
    <row r="10" spans="1:2">
      <c r="A10" s="10" t="s">
        <v>20</v>
      </c>
      <c r="B10" s="114">
        <v>4203775167.4662738</v>
      </c>
    </row>
    <row r="11" spans="1:2">
      <c r="A11" s="10" t="s">
        <v>21</v>
      </c>
      <c r="B11" s="114">
        <v>2425062018.3326769</v>
      </c>
    </row>
    <row r="12" spans="1:2">
      <c r="A12" s="10" t="s">
        <v>22</v>
      </c>
      <c r="B12" s="114">
        <v>0</v>
      </c>
    </row>
    <row r="13" spans="1:2">
      <c r="A13" s="10" t="s">
        <v>23</v>
      </c>
      <c r="B13" s="114">
        <v>6675239223.0536528</v>
      </c>
    </row>
    <row r="14" spans="1:2">
      <c r="A14" s="10" t="s">
        <v>24</v>
      </c>
      <c r="B14" s="114">
        <v>3858422703.651278</v>
      </c>
    </row>
    <row r="15" spans="1:2">
      <c r="A15" s="14" t="s">
        <v>124</v>
      </c>
      <c r="B15" s="113"/>
    </row>
    <row r="16" spans="1:2">
      <c r="A16" s="10" t="s">
        <v>27</v>
      </c>
      <c r="B16" s="114">
        <v>4298774844.6719999</v>
      </c>
    </row>
    <row r="17" spans="1:2">
      <c r="A17" s="9" t="s">
        <v>125</v>
      </c>
      <c r="B17" s="116">
        <f>+SUM(B18:B24)</f>
        <v>37494070358.887085</v>
      </c>
    </row>
    <row r="18" spans="1:2">
      <c r="A18" s="10" t="s">
        <v>29</v>
      </c>
      <c r="B18" s="117">
        <v>9709492083.8157291</v>
      </c>
    </row>
    <row r="19" spans="1:2">
      <c r="A19" s="10" t="s">
        <v>30</v>
      </c>
      <c r="B19" s="117">
        <v>6877556892.7028084</v>
      </c>
    </row>
    <row r="20" spans="1:2">
      <c r="A20" s="10" t="s">
        <v>31</v>
      </c>
      <c r="B20" s="117">
        <v>8009330431.8307495</v>
      </c>
    </row>
    <row r="21" spans="1:2">
      <c r="A21" s="10" t="s">
        <v>32</v>
      </c>
      <c r="B21" s="114">
        <v>3577469038.3566122</v>
      </c>
    </row>
    <row r="22" spans="1:2" ht="25.5">
      <c r="A22" s="10" t="s">
        <v>33</v>
      </c>
      <c r="B22" s="117">
        <v>4848385614.2354193</v>
      </c>
    </row>
    <row r="23" spans="1:2">
      <c r="A23" s="10" t="s">
        <v>34</v>
      </c>
      <c r="B23" s="114">
        <v>2683101778.7674594</v>
      </c>
    </row>
    <row r="24" spans="1:2">
      <c r="A24" s="10" t="s">
        <v>35</v>
      </c>
      <c r="B24" s="114">
        <v>1788734519.1783061</v>
      </c>
    </row>
    <row r="25" spans="1:2" ht="25.5">
      <c r="A25" s="9" t="s">
        <v>126</v>
      </c>
      <c r="B25" s="116">
        <f>B26+B30+B31+B32+B33+B38+B34+B35+B36+B37+B39</f>
        <v>9045568287.4794693</v>
      </c>
    </row>
    <row r="26" spans="1:2">
      <c r="A26" s="10" t="s">
        <v>37</v>
      </c>
      <c r="B26" s="118">
        <f>SUM(B27:B29)</f>
        <v>5722245233.8199492</v>
      </c>
    </row>
    <row r="27" spans="1:2">
      <c r="A27" s="10" t="s">
        <v>127</v>
      </c>
      <c r="B27" s="114">
        <v>251552624.56193298</v>
      </c>
    </row>
    <row r="28" spans="1:2">
      <c r="A28" s="10" t="s">
        <v>128</v>
      </c>
      <c r="B28" s="114">
        <v>5060499949.8845768</v>
      </c>
    </row>
    <row r="29" spans="1:2">
      <c r="A29" s="10" t="s">
        <v>129</v>
      </c>
      <c r="B29" s="114">
        <v>410192659.37343997</v>
      </c>
    </row>
    <row r="30" spans="1:2">
      <c r="A30" s="10" t="s">
        <v>41</v>
      </c>
      <c r="B30" s="114">
        <v>839507158.82879996</v>
      </c>
    </row>
    <row r="31" spans="1:2" ht="25.5">
      <c r="A31" s="10" t="s">
        <v>130</v>
      </c>
      <c r="B31" s="114">
        <v>1479225139.6607997</v>
      </c>
    </row>
    <row r="32" spans="1:2" ht="25.5">
      <c r="A32" s="10" t="s">
        <v>131</v>
      </c>
      <c r="B32" s="114"/>
    </row>
    <row r="33" spans="1:2">
      <c r="A33" s="10" t="s">
        <v>44</v>
      </c>
      <c r="B33" s="114"/>
    </row>
    <row r="34" spans="1:2">
      <c r="A34" s="10" t="s">
        <v>45</v>
      </c>
      <c r="B34" s="114">
        <v>132756304.66560002</v>
      </c>
    </row>
    <row r="35" spans="1:2">
      <c r="A35" s="10" t="s">
        <v>46</v>
      </c>
      <c r="B35" s="114">
        <v>14297406.0768</v>
      </c>
    </row>
    <row r="36" spans="1:2">
      <c r="A36" s="10" t="s">
        <v>47</v>
      </c>
      <c r="B36" s="114">
        <v>554164492.65408003</v>
      </c>
    </row>
    <row r="37" spans="1:2">
      <c r="A37" s="10" t="s">
        <v>48</v>
      </c>
      <c r="B37" s="114">
        <v>202516848</v>
      </c>
    </row>
    <row r="38" spans="1:2">
      <c r="A38" s="10" t="s">
        <v>132</v>
      </c>
      <c r="B38" s="114">
        <v>36539125.539839998</v>
      </c>
    </row>
    <row r="39" spans="1:2">
      <c r="A39" s="15" t="s">
        <v>50</v>
      </c>
      <c r="B39" s="114">
        <v>64316578.233599998</v>
      </c>
    </row>
    <row r="40" spans="1:2">
      <c r="A40" s="24" t="s">
        <v>133</v>
      </c>
      <c r="B40" s="119">
        <f>+B3+B17+B25</f>
        <v>137591103878.4509</v>
      </c>
    </row>
    <row r="41" spans="1:2" ht="25.5">
      <c r="A41" s="15" t="s">
        <v>134</v>
      </c>
      <c r="B41" s="114">
        <v>23960850454.579948</v>
      </c>
    </row>
    <row r="42" spans="1:2">
      <c r="B42" s="120"/>
    </row>
    <row r="43" spans="1:2">
      <c r="A43" s="82" t="s">
        <v>135</v>
      </c>
      <c r="B43" s="37"/>
    </row>
  </sheetData>
  <sheetProtection formatRows="0" insertRows="0"/>
  <mergeCells count="1">
    <mergeCell ref="A1:B1"/>
  </mergeCells>
  <dataValidations count="1">
    <dataValidation type="whole" operator="greaterThanOrEqual" allowBlank="1" showErrorMessage="1" errorTitle="SOLO NUMEROS ENTEROS" error="SOLO NUMEROS ENTEROS" sqref="B5:B14 B41 B18:B24 B16 B27:B39" xr:uid="{E3FE0013-6883-4AF3-80D0-6262897080D8}">
      <formula1>0</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DBA4B-1AAC-4B52-8FF6-C485F6F2A22B}">
  <sheetPr>
    <tabColor theme="8" tint="-0.249977111117893"/>
  </sheetPr>
  <dimension ref="A2:L53"/>
  <sheetViews>
    <sheetView showGridLines="0" view="pageBreakPreview" topLeftCell="D1" zoomScaleNormal="110" zoomScaleSheetLayoutView="100" workbookViewId="0">
      <pane ySplit="4" topLeftCell="A35" activePane="bottomLeft" state="frozen"/>
      <selection activeCell="G32" sqref="G32"/>
      <selection pane="bottomLeft" activeCell="G38" sqref="G38"/>
    </sheetView>
  </sheetViews>
  <sheetFormatPr baseColWidth="10" defaultColWidth="11.42578125" defaultRowHeight="12.75"/>
  <cols>
    <col min="1" max="1" width="11.42578125" style="51"/>
    <col min="2" max="2" width="37.28515625" style="264" customWidth="1"/>
    <col min="3" max="3" width="32.28515625" style="265" customWidth="1"/>
    <col min="4" max="4" width="30.42578125" style="265" customWidth="1"/>
    <col min="5" max="5" width="29.140625" style="265" customWidth="1"/>
    <col min="6" max="6" width="35.5703125" style="265" bestFit="1" customWidth="1"/>
    <col min="7" max="7" width="25.85546875" style="265" customWidth="1"/>
    <col min="8" max="8" width="14.7109375" style="289" bestFit="1" customWidth="1"/>
    <col min="9" max="9" width="19.140625" style="283" bestFit="1" customWidth="1"/>
    <col min="10" max="10" width="9.28515625" style="265" customWidth="1"/>
    <col min="11" max="12" width="11.42578125" style="265"/>
    <col min="13" max="16384" width="11.42578125" style="51"/>
  </cols>
  <sheetData>
    <row r="2" spans="1:10" ht="13.5" thickBot="1"/>
    <row r="3" spans="1:10" ht="21" customHeight="1">
      <c r="B3" s="689" t="s">
        <v>137</v>
      </c>
      <c r="C3" s="689"/>
      <c r="D3" s="689"/>
      <c r="E3" s="689"/>
      <c r="F3" s="689"/>
      <c r="G3" s="689"/>
    </row>
    <row r="4" spans="1:10" ht="26.25" thickBot="1">
      <c r="B4" s="31" t="s">
        <v>138</v>
      </c>
      <c r="C4" s="31" t="s">
        <v>139</v>
      </c>
      <c r="D4" s="31" t="s">
        <v>140</v>
      </c>
      <c r="E4" s="31" t="s">
        <v>141</v>
      </c>
      <c r="F4" s="31" t="s">
        <v>142</v>
      </c>
      <c r="G4" s="31" t="s">
        <v>143</v>
      </c>
      <c r="I4" s="284"/>
      <c r="J4" s="50"/>
    </row>
    <row r="5" spans="1:10" ht="13.5" thickTop="1">
      <c r="B5" s="688" t="s">
        <v>144</v>
      </c>
      <c r="C5" s="688"/>
      <c r="D5" s="688"/>
      <c r="E5" s="688"/>
      <c r="F5" s="688"/>
      <c r="G5" s="688"/>
    </row>
    <row r="6" spans="1:10">
      <c r="A6" s="263"/>
      <c r="B6" s="266" t="s">
        <v>306</v>
      </c>
      <c r="C6" s="291"/>
      <c r="D6" s="292"/>
      <c r="E6" s="293"/>
      <c r="F6" s="294"/>
      <c r="G6" s="267"/>
    </row>
    <row r="7" spans="1:10">
      <c r="A7" s="263"/>
      <c r="B7" s="266" t="s">
        <v>307</v>
      </c>
      <c r="C7" s="291"/>
      <c r="D7" s="292"/>
      <c r="E7" s="295"/>
      <c r="F7" s="294"/>
      <c r="G7" s="267"/>
    </row>
    <row r="8" spans="1:10" ht="25.5">
      <c r="A8" s="263"/>
      <c r="B8" s="269" t="s">
        <v>308</v>
      </c>
      <c r="C8" s="359"/>
      <c r="D8" s="360"/>
      <c r="E8" s="295"/>
      <c r="F8" s="294"/>
      <c r="G8" s="267"/>
    </row>
    <row r="9" spans="1:10">
      <c r="A9" s="263"/>
      <c r="B9" s="267" t="s">
        <v>309</v>
      </c>
      <c r="C9" s="296"/>
      <c r="D9" s="361"/>
      <c r="E9" s="295"/>
      <c r="F9" s="294"/>
      <c r="G9" s="267"/>
    </row>
    <row r="10" spans="1:10">
      <c r="A10" s="263"/>
      <c r="B10" s="267" t="s">
        <v>310</v>
      </c>
      <c r="C10" s="296"/>
      <c r="D10" s="361"/>
      <c r="E10" s="295"/>
      <c r="F10" s="294"/>
      <c r="G10" s="267"/>
    </row>
    <row r="11" spans="1:10">
      <c r="A11" s="263"/>
      <c r="B11" s="267" t="s">
        <v>311</v>
      </c>
      <c r="C11" s="296"/>
      <c r="D11" s="361"/>
      <c r="E11" s="295"/>
      <c r="F11" s="294"/>
      <c r="G11" s="267"/>
    </row>
    <row r="12" spans="1:10">
      <c r="A12" s="263"/>
      <c r="B12" s="267" t="s">
        <v>312</v>
      </c>
      <c r="C12" s="296"/>
      <c r="D12" s="361"/>
      <c r="E12" s="295"/>
      <c r="F12" s="294"/>
      <c r="G12" s="267"/>
    </row>
    <row r="13" spans="1:10">
      <c r="A13" s="263"/>
      <c r="B13" s="267" t="s">
        <v>313</v>
      </c>
      <c r="C13" s="296"/>
      <c r="D13" s="361"/>
      <c r="E13" s="295"/>
      <c r="F13" s="294"/>
      <c r="G13" s="267"/>
    </row>
    <row r="14" spans="1:10">
      <c r="A14" s="263"/>
      <c r="B14" s="267" t="s">
        <v>314</v>
      </c>
      <c r="C14" s="270">
        <v>16</v>
      </c>
      <c r="D14" s="271"/>
      <c r="E14" s="267"/>
      <c r="F14" s="267">
        <v>1501872000</v>
      </c>
      <c r="G14" s="267">
        <v>1546928160</v>
      </c>
    </row>
    <row r="15" spans="1:10">
      <c r="B15" s="272" t="s">
        <v>145</v>
      </c>
      <c r="C15" s="273">
        <f>SUM(C6:C14)</f>
        <v>16</v>
      </c>
      <c r="D15" s="274">
        <f>SUM(D6:D14)</f>
        <v>0</v>
      </c>
      <c r="E15" s="274"/>
      <c r="F15" s="274">
        <f>SUM(F6:F14)</f>
        <v>1501872000</v>
      </c>
      <c r="G15" s="274">
        <f>SUM(G6:G14)</f>
        <v>1546928160</v>
      </c>
    </row>
    <row r="16" spans="1:10">
      <c r="B16" s="688" t="s">
        <v>146</v>
      </c>
      <c r="C16" s="688"/>
      <c r="D16" s="688"/>
      <c r="E16" s="688"/>
      <c r="F16" s="688"/>
      <c r="G16" s="688"/>
    </row>
    <row r="17" spans="2:9">
      <c r="B17" s="266" t="s">
        <v>306</v>
      </c>
      <c r="C17" s="296"/>
      <c r="D17" s="297"/>
      <c r="E17" s="295"/>
      <c r="F17" s="298"/>
      <c r="G17" s="276"/>
      <c r="H17" s="290"/>
    </row>
    <row r="18" spans="2:9">
      <c r="B18" s="266" t="s">
        <v>307</v>
      </c>
      <c r="C18" s="299"/>
      <c r="D18" s="300"/>
      <c r="E18" s="301"/>
      <c r="F18" s="298"/>
      <c r="G18" s="276"/>
      <c r="H18" s="290"/>
    </row>
    <row r="19" spans="2:9" ht="25.5">
      <c r="B19" s="269" t="s">
        <v>308</v>
      </c>
      <c r="C19" s="299"/>
      <c r="D19" s="300"/>
      <c r="E19" s="301"/>
      <c r="F19" s="298"/>
      <c r="G19" s="276"/>
      <c r="H19" s="290"/>
    </row>
    <row r="20" spans="2:9">
      <c r="B20" s="267" t="s">
        <v>309</v>
      </c>
      <c r="C20" s="299"/>
      <c r="D20" s="300"/>
      <c r="E20" s="301"/>
      <c r="F20" s="298"/>
      <c r="G20" s="276"/>
      <c r="H20" s="290"/>
    </row>
    <row r="21" spans="2:9">
      <c r="B21" s="267" t="s">
        <v>310</v>
      </c>
      <c r="C21" s="299"/>
      <c r="D21" s="300"/>
      <c r="E21" s="301"/>
      <c r="F21" s="298"/>
      <c r="G21" s="276"/>
      <c r="H21" s="290"/>
    </row>
    <row r="22" spans="2:9">
      <c r="B22" s="267" t="s">
        <v>311</v>
      </c>
      <c r="C22" s="299"/>
      <c r="D22" s="300"/>
      <c r="E22" s="301"/>
      <c r="F22" s="298"/>
      <c r="G22" s="276"/>
      <c r="H22" s="290"/>
    </row>
    <row r="23" spans="2:9" ht="114.75">
      <c r="B23" s="267" t="s">
        <v>312</v>
      </c>
      <c r="C23" s="285">
        <v>3</v>
      </c>
      <c r="D23" s="286"/>
      <c r="E23" s="287"/>
      <c r="G23" s="276">
        <v>1266405600</v>
      </c>
      <c r="H23" s="148" t="s">
        <v>420</v>
      </c>
    </row>
    <row r="24" spans="2:9">
      <c r="B24" s="267" t="s">
        <v>313</v>
      </c>
      <c r="C24" s="299"/>
      <c r="D24" s="300"/>
      <c r="E24" s="301"/>
      <c r="F24" s="298"/>
      <c r="G24" s="276"/>
    </row>
    <row r="25" spans="2:9">
      <c r="B25" s="267" t="s">
        <v>314</v>
      </c>
      <c r="C25" s="299"/>
      <c r="D25" s="300"/>
      <c r="E25" s="301"/>
      <c r="F25" s="298"/>
      <c r="G25" s="277">
        <f>F25*(1+$J$4)</f>
        <v>0</v>
      </c>
    </row>
    <row r="26" spans="2:9">
      <c r="B26" s="272" t="s">
        <v>145</v>
      </c>
      <c r="C26" s="273">
        <f>SUM(C17:C25)</f>
        <v>3</v>
      </c>
      <c r="D26" s="278">
        <f>SUM(D17:D25)</f>
        <v>0</v>
      </c>
      <c r="E26" s="278"/>
      <c r="F26" s="278">
        <f>SUM(F17:F25)</f>
        <v>0</v>
      </c>
      <c r="G26" s="278">
        <f>SUM(G17:G25)</f>
        <v>1266405600</v>
      </c>
    </row>
    <row r="27" spans="2:9">
      <c r="B27" s="688" t="s">
        <v>147</v>
      </c>
      <c r="C27" s="688"/>
      <c r="D27" s="688"/>
      <c r="E27" s="688"/>
      <c r="F27" s="688"/>
      <c r="G27" s="688"/>
    </row>
    <row r="28" spans="2:9">
      <c r="B28" s="266" t="s">
        <v>306</v>
      </c>
      <c r="C28" s="270">
        <v>67</v>
      </c>
      <c r="D28" s="275"/>
      <c r="E28" s="268">
        <v>12</v>
      </c>
      <c r="F28" s="276">
        <v>5818582000</v>
      </c>
      <c r="G28" s="276">
        <v>5993139460</v>
      </c>
      <c r="H28" s="288">
        <f>(G28/F28)-1</f>
        <v>3.0000000000000027E-2</v>
      </c>
    </row>
    <row r="29" spans="2:9">
      <c r="B29" s="266" t="s">
        <v>307</v>
      </c>
      <c r="C29" s="270">
        <v>499</v>
      </c>
      <c r="D29" s="275"/>
      <c r="E29" s="268">
        <v>12</v>
      </c>
      <c r="F29" s="276">
        <v>29145800000</v>
      </c>
      <c r="G29" s="276">
        <v>30020174000</v>
      </c>
      <c r="H29" s="288">
        <f t="shared" ref="H29:H36" si="0">(G29/F29)-1</f>
        <v>3.0000000000000027E-2</v>
      </c>
    </row>
    <row r="30" spans="2:9" ht="25.5">
      <c r="B30" s="269" t="s">
        <v>308</v>
      </c>
      <c r="C30" s="270">
        <v>297</v>
      </c>
      <c r="D30" s="275"/>
      <c r="E30" s="268">
        <v>12</v>
      </c>
      <c r="F30" s="276">
        <v>23521776000</v>
      </c>
      <c r="G30" s="276">
        <v>24227429280</v>
      </c>
      <c r="H30" s="288">
        <f t="shared" si="0"/>
        <v>3.0000000000000027E-2</v>
      </c>
      <c r="I30" s="510"/>
    </row>
    <row r="31" spans="2:9" ht="15">
      <c r="B31" s="267" t="s">
        <v>309</v>
      </c>
      <c r="C31" s="270">
        <v>222</v>
      </c>
      <c r="D31" s="275"/>
      <c r="E31" s="268">
        <v>12</v>
      </c>
      <c r="F31" s="276">
        <v>14626644000</v>
      </c>
      <c r="G31" s="276">
        <v>15065443320</v>
      </c>
      <c r="H31" s="288">
        <f t="shared" si="0"/>
        <v>3.0000000000000027E-2</v>
      </c>
      <c r="I31" s="511"/>
    </row>
    <row r="32" spans="2:9" ht="15">
      <c r="B32" s="267" t="s">
        <v>310</v>
      </c>
      <c r="C32" s="270">
        <v>100</v>
      </c>
      <c r="D32" s="275"/>
      <c r="E32" s="268">
        <v>12</v>
      </c>
      <c r="F32" s="276">
        <v>8448000000</v>
      </c>
      <c r="G32" s="276">
        <v>8701440000</v>
      </c>
      <c r="H32" s="288">
        <f t="shared" si="0"/>
        <v>3.0000000000000027E-2</v>
      </c>
      <c r="I32" s="511"/>
    </row>
    <row r="33" spans="2:9">
      <c r="B33" s="267" t="s">
        <v>311</v>
      </c>
      <c r="C33" s="270">
        <v>227</v>
      </c>
      <c r="D33" s="275"/>
      <c r="E33" s="268">
        <v>12</v>
      </c>
      <c r="F33" s="276">
        <v>18129981240</v>
      </c>
      <c r="G33" s="276">
        <v>18673880677.199997</v>
      </c>
      <c r="H33" s="288">
        <f t="shared" si="0"/>
        <v>2.9999999999999805E-2</v>
      </c>
    </row>
    <row r="34" spans="2:9">
      <c r="B34" s="267" t="s">
        <v>312</v>
      </c>
      <c r="C34" s="270">
        <v>125</v>
      </c>
      <c r="D34" s="275"/>
      <c r="E34" s="268">
        <v>12</v>
      </c>
      <c r="F34" s="276">
        <v>10367155680</v>
      </c>
      <c r="G34" s="276">
        <v>10677868910.4</v>
      </c>
      <c r="H34" s="288">
        <f t="shared" si="0"/>
        <v>2.9970923558080509E-2</v>
      </c>
    </row>
    <row r="35" spans="2:9">
      <c r="B35" s="267" t="s">
        <v>313</v>
      </c>
      <c r="C35" s="270">
        <v>13</v>
      </c>
      <c r="D35" s="275"/>
      <c r="E35" s="268">
        <v>12</v>
      </c>
      <c r="F35" s="276">
        <v>952224000</v>
      </c>
      <c r="G35" s="276">
        <v>980790720</v>
      </c>
      <c r="H35" s="288">
        <f t="shared" si="0"/>
        <v>3.0000000000000027E-2</v>
      </c>
    </row>
    <row r="36" spans="2:9">
      <c r="B36" s="267" t="s">
        <v>314</v>
      </c>
      <c r="C36" s="270">
        <v>95</v>
      </c>
      <c r="D36" s="275"/>
      <c r="E36" s="268">
        <v>12</v>
      </c>
      <c r="F36" s="276">
        <v>7195008000</v>
      </c>
      <c r="G36" s="276">
        <v>7410858240</v>
      </c>
      <c r="H36" s="288">
        <f t="shared" si="0"/>
        <v>3.0000000000000027E-2</v>
      </c>
    </row>
    <row r="37" spans="2:9">
      <c r="B37" s="279" t="s">
        <v>145</v>
      </c>
      <c r="C37" s="273">
        <f>SUM(C28:C36)</f>
        <v>1645</v>
      </c>
      <c r="D37" s="278">
        <f>SUM(D28:D36)</f>
        <v>0</v>
      </c>
      <c r="E37" s="278"/>
      <c r="F37" s="278">
        <f>SUM(F28:F36)</f>
        <v>118205170920</v>
      </c>
      <c r="G37" s="278">
        <f>SUM(G28:G36)</f>
        <v>121751024607.59999</v>
      </c>
    </row>
    <row r="38" spans="2:9" ht="25.5">
      <c r="B38" s="83" t="s">
        <v>148</v>
      </c>
      <c r="C38" s="232">
        <f>C15+C26+C37</f>
        <v>1664</v>
      </c>
      <c r="D38" s="122">
        <f>D15+D26+D37</f>
        <v>0</v>
      </c>
      <c r="E38" s="122"/>
      <c r="F38" s="122">
        <f>F15+F26+F37</f>
        <v>119707042920</v>
      </c>
      <c r="G38" s="122">
        <f>G15+G26+G37</f>
        <v>124564358367.59999</v>
      </c>
      <c r="H38" s="290">
        <f>+I43/G38</f>
        <v>0.1595344489998908</v>
      </c>
    </row>
    <row r="39" spans="2:9">
      <c r="D39" s="280"/>
      <c r="E39" s="280"/>
    </row>
    <row r="40" spans="2:9">
      <c r="B40" s="281" t="s">
        <v>149</v>
      </c>
      <c r="C40" s="691" t="s">
        <v>101</v>
      </c>
      <c r="D40" s="691"/>
      <c r="E40" s="691"/>
      <c r="F40" s="690" t="s">
        <v>150</v>
      </c>
      <c r="G40" s="690"/>
    </row>
    <row r="41" spans="2:9">
      <c r="C41" s="573"/>
      <c r="D41" s="573"/>
      <c r="E41" s="573"/>
      <c r="F41" s="574"/>
      <c r="G41" s="574"/>
    </row>
    <row r="42" spans="2:9">
      <c r="I42" s="572" t="s">
        <v>454</v>
      </c>
    </row>
    <row r="43" spans="2:9">
      <c r="I43" s="571">
        <v>19872306277.200001</v>
      </c>
    </row>
    <row r="44" spans="2:9">
      <c r="B44" s="282"/>
      <c r="F44" s="266" t="s">
        <v>306</v>
      </c>
      <c r="G44" s="569">
        <f t="shared" ref="G44:G52" si="1">+G6+G17+G28</f>
        <v>5993139460</v>
      </c>
      <c r="H44" s="290">
        <f>+G44/$G$53</f>
        <v>4.8112795173028043E-2</v>
      </c>
      <c r="I44" s="570">
        <f>+$I$43*H44</f>
        <v>956112201.53060305</v>
      </c>
    </row>
    <row r="45" spans="2:9">
      <c r="F45" s="266" t="s">
        <v>307</v>
      </c>
      <c r="G45" s="569">
        <f t="shared" si="1"/>
        <v>30020174000</v>
      </c>
      <c r="H45" s="290">
        <f t="shared" ref="H45:H52" si="2">+G45/$G$53</f>
        <v>0.24100131364549657</v>
      </c>
      <c r="I45" s="570">
        <f t="shared" ref="I45:I52" si="3">+$I$43*H45</f>
        <v>4789251917.9708481</v>
      </c>
    </row>
    <row r="46" spans="2:9" ht="25.5">
      <c r="F46" s="269" t="s">
        <v>308</v>
      </c>
      <c r="G46" s="569">
        <f t="shared" si="1"/>
        <v>24227429280</v>
      </c>
      <c r="H46" s="290">
        <f t="shared" si="2"/>
        <v>0.19449728315143566</v>
      </c>
      <c r="I46" s="570">
        <f t="shared" si="3"/>
        <v>3865109580.8686209</v>
      </c>
    </row>
    <row r="47" spans="2:9">
      <c r="F47" s="267" t="s">
        <v>309</v>
      </c>
      <c r="G47" s="569">
        <f t="shared" si="1"/>
        <v>15065443320</v>
      </c>
      <c r="H47" s="290">
        <f t="shared" si="2"/>
        <v>0.12094505617361749</v>
      </c>
      <c r="I47" s="570">
        <f t="shared" si="3"/>
        <v>2403457198.9952855</v>
      </c>
    </row>
    <row r="48" spans="2:9">
      <c r="F48" s="267" t="s">
        <v>310</v>
      </c>
      <c r="G48" s="569">
        <f t="shared" si="1"/>
        <v>8701440000</v>
      </c>
      <c r="H48" s="290">
        <f t="shared" si="2"/>
        <v>6.9854973878814619E-2</v>
      </c>
      <c r="I48" s="570">
        <f t="shared" si="3"/>
        <v>1388179435.9056098</v>
      </c>
    </row>
    <row r="49" spans="6:9">
      <c r="F49" s="267" t="s">
        <v>311</v>
      </c>
      <c r="G49" s="569">
        <f t="shared" si="1"/>
        <v>18673880677.199997</v>
      </c>
      <c r="H49" s="290">
        <f t="shared" si="2"/>
        <v>0.14991351396112676</v>
      </c>
      <c r="I49" s="570">
        <f t="shared" si="3"/>
        <v>2979127264.5268092</v>
      </c>
    </row>
    <row r="50" spans="6:9">
      <c r="F50" s="267" t="s">
        <v>312</v>
      </c>
      <c r="G50" s="569">
        <f t="shared" si="1"/>
        <v>11944274510.4</v>
      </c>
      <c r="H50" s="290">
        <f t="shared" si="2"/>
        <v>9.5888379845793709E-2</v>
      </c>
      <c r="I50" s="570">
        <f t="shared" si="3"/>
        <v>1905523252.7201045</v>
      </c>
    </row>
    <row r="51" spans="6:9">
      <c r="F51" s="267" t="s">
        <v>313</v>
      </c>
      <c r="G51" s="569">
        <f t="shared" si="1"/>
        <v>980790720</v>
      </c>
      <c r="H51" s="290">
        <f t="shared" si="2"/>
        <v>7.8737668852722972E-3</v>
      </c>
      <c r="I51" s="570">
        <f t="shared" si="3"/>
        <v>156469907.09940618</v>
      </c>
    </row>
    <row r="52" spans="6:9">
      <c r="F52" s="267" t="s">
        <v>314</v>
      </c>
      <c r="G52" s="569">
        <f t="shared" si="1"/>
        <v>8957786400</v>
      </c>
      <c r="H52" s="290">
        <f t="shared" si="2"/>
        <v>7.1912917285414921E-2</v>
      </c>
      <c r="I52" s="570">
        <f t="shared" si="3"/>
        <v>1429075517.5827153</v>
      </c>
    </row>
    <row r="53" spans="6:9">
      <c r="G53" s="569">
        <f>+SUM(G44:G52)</f>
        <v>124564358367.59999</v>
      </c>
    </row>
  </sheetData>
  <sheetProtection formatRows="0" insertRows="0"/>
  <mergeCells count="6">
    <mergeCell ref="B27:G27"/>
    <mergeCell ref="B3:G3"/>
    <mergeCell ref="B5:G5"/>
    <mergeCell ref="B16:G16"/>
    <mergeCell ref="F40:G40"/>
    <mergeCell ref="C40:E40"/>
  </mergeCells>
  <dataValidations count="1">
    <dataValidation type="whole" operator="greaterThanOrEqual" allowBlank="1" showErrorMessage="1" errorTitle="SOLO NUMEROS ENTEROS" error="SOLO NUMEROS ENTEROS" sqref="E7:E14 C9:D14 C28:E36 C17:E25" xr:uid="{1D95C802-CF46-49E8-A758-33D67E3445BC}">
      <formula1>0</formula1>
    </dataValidation>
  </dataValidations>
  <pageMargins left="0.70866141732283472" right="0.70866141732283472" top="0.74803149606299213" bottom="0.74803149606299213" header="0.31496062992125984" footer="0.31496062992125984"/>
  <pageSetup scale="79" orientation="landscape" horizontalDpi="4294967294" verticalDpi="4294967294" r:id="rId1"/>
  <ignoredErrors>
    <ignoredError sqref="C38 E38"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39192-7AD5-4CCB-B9B2-2F8595A18B3A}">
  <sheetPr>
    <tabColor theme="8" tint="-0.249977111117893"/>
  </sheetPr>
  <dimension ref="A1:L58"/>
  <sheetViews>
    <sheetView showGridLines="0" view="pageBreakPreview" zoomScaleNormal="100" zoomScaleSheetLayoutView="100" workbookViewId="0">
      <pane ySplit="4" topLeftCell="A41" activePane="bottomLeft" state="frozen"/>
      <selection activeCell="F44" sqref="F44"/>
      <selection pane="bottomLeft" activeCell="G41" sqref="G41"/>
    </sheetView>
  </sheetViews>
  <sheetFormatPr baseColWidth="10" defaultColWidth="11.42578125" defaultRowHeight="12.75"/>
  <cols>
    <col min="1" max="1" width="38.85546875" style="250" customWidth="1"/>
    <col min="2" max="2" width="17.5703125" style="250" customWidth="1"/>
    <col min="3" max="3" width="13" style="250" hidden="1" customWidth="1"/>
    <col min="4" max="4" width="19" style="250" hidden="1" customWidth="1"/>
    <col min="5" max="5" width="23.42578125" style="250" hidden="1" customWidth="1"/>
    <col min="6" max="6" width="21.42578125" style="250" hidden="1" customWidth="1"/>
    <col min="7" max="7" width="22.28515625" style="250" customWidth="1"/>
    <col min="8" max="9" width="27.42578125" style="250" customWidth="1"/>
    <col min="10" max="10" width="14.28515625" style="250" bestFit="1" customWidth="1"/>
    <col min="11" max="11" width="15.28515625" style="250" bestFit="1" customWidth="1"/>
    <col min="12" max="16384" width="11.42578125" style="250"/>
  </cols>
  <sheetData>
    <row r="1" spans="1:12" hidden="1"/>
    <row r="2" spans="1:12" hidden="1"/>
    <row r="3" spans="1:12" ht="30.75" customHeight="1">
      <c r="A3" s="693" t="s">
        <v>151</v>
      </c>
      <c r="B3" s="693"/>
      <c r="C3" s="693"/>
      <c r="D3" s="693"/>
      <c r="E3" s="693"/>
      <c r="F3" s="693"/>
      <c r="G3" s="693"/>
      <c r="H3" s="693"/>
      <c r="I3" s="595"/>
      <c r="J3" s="595"/>
    </row>
    <row r="4" spans="1:12" ht="26.25" thickBot="1">
      <c r="A4" s="17" t="s">
        <v>152</v>
      </c>
      <c r="B4" s="17" t="s">
        <v>138</v>
      </c>
      <c r="C4" s="17" t="s">
        <v>153</v>
      </c>
      <c r="D4" s="17" t="s">
        <v>154</v>
      </c>
      <c r="E4" s="17" t="s">
        <v>155</v>
      </c>
      <c r="F4" s="17" t="s">
        <v>141</v>
      </c>
      <c r="G4" s="17" t="s">
        <v>156</v>
      </c>
      <c r="H4" s="17" t="s">
        <v>157</v>
      </c>
      <c r="I4" s="596" t="s">
        <v>458</v>
      </c>
      <c r="J4" s="596" t="s">
        <v>459</v>
      </c>
      <c r="K4" s="251" t="s">
        <v>7</v>
      </c>
      <c r="L4" s="252">
        <f>'PRESUPUESTO T+1 '!B12</f>
        <v>0.03</v>
      </c>
    </row>
    <row r="5" spans="1:12" ht="21" customHeight="1" thickTop="1">
      <c r="A5" s="694" t="s">
        <v>158</v>
      </c>
      <c r="B5" s="694"/>
      <c r="C5" s="694"/>
      <c r="D5" s="694"/>
      <c r="E5" s="694"/>
      <c r="F5" s="694"/>
      <c r="G5" s="694"/>
      <c r="H5" s="694"/>
      <c r="I5" s="597"/>
    </row>
    <row r="6" spans="1:12" ht="15" customHeight="1">
      <c r="A6" s="124"/>
      <c r="B6" s="129"/>
      <c r="C6" s="235"/>
      <c r="D6" s="125"/>
      <c r="E6" s="126">
        <f>(+D6*C6)</f>
        <v>0</v>
      </c>
      <c r="F6" s="231"/>
      <c r="G6" s="126">
        <f>(E6*F6)*(1+$L$4)</f>
        <v>0</v>
      </c>
      <c r="H6" s="130"/>
      <c r="I6" s="474"/>
    </row>
    <row r="7" spans="1:12" ht="15" customHeight="1">
      <c r="A7" s="124"/>
      <c r="B7" s="129"/>
      <c r="C7" s="235"/>
      <c r="D7" s="125"/>
      <c r="E7" s="126">
        <f>(+D7*C7)</f>
        <v>0</v>
      </c>
      <c r="F7" s="231"/>
      <c r="G7" s="126">
        <f>(E7*F7)*(1+$L$4)</f>
        <v>0</v>
      </c>
      <c r="H7" s="130"/>
      <c r="I7" s="474"/>
    </row>
    <row r="8" spans="1:12" ht="15" customHeight="1">
      <c r="A8" s="692" t="s">
        <v>145</v>
      </c>
      <c r="B8" s="692"/>
      <c r="C8" s="254"/>
      <c r="D8" s="127"/>
      <c r="E8" s="255">
        <f>SUM(E6:E7)</f>
        <v>0</v>
      </c>
      <c r="F8" s="255"/>
      <c r="G8" s="255">
        <f>SUM(G6:G7)</f>
        <v>0</v>
      </c>
      <c r="H8" s="256"/>
      <c r="I8" s="598"/>
      <c r="K8" s="257"/>
    </row>
    <row r="9" spans="1:12" ht="18" customHeight="1">
      <c r="A9" s="695" t="s">
        <v>159</v>
      </c>
      <c r="B9" s="695"/>
      <c r="C9" s="695"/>
      <c r="D9" s="695"/>
      <c r="E9" s="695"/>
      <c r="F9" s="695"/>
      <c r="G9" s="695"/>
      <c r="H9" s="695"/>
      <c r="I9" s="599"/>
      <c r="K9" s="258"/>
      <c r="L9" s="259"/>
    </row>
    <row r="10" spans="1:12" ht="15" customHeight="1">
      <c r="A10" s="266" t="s">
        <v>306</v>
      </c>
      <c r="B10" s="302"/>
      <c r="C10" s="303"/>
      <c r="D10" s="304"/>
      <c r="E10" s="304"/>
      <c r="F10" s="305"/>
      <c r="G10" s="304"/>
      <c r="H10" s="130"/>
      <c r="I10" s="474"/>
    </row>
    <row r="11" spans="1:12">
      <c r="A11" s="266" t="s">
        <v>307</v>
      </c>
      <c r="B11" s="328"/>
      <c r="C11" s="329"/>
      <c r="D11" s="330"/>
      <c r="E11" s="331"/>
      <c r="F11" s="332"/>
      <c r="G11" s="331"/>
      <c r="H11" s="130"/>
      <c r="I11" s="474"/>
    </row>
    <row r="12" spans="1:12" ht="25.5">
      <c r="A12" s="269" t="s">
        <v>308</v>
      </c>
      <c r="B12" s="308"/>
      <c r="C12" s="309"/>
      <c r="D12" s="307"/>
      <c r="E12" s="304"/>
      <c r="F12" s="305"/>
      <c r="G12" s="304"/>
      <c r="H12" s="130"/>
      <c r="I12" s="474"/>
    </row>
    <row r="13" spans="1:12">
      <c r="A13" s="267" t="s">
        <v>309</v>
      </c>
      <c r="B13" s="308"/>
      <c r="C13" s="309"/>
      <c r="D13" s="307"/>
      <c r="E13" s="304"/>
      <c r="F13" s="305"/>
      <c r="G13" s="304"/>
      <c r="H13" s="130"/>
      <c r="I13" s="474"/>
    </row>
    <row r="14" spans="1:12">
      <c r="A14" s="267" t="s">
        <v>310</v>
      </c>
      <c r="B14" s="308"/>
      <c r="C14" s="309"/>
      <c r="D14" s="307"/>
      <c r="E14" s="304"/>
      <c r="F14" s="305"/>
      <c r="G14" s="304"/>
      <c r="H14" s="130"/>
      <c r="I14" s="474"/>
    </row>
    <row r="15" spans="1:12" ht="51">
      <c r="A15" s="267" t="s">
        <v>311</v>
      </c>
      <c r="B15" s="124"/>
      <c r="C15" s="236"/>
      <c r="D15" s="131"/>
      <c r="E15" s="126"/>
      <c r="F15" s="231">
        <v>1</v>
      </c>
      <c r="G15" s="126">
        <v>1030000000</v>
      </c>
      <c r="H15" s="130" t="s">
        <v>401</v>
      </c>
      <c r="I15" s="474">
        <f>+G15</f>
        <v>1030000000</v>
      </c>
      <c r="J15" s="474">
        <f>+I15-G15</f>
        <v>0</v>
      </c>
      <c r="K15" s="393">
        <v>0.09</v>
      </c>
    </row>
    <row r="16" spans="1:12">
      <c r="A16" s="267" t="s">
        <v>312</v>
      </c>
      <c r="B16" s="308"/>
      <c r="C16" s="309"/>
      <c r="D16" s="307"/>
      <c r="E16" s="304"/>
      <c r="F16" s="305"/>
      <c r="G16" s="304"/>
      <c r="H16" s="130"/>
      <c r="I16" s="474"/>
    </row>
    <row r="17" spans="1:12">
      <c r="A17" s="267" t="s">
        <v>313</v>
      </c>
      <c r="B17" s="308"/>
      <c r="C17" s="309"/>
      <c r="D17" s="307"/>
      <c r="E17" s="304"/>
      <c r="F17" s="305"/>
      <c r="G17" s="304"/>
      <c r="H17" s="130"/>
      <c r="I17" s="474"/>
    </row>
    <row r="18" spans="1:12" ht="15" customHeight="1">
      <c r="A18" s="267" t="s">
        <v>314</v>
      </c>
      <c r="B18" s="308"/>
      <c r="C18" s="309"/>
      <c r="D18" s="307"/>
      <c r="E18" s="304"/>
      <c r="F18" s="305"/>
      <c r="G18" s="304"/>
      <c r="H18" s="130"/>
      <c r="I18" s="474"/>
    </row>
    <row r="19" spans="1:12" ht="15" customHeight="1">
      <c r="A19" s="128"/>
      <c r="B19" s="308"/>
      <c r="C19" s="309"/>
      <c r="D19" s="307"/>
      <c r="E19" s="304"/>
      <c r="F19" s="305"/>
      <c r="G19" s="304"/>
      <c r="H19" s="130"/>
      <c r="I19" s="474"/>
    </row>
    <row r="20" spans="1:12" ht="15" customHeight="1">
      <c r="A20" s="692" t="s">
        <v>145</v>
      </c>
      <c r="B20" s="692"/>
      <c r="C20" s="254"/>
      <c r="D20" s="127"/>
      <c r="E20" s="256">
        <f>SUM(E10:E19)</f>
        <v>0</v>
      </c>
      <c r="F20" s="256"/>
      <c r="G20" s="256">
        <f>SUM(G10:G19)</f>
        <v>1030000000</v>
      </c>
      <c r="H20" s="256"/>
      <c r="I20" s="598"/>
    </row>
    <row r="21" spans="1:12" ht="19.5" customHeight="1">
      <c r="A21" s="695" t="s">
        <v>160</v>
      </c>
      <c r="B21" s="695"/>
      <c r="C21" s="695"/>
      <c r="D21" s="695"/>
      <c r="E21" s="695"/>
      <c r="F21" s="695"/>
      <c r="G21" s="695"/>
      <c r="H21" s="695"/>
      <c r="I21" s="599"/>
      <c r="K21" s="258"/>
      <c r="L21" s="259"/>
    </row>
    <row r="22" spans="1:12" ht="15" customHeight="1">
      <c r="A22" s="266" t="s">
        <v>306</v>
      </c>
      <c r="B22" s="302"/>
      <c r="C22" s="306"/>
      <c r="D22" s="307"/>
      <c r="E22" s="304"/>
      <c r="F22" s="305"/>
      <c r="G22" s="304"/>
      <c r="H22" s="130"/>
      <c r="I22" s="474"/>
    </row>
    <row r="23" spans="1:12">
      <c r="A23" s="266" t="s">
        <v>307</v>
      </c>
      <c r="B23" s="308"/>
      <c r="C23" s="309"/>
      <c r="D23" s="307"/>
      <c r="E23" s="304"/>
      <c r="F23" s="305"/>
      <c r="G23" s="304"/>
      <c r="H23" s="130"/>
      <c r="I23" s="474"/>
    </row>
    <row r="24" spans="1:12" ht="25.5">
      <c r="A24" s="269" t="s">
        <v>308</v>
      </c>
      <c r="B24" s="308"/>
      <c r="C24" s="309"/>
      <c r="D24" s="307"/>
      <c r="E24" s="304"/>
      <c r="F24" s="305"/>
      <c r="G24" s="304"/>
      <c r="H24" s="130"/>
      <c r="I24" s="474"/>
    </row>
    <row r="25" spans="1:12" ht="178.5">
      <c r="A25" s="267" t="s">
        <v>309</v>
      </c>
      <c r="B25" s="505" t="s">
        <v>426</v>
      </c>
      <c r="C25" s="236"/>
      <c r="D25" s="131"/>
      <c r="E25" s="126"/>
      <c r="F25" s="231"/>
      <c r="G25" s="126">
        <v>700000000</v>
      </c>
      <c r="H25" s="327" t="s">
        <v>427</v>
      </c>
      <c r="I25" s="474">
        <f>+G25</f>
        <v>700000000</v>
      </c>
      <c r="J25" s="474">
        <f>+I25-G25</f>
        <v>0</v>
      </c>
    </row>
    <row r="26" spans="1:12" ht="25.5">
      <c r="A26" s="267" t="s">
        <v>310</v>
      </c>
      <c r="B26" s="124"/>
      <c r="C26" s="236"/>
      <c r="D26" s="131"/>
      <c r="E26" s="126"/>
      <c r="F26" s="231"/>
      <c r="G26" s="126">
        <v>323420000</v>
      </c>
      <c r="H26" s="130" t="s">
        <v>326</v>
      </c>
      <c r="I26" s="474">
        <f>+G26</f>
        <v>323420000</v>
      </c>
      <c r="J26" s="474">
        <f>+I26-G26</f>
        <v>0</v>
      </c>
    </row>
    <row r="27" spans="1:12">
      <c r="A27" s="267" t="s">
        <v>311</v>
      </c>
      <c r="B27" s="308"/>
      <c r="C27" s="309"/>
      <c r="D27" s="307"/>
      <c r="E27" s="304"/>
      <c r="F27" s="305"/>
      <c r="G27" s="304"/>
      <c r="H27" s="130"/>
      <c r="I27" s="474"/>
    </row>
    <row r="28" spans="1:12">
      <c r="A28" s="267" t="s">
        <v>312</v>
      </c>
      <c r="B28" s="308"/>
      <c r="C28" s="309"/>
      <c r="D28" s="307"/>
      <c r="E28" s="304"/>
      <c r="F28" s="305"/>
      <c r="G28" s="304"/>
      <c r="H28" s="130"/>
      <c r="I28" s="474"/>
    </row>
    <row r="29" spans="1:12">
      <c r="A29" s="267" t="s">
        <v>313</v>
      </c>
      <c r="B29" s="308"/>
      <c r="C29" s="309"/>
      <c r="D29" s="307"/>
      <c r="E29" s="304"/>
      <c r="F29" s="305"/>
      <c r="G29" s="304"/>
      <c r="H29" s="130"/>
      <c r="I29" s="474"/>
    </row>
    <row r="30" spans="1:12" ht="35.25" customHeight="1">
      <c r="A30" s="267" t="s">
        <v>314</v>
      </c>
      <c r="B30" s="308"/>
      <c r="C30" s="309"/>
      <c r="D30" s="307"/>
      <c r="E30" s="304"/>
      <c r="F30" s="305"/>
      <c r="G30" s="304"/>
      <c r="H30" s="130"/>
      <c r="I30" s="474"/>
    </row>
    <row r="31" spans="1:12" ht="15" customHeight="1">
      <c r="A31" s="692" t="s">
        <v>145</v>
      </c>
      <c r="B31" s="692"/>
      <c r="C31" s="254"/>
      <c r="D31" s="127"/>
      <c r="E31" s="260">
        <f>SUM(E22:E30)</f>
        <v>0</v>
      </c>
      <c r="F31" s="260"/>
      <c r="G31" s="260">
        <f>SUM(G22:G30)</f>
        <v>1023420000</v>
      </c>
      <c r="H31" s="260"/>
      <c r="I31" s="600">
        <f>+G31</f>
        <v>1023420000</v>
      </c>
      <c r="J31" s="474">
        <f>+I31-G31</f>
        <v>0</v>
      </c>
    </row>
    <row r="32" spans="1:12" ht="21" customHeight="1">
      <c r="A32" s="695" t="s">
        <v>161</v>
      </c>
      <c r="B32" s="695"/>
      <c r="C32" s="695"/>
      <c r="D32" s="695"/>
      <c r="E32" s="695"/>
      <c r="F32" s="695"/>
      <c r="G32" s="695"/>
      <c r="H32" s="695"/>
      <c r="I32" s="599"/>
      <c r="K32" s="258"/>
      <c r="L32" s="259"/>
    </row>
    <row r="33" spans="1:11">
      <c r="A33" s="266" t="s">
        <v>306</v>
      </c>
      <c r="B33" s="308"/>
      <c r="C33" s="309"/>
      <c r="D33" s="307"/>
      <c r="E33" s="304"/>
      <c r="F33" s="305"/>
      <c r="G33" s="304"/>
      <c r="H33" s="130"/>
      <c r="I33" s="474"/>
    </row>
    <row r="34" spans="1:11" ht="191.25">
      <c r="A34" s="266" t="s">
        <v>307</v>
      </c>
      <c r="B34" s="124"/>
      <c r="C34" s="236"/>
      <c r="D34" s="131"/>
      <c r="E34" s="126"/>
      <c r="F34" s="231"/>
      <c r="G34" s="126"/>
      <c r="H34" s="130" t="s">
        <v>446</v>
      </c>
      <c r="I34" s="474"/>
    </row>
    <row r="35" spans="1:11" ht="89.25">
      <c r="A35" s="269" t="s">
        <v>308</v>
      </c>
      <c r="B35" s="124"/>
      <c r="C35" s="236"/>
      <c r="D35" s="131"/>
      <c r="E35" s="126"/>
      <c r="F35" s="231"/>
      <c r="G35" s="126"/>
      <c r="H35" s="130" t="s">
        <v>316</v>
      </c>
      <c r="I35" s="474"/>
      <c r="K35" s="126"/>
    </row>
    <row r="36" spans="1:11" ht="102">
      <c r="A36" s="267" t="s">
        <v>309</v>
      </c>
      <c r="B36" s="124"/>
      <c r="C36" s="236"/>
      <c r="D36" s="131"/>
      <c r="E36" s="126"/>
      <c r="F36" s="231"/>
      <c r="G36" s="126">
        <v>2257384000</v>
      </c>
      <c r="H36" s="327" t="s">
        <v>445</v>
      </c>
      <c r="I36" s="474">
        <f>+G36</f>
        <v>2257384000</v>
      </c>
      <c r="J36" s="474">
        <f>+I36-G36</f>
        <v>0</v>
      </c>
      <c r="K36" s="513"/>
    </row>
    <row r="37" spans="1:11">
      <c r="A37" s="267" t="s">
        <v>310</v>
      </c>
      <c r="B37" s="308"/>
      <c r="C37" s="309"/>
      <c r="D37" s="307"/>
      <c r="E37" s="304"/>
      <c r="F37" s="305"/>
      <c r="G37" s="304"/>
      <c r="H37" s="327"/>
      <c r="K37" s="513"/>
    </row>
    <row r="38" spans="1:11" ht="165.75">
      <c r="A38" s="267" t="s">
        <v>311</v>
      </c>
      <c r="B38" s="124"/>
      <c r="C38" s="236"/>
      <c r="D38" s="131"/>
      <c r="E38" s="126"/>
      <c r="F38" s="231"/>
      <c r="G38" s="126">
        <v>5750000</v>
      </c>
      <c r="H38" s="130" t="s">
        <v>447</v>
      </c>
      <c r="I38" s="474">
        <f>+G38</f>
        <v>5750000</v>
      </c>
      <c r="J38" s="474">
        <f>+I38-G38</f>
        <v>0</v>
      </c>
    </row>
    <row r="39" spans="1:11">
      <c r="A39" s="267" t="s">
        <v>312</v>
      </c>
      <c r="B39" s="308"/>
      <c r="C39" s="309"/>
      <c r="D39" s="307"/>
      <c r="E39" s="304"/>
      <c r="F39" s="305"/>
      <c r="G39" s="304"/>
      <c r="H39" s="130"/>
      <c r="I39" s="474"/>
    </row>
    <row r="40" spans="1:11" ht="76.5">
      <c r="A40" s="267" t="s">
        <v>313</v>
      </c>
      <c r="B40" s="124"/>
      <c r="C40" s="236"/>
      <c r="D40" s="131"/>
      <c r="E40" s="126"/>
      <c r="F40" s="231"/>
      <c r="G40" s="126"/>
      <c r="H40" s="130" t="s">
        <v>424</v>
      </c>
      <c r="I40" s="474"/>
      <c r="J40" s="474"/>
    </row>
    <row r="41" spans="1:11" ht="344.25">
      <c r="A41" s="267" t="s">
        <v>314</v>
      </c>
      <c r="B41" s="129"/>
      <c r="C41" s="235"/>
      <c r="D41" s="131"/>
      <c r="E41" s="126">
        <f>(+D41*C41)</f>
        <v>0</v>
      </c>
      <c r="F41" s="231"/>
      <c r="G41" s="126">
        <v>5616800000</v>
      </c>
      <c r="H41" s="130" t="s">
        <v>457</v>
      </c>
      <c r="I41" s="474">
        <v>61456520</v>
      </c>
      <c r="J41" s="605">
        <f>+I41-G41</f>
        <v>-5555343480</v>
      </c>
    </row>
    <row r="42" spans="1:11">
      <c r="A42" s="124"/>
      <c r="B42" s="124"/>
      <c r="C42" s="236"/>
      <c r="D42" s="131"/>
      <c r="E42" s="126"/>
      <c r="F42" s="231"/>
      <c r="G42" s="126"/>
      <c r="H42" s="130"/>
      <c r="I42" s="474"/>
    </row>
    <row r="43" spans="1:11" ht="15" customHeight="1">
      <c r="A43" s="253" t="s">
        <v>162</v>
      </c>
      <c r="B43" s="254"/>
      <c r="C43" s="254"/>
      <c r="D43" s="127"/>
      <c r="E43" s="256">
        <f>SUM(E33:E42)</f>
        <v>0</v>
      </c>
      <c r="F43" s="256"/>
      <c r="G43" s="256">
        <f>SUM(G33:G42)</f>
        <v>7879934000</v>
      </c>
      <c r="H43" s="256"/>
      <c r="I43" s="598">
        <v>2324590520</v>
      </c>
      <c r="J43" s="474">
        <f>+I43-SUM(I33:I42)</f>
        <v>0</v>
      </c>
    </row>
    <row r="44" spans="1:11" ht="15" customHeight="1">
      <c r="A44" s="695" t="s">
        <v>163</v>
      </c>
      <c r="B44" s="695"/>
      <c r="C44" s="695"/>
      <c r="D44" s="695"/>
      <c r="E44" s="695"/>
      <c r="F44" s="695"/>
      <c r="G44" s="695"/>
      <c r="H44" s="695"/>
      <c r="I44" s="599"/>
    </row>
    <row r="45" spans="1:11">
      <c r="A45" s="266" t="s">
        <v>306</v>
      </c>
      <c r="B45" s="302"/>
      <c r="C45" s="306"/>
      <c r="D45" s="307"/>
      <c r="E45" s="304"/>
      <c r="F45" s="305"/>
      <c r="G45" s="304"/>
      <c r="H45" s="130"/>
      <c r="I45" s="474"/>
    </row>
    <row r="46" spans="1:11" ht="15" customHeight="1">
      <c r="A46" s="266" t="s">
        <v>307</v>
      </c>
      <c r="B46" s="302"/>
      <c r="C46" s="306"/>
      <c r="D46" s="307"/>
      <c r="E46" s="304"/>
      <c r="F46" s="305"/>
      <c r="G46" s="304"/>
      <c r="H46" s="130"/>
      <c r="I46" s="474"/>
    </row>
    <row r="47" spans="1:11" ht="25.5">
      <c r="A47" s="269" t="s">
        <v>308</v>
      </c>
      <c r="B47" s="302"/>
      <c r="C47" s="306"/>
      <c r="D47" s="307"/>
      <c r="E47" s="304"/>
      <c r="F47" s="305"/>
      <c r="G47" s="304"/>
      <c r="H47" s="130"/>
      <c r="I47" s="474"/>
    </row>
    <row r="48" spans="1:11" ht="15" customHeight="1">
      <c r="A48" s="267" t="s">
        <v>309</v>
      </c>
      <c r="B48" s="302"/>
      <c r="C48" s="306"/>
      <c r="D48" s="307"/>
      <c r="E48" s="304"/>
      <c r="F48" s="305"/>
      <c r="G48" s="304"/>
      <c r="H48" s="130"/>
      <c r="I48" s="474"/>
    </row>
    <row r="49" spans="1:9" ht="15" customHeight="1">
      <c r="A49" s="267" t="s">
        <v>310</v>
      </c>
      <c r="B49" s="302"/>
      <c r="C49" s="306"/>
      <c r="D49" s="307"/>
      <c r="E49" s="304"/>
      <c r="F49" s="305"/>
      <c r="G49" s="304"/>
      <c r="H49" s="130"/>
      <c r="I49" s="474"/>
    </row>
    <row r="50" spans="1:9" ht="15" customHeight="1">
      <c r="A50" s="267" t="s">
        <v>311</v>
      </c>
      <c r="B50" s="302"/>
      <c r="C50" s="306"/>
      <c r="D50" s="307"/>
      <c r="E50" s="304"/>
      <c r="F50" s="305"/>
      <c r="G50" s="304"/>
      <c r="H50" s="130"/>
      <c r="I50" s="474"/>
    </row>
    <row r="51" spans="1:9" ht="15" customHeight="1">
      <c r="A51" s="267" t="s">
        <v>312</v>
      </c>
      <c r="B51" s="302"/>
      <c r="C51" s="306"/>
      <c r="D51" s="307"/>
      <c r="E51" s="304"/>
      <c r="F51" s="305"/>
      <c r="G51" s="304"/>
      <c r="H51" s="130"/>
      <c r="I51" s="474"/>
    </row>
    <row r="52" spans="1:9" ht="15" customHeight="1">
      <c r="A52" s="267" t="s">
        <v>313</v>
      </c>
      <c r="B52" s="302"/>
      <c r="C52" s="306"/>
      <c r="D52" s="307"/>
      <c r="E52" s="304"/>
      <c r="F52" s="305"/>
      <c r="G52" s="304"/>
      <c r="H52" s="130"/>
      <c r="I52" s="474"/>
    </row>
    <row r="53" spans="1:9" ht="15" customHeight="1">
      <c r="A53" s="267" t="s">
        <v>314</v>
      </c>
      <c r="B53" s="302"/>
      <c r="C53" s="306"/>
      <c r="D53" s="307"/>
      <c r="E53" s="304"/>
      <c r="F53" s="305"/>
      <c r="G53" s="304"/>
      <c r="H53" s="130"/>
      <c r="I53" s="474"/>
    </row>
    <row r="54" spans="1:9" ht="15" customHeight="1">
      <c r="A54" s="124"/>
      <c r="B54" s="302"/>
      <c r="C54" s="306"/>
      <c r="D54" s="307"/>
      <c r="E54" s="304"/>
      <c r="F54" s="305"/>
      <c r="G54" s="304"/>
      <c r="H54" s="130"/>
      <c r="I54" s="474"/>
    </row>
    <row r="55" spans="1:9" ht="15" customHeight="1">
      <c r="A55" s="253" t="s">
        <v>162</v>
      </c>
      <c r="B55" s="254"/>
      <c r="C55" s="254"/>
      <c r="D55" s="127"/>
      <c r="E55" s="256">
        <f>SUM(E45:E54)</f>
        <v>0</v>
      </c>
      <c r="F55" s="256"/>
      <c r="G55" s="256">
        <f>SUM(G45:G54)</f>
        <v>0</v>
      </c>
      <c r="H55" s="256"/>
      <c r="I55" s="598"/>
    </row>
    <row r="56" spans="1:9" ht="24.75" customHeight="1">
      <c r="A56" s="698" t="s">
        <v>164</v>
      </c>
      <c r="B56" s="698"/>
      <c r="C56" s="261"/>
      <c r="D56" s="261"/>
      <c r="E56" s="261"/>
      <c r="F56" s="261"/>
      <c r="G56" s="262">
        <f>G8+G20+G31+G43+G55</f>
        <v>9933354000</v>
      </c>
      <c r="H56" s="261"/>
      <c r="I56" s="601"/>
    </row>
    <row r="57" spans="1:9">
      <c r="E57" s="257"/>
      <c r="F57" s="257"/>
    </row>
    <row r="58" spans="1:9">
      <c r="A58" s="697" t="s">
        <v>100</v>
      </c>
      <c r="B58" s="697"/>
      <c r="C58" s="697"/>
      <c r="D58" s="697" t="s">
        <v>165</v>
      </c>
      <c r="E58" s="697"/>
      <c r="F58" s="697"/>
      <c r="G58" s="696" t="s">
        <v>166</v>
      </c>
      <c r="H58" s="696"/>
      <c r="I58" s="602"/>
    </row>
  </sheetData>
  <sheetProtection formatRows="0" insertRows="0"/>
  <mergeCells count="13">
    <mergeCell ref="G58:H58"/>
    <mergeCell ref="A58:C58"/>
    <mergeCell ref="D58:F58"/>
    <mergeCell ref="A56:B56"/>
    <mergeCell ref="A9:H9"/>
    <mergeCell ref="A32:H32"/>
    <mergeCell ref="A44:H44"/>
    <mergeCell ref="A8:B8"/>
    <mergeCell ref="A31:B31"/>
    <mergeCell ref="A20:B20"/>
    <mergeCell ref="A3:H3"/>
    <mergeCell ref="A5:H5"/>
    <mergeCell ref="A21:H21"/>
  </mergeCells>
  <dataValidations count="1">
    <dataValidation type="whole" operator="greaterThanOrEqual" allowBlank="1" showErrorMessage="1" errorTitle="SOLO NUMEROS ENTEROS" error="SOLO NUMEROS ENTEROS" sqref="C45:D54 C22:D30 F22:F30 F33:F42 F6:F7 C6:D7 F10:F19 C10:D19 C33:D42 F45:F54" xr:uid="{6AC8D00A-3672-4ADC-B9A1-99C1D36C604C}">
      <formula1>0</formula1>
    </dataValidation>
  </dataValidations>
  <printOptions gridLines="1"/>
  <pageMargins left="0.23622047244094491" right="0.23622047244094491" top="0.74803149606299213" bottom="0.74803149606299213" header="0.31496062992125984" footer="0.31496062992125984"/>
  <pageSetup scale="64" fitToHeight="0" orientation="landscape" horizontalDpi="4294967294" verticalDpi="4294967294" r:id="rId1"/>
  <ignoredErrors>
    <ignoredError sqref="E6 G6 E31:G31 E43:F43 E55:F56 F20 E20 G20 E7:E8 G7:G8"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3932-47DA-4CEF-9707-D69495925FDA}">
  <sheetPr>
    <tabColor theme="8" tint="-0.249977111117893"/>
  </sheetPr>
  <dimension ref="A3:K23"/>
  <sheetViews>
    <sheetView showGridLines="0" view="pageBreakPreview" topLeftCell="A18" zoomScaleNormal="100" zoomScaleSheetLayoutView="100" workbookViewId="0">
      <selection activeCell="E32" sqref="E32"/>
    </sheetView>
  </sheetViews>
  <sheetFormatPr baseColWidth="10" defaultColWidth="11.42578125" defaultRowHeight="12.75"/>
  <cols>
    <col min="1" max="1" width="25.140625" style="25" customWidth="1"/>
    <col min="2" max="2" width="29.140625" style="25" customWidth="1"/>
    <col min="3" max="3" width="20" style="25" customWidth="1"/>
    <col min="4" max="4" width="21.7109375" style="25" bestFit="1" customWidth="1"/>
    <col min="5" max="5" width="23.42578125" style="25" bestFit="1" customWidth="1"/>
    <col min="6" max="6" width="21.42578125" style="25" customWidth="1"/>
    <col min="7" max="7" width="27.42578125" style="25" bestFit="1" customWidth="1"/>
    <col min="8" max="8" width="27.42578125" style="25" customWidth="1"/>
    <col min="9" max="16384" width="11.42578125" style="25"/>
  </cols>
  <sheetData>
    <row r="3" spans="1:11" ht="26.25" customHeight="1">
      <c r="A3" s="702" t="s">
        <v>167</v>
      </c>
      <c r="B3" s="702"/>
      <c r="C3" s="702"/>
      <c r="D3" s="702"/>
      <c r="E3" s="702"/>
      <c r="F3" s="702"/>
      <c r="G3" s="702"/>
      <c r="H3" s="702"/>
    </row>
    <row r="4" spans="1:11" ht="31.5" customHeight="1" thickBot="1">
      <c r="A4" s="26" t="s">
        <v>168</v>
      </c>
      <c r="B4" s="26" t="s">
        <v>138</v>
      </c>
      <c r="C4" s="26" t="s">
        <v>153</v>
      </c>
      <c r="D4" s="26" t="s">
        <v>154</v>
      </c>
      <c r="E4" s="26" t="s">
        <v>155</v>
      </c>
      <c r="F4" s="26" t="s">
        <v>141</v>
      </c>
      <c r="G4" s="26" t="s">
        <v>156</v>
      </c>
      <c r="H4" s="26" t="s">
        <v>157</v>
      </c>
      <c r="J4" s="27" t="s">
        <v>7</v>
      </c>
      <c r="K4" s="28">
        <f>'PRESUPUESTO T+1 '!B12</f>
        <v>0.03</v>
      </c>
    </row>
    <row r="5" spans="1:11" ht="21" customHeight="1" thickTop="1">
      <c r="A5" s="703" t="s">
        <v>169</v>
      </c>
      <c r="B5" s="703"/>
      <c r="C5" s="703"/>
      <c r="D5" s="703"/>
      <c r="E5" s="703"/>
      <c r="F5" s="703"/>
      <c r="G5" s="703"/>
      <c r="H5" s="703"/>
    </row>
    <row r="6" spans="1:11" ht="15" customHeight="1">
      <c r="A6" s="310"/>
      <c r="B6" s="311"/>
      <c r="C6" s="312"/>
      <c r="D6" s="313"/>
      <c r="E6" s="314"/>
      <c r="F6" s="315"/>
      <c r="G6" s="314"/>
      <c r="H6" s="133"/>
    </row>
    <row r="7" spans="1:11" ht="15" customHeight="1">
      <c r="A7" s="310"/>
      <c r="B7" s="316"/>
      <c r="C7" s="312"/>
      <c r="D7" s="313"/>
      <c r="E7" s="314"/>
      <c r="F7" s="315"/>
      <c r="G7" s="314"/>
      <c r="H7" s="133"/>
    </row>
    <row r="8" spans="1:11" ht="15" customHeight="1">
      <c r="A8" s="704" t="s">
        <v>145</v>
      </c>
      <c r="B8" s="704"/>
      <c r="C8" s="134"/>
      <c r="D8" s="135"/>
      <c r="E8" s="136">
        <f>SUM(E6:E7)</f>
        <v>0</v>
      </c>
      <c r="F8" s="137"/>
      <c r="G8" s="136">
        <f>SUM(G6:G7)</f>
        <v>0</v>
      </c>
      <c r="H8" s="138"/>
      <c r="J8" s="29"/>
    </row>
    <row r="9" spans="1:11" ht="21" customHeight="1">
      <c r="A9" s="703" t="s">
        <v>170</v>
      </c>
      <c r="B9" s="703"/>
      <c r="C9" s="703"/>
      <c r="D9" s="703"/>
      <c r="E9" s="703"/>
      <c r="F9" s="703"/>
      <c r="G9" s="703"/>
      <c r="H9" s="703"/>
    </row>
    <row r="10" spans="1:11">
      <c r="A10" s="266" t="s">
        <v>306</v>
      </c>
      <c r="B10" s="311"/>
      <c r="C10" s="312"/>
      <c r="D10" s="313"/>
      <c r="E10" s="314"/>
      <c r="F10" s="315"/>
      <c r="G10" s="314"/>
      <c r="H10" s="133"/>
    </row>
    <row r="11" spans="1:11" ht="25.5">
      <c r="A11" s="266" t="s">
        <v>307</v>
      </c>
      <c r="B11" s="311"/>
      <c r="C11" s="312"/>
      <c r="D11" s="313"/>
      <c r="E11" s="314"/>
      <c r="F11" s="315"/>
      <c r="G11" s="314"/>
      <c r="H11" s="133"/>
    </row>
    <row r="12" spans="1:11" ht="25.5">
      <c r="A12" s="269" t="s">
        <v>308</v>
      </c>
      <c r="B12" s="311"/>
      <c r="C12" s="312"/>
      <c r="D12" s="313"/>
      <c r="E12" s="314"/>
      <c r="F12" s="315"/>
      <c r="G12" s="314"/>
      <c r="H12" s="133"/>
    </row>
    <row r="13" spans="1:11">
      <c r="A13" s="267" t="s">
        <v>309</v>
      </c>
      <c r="B13" s="311"/>
      <c r="C13" s="312"/>
      <c r="D13" s="313"/>
      <c r="E13" s="314"/>
      <c r="F13" s="315"/>
      <c r="G13" s="314"/>
      <c r="H13" s="133"/>
    </row>
    <row r="14" spans="1:11">
      <c r="A14" s="267" t="s">
        <v>310</v>
      </c>
      <c r="B14" s="311"/>
      <c r="C14" s="312"/>
      <c r="D14" s="313"/>
      <c r="E14" s="314"/>
      <c r="F14" s="315"/>
      <c r="G14" s="314"/>
      <c r="H14" s="133"/>
    </row>
    <row r="15" spans="1:11">
      <c r="A15" s="267" t="s">
        <v>311</v>
      </c>
      <c r="B15" s="311"/>
      <c r="C15" s="312"/>
      <c r="D15" s="313"/>
      <c r="E15" s="314"/>
      <c r="F15" s="315"/>
      <c r="G15" s="314"/>
      <c r="H15" s="133"/>
    </row>
    <row r="16" spans="1:11">
      <c r="A16" s="267" t="s">
        <v>312</v>
      </c>
      <c r="B16" s="311"/>
      <c r="C16" s="312"/>
      <c r="D16" s="313"/>
      <c r="E16" s="314"/>
      <c r="F16" s="315"/>
      <c r="G16" s="314"/>
      <c r="H16" s="133"/>
    </row>
    <row r="17" spans="1:10">
      <c r="A17" s="267" t="s">
        <v>313</v>
      </c>
      <c r="B17" s="311"/>
      <c r="C17" s="312"/>
      <c r="D17" s="313"/>
      <c r="E17" s="314"/>
      <c r="F17" s="315"/>
      <c r="G17" s="314"/>
      <c r="H17" s="133"/>
    </row>
    <row r="18" spans="1:10">
      <c r="A18" s="267" t="s">
        <v>314</v>
      </c>
      <c r="B18" s="311"/>
      <c r="C18" s="312"/>
      <c r="D18" s="313"/>
      <c r="E18" s="314"/>
      <c r="F18" s="315"/>
      <c r="G18" s="314"/>
      <c r="H18" s="133"/>
    </row>
    <row r="19" spans="1:10" ht="15" customHeight="1">
      <c r="A19" s="132"/>
      <c r="B19" s="311"/>
      <c r="C19" s="312"/>
      <c r="D19" s="313"/>
      <c r="E19" s="314"/>
      <c r="F19" s="315"/>
      <c r="G19" s="314"/>
      <c r="H19" s="133"/>
    </row>
    <row r="20" spans="1:10" ht="15" customHeight="1">
      <c r="A20" s="704" t="s">
        <v>145</v>
      </c>
      <c r="B20" s="704"/>
      <c r="C20" s="134"/>
      <c r="D20" s="135"/>
      <c r="E20" s="136">
        <f>SUM(E10:E19)</f>
        <v>0</v>
      </c>
      <c r="F20" s="137"/>
      <c r="G20" s="136">
        <f>SUM(G10:G19)</f>
        <v>0</v>
      </c>
      <c r="H20" s="138"/>
      <c r="J20" s="29"/>
    </row>
    <row r="21" spans="1:10" ht="24.75" customHeight="1">
      <c r="A21" s="701" t="s">
        <v>171</v>
      </c>
      <c r="B21" s="701"/>
      <c r="C21" s="139"/>
      <c r="D21" s="139"/>
      <c r="E21" s="140">
        <f>E20+E8</f>
        <v>0</v>
      </c>
      <c r="F21" s="139"/>
      <c r="G21" s="140">
        <f>G20+G8</f>
        <v>0</v>
      </c>
      <c r="H21" s="139"/>
    </row>
    <row r="22" spans="1:10">
      <c r="E22" s="29"/>
      <c r="F22" s="29"/>
    </row>
    <row r="23" spans="1:10">
      <c r="A23" s="699" t="s">
        <v>100</v>
      </c>
      <c r="B23" s="699"/>
      <c r="C23" s="699"/>
      <c r="D23" s="699" t="s">
        <v>165</v>
      </c>
      <c r="E23" s="699"/>
      <c r="F23" s="699"/>
      <c r="G23" s="700" t="s">
        <v>172</v>
      </c>
      <c r="H23" s="700"/>
    </row>
  </sheetData>
  <sheetProtection formatRows="0" insertRows="0"/>
  <mergeCells count="9">
    <mergeCell ref="A23:C23"/>
    <mergeCell ref="D23:F23"/>
    <mergeCell ref="G23:H23"/>
    <mergeCell ref="A21:B21"/>
    <mergeCell ref="A3:H3"/>
    <mergeCell ref="A9:H9"/>
    <mergeCell ref="A20:B20"/>
    <mergeCell ref="A5:H5"/>
    <mergeCell ref="A8:B8"/>
  </mergeCells>
  <dataValidations count="1">
    <dataValidation type="whole" operator="greaterThanOrEqual" allowBlank="1" showErrorMessage="1" errorTitle="SOLO NUMEROS ENTEROS" error="SOLO NUMEROS ENTEROS" sqref="F6:F7 C6:D7 C10:D19 F10:F19" xr:uid="{15C7FE2A-703A-4A23-BC97-41BA68888F65}">
      <formula1>0</formula1>
    </dataValidation>
  </dataValidations>
  <printOptions gridLines="1"/>
  <pageMargins left="0.23622047244094491" right="0.23622047244094491" top="0.74803149606299213" bottom="0.74803149606299213" header="0.31496062992125984" footer="0.31496062992125984"/>
  <pageSetup scale="58" fitToHeight="0" orientation="landscape" horizontalDpi="4294967294" verticalDpi="4294967294" r:id="rId1"/>
  <ignoredErrors>
    <ignoredError sqref="E20:E21 G20 G8"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C6D79-C80B-4A7C-9E25-E95338770EB4}">
  <sheetPr>
    <tabColor theme="8" tint="-0.249977111117893"/>
  </sheetPr>
  <dimension ref="B3:N90"/>
  <sheetViews>
    <sheetView showGridLines="0" view="pageBreakPreview" topLeftCell="B3" zoomScale="80" zoomScaleNormal="100" zoomScaleSheetLayoutView="80" workbookViewId="0">
      <pane ySplit="2" topLeftCell="A67" activePane="bottomLeft" state="frozen"/>
      <selection activeCell="G32" sqref="G32"/>
      <selection pane="bottomLeft" activeCell="I62" sqref="I62"/>
    </sheetView>
  </sheetViews>
  <sheetFormatPr baseColWidth="10" defaultColWidth="11.42578125" defaultRowHeight="12.75"/>
  <cols>
    <col min="1" max="1" width="11.42578125" style="333"/>
    <col min="2" max="2" width="49.140625" style="333" bestFit="1" customWidth="1"/>
    <col min="3" max="3" width="29.140625" style="333" customWidth="1"/>
    <col min="4" max="4" width="10.42578125" style="333" customWidth="1"/>
    <col min="5" max="5" width="21.7109375" style="333" bestFit="1" customWidth="1"/>
    <col min="6" max="6" width="23.42578125" style="333" bestFit="1" customWidth="1"/>
    <col min="7" max="7" width="21.42578125" style="333" customWidth="1"/>
    <col min="8" max="8" width="19.42578125" style="333" customWidth="1"/>
    <col min="9" max="9" width="27.42578125" style="250" customWidth="1"/>
    <col min="10" max="10" width="18.42578125" style="250" bestFit="1" customWidth="1"/>
    <col min="11" max="11" width="16.42578125" style="250" bestFit="1" customWidth="1"/>
    <col min="12" max="12" width="15.7109375" style="333" bestFit="1" customWidth="1"/>
    <col min="13" max="13" width="16.42578125" style="333" bestFit="1" customWidth="1"/>
    <col min="14" max="16384" width="11.42578125" style="333"/>
  </cols>
  <sheetData>
    <row r="3" spans="2:14" ht="24.75" customHeight="1">
      <c r="B3" s="706" t="s">
        <v>173</v>
      </c>
      <c r="C3" s="706"/>
      <c r="D3" s="706"/>
      <c r="E3" s="706"/>
      <c r="F3" s="706"/>
      <c r="G3" s="706"/>
      <c r="H3" s="706"/>
      <c r="I3" s="706"/>
      <c r="J3" s="595"/>
      <c r="K3" s="595"/>
    </row>
    <row r="4" spans="2:14" ht="39" thickBot="1">
      <c r="B4" s="17" t="s">
        <v>168</v>
      </c>
      <c r="C4" s="17" t="s">
        <v>138</v>
      </c>
      <c r="D4" s="17" t="s">
        <v>153</v>
      </c>
      <c r="E4" s="17" t="s">
        <v>154</v>
      </c>
      <c r="F4" s="17" t="s">
        <v>155</v>
      </c>
      <c r="G4" s="17" t="s">
        <v>141</v>
      </c>
      <c r="H4" s="17" t="s">
        <v>156</v>
      </c>
      <c r="I4" s="17" t="s">
        <v>157</v>
      </c>
      <c r="J4" s="596" t="s">
        <v>458</v>
      </c>
      <c r="K4" s="596" t="s">
        <v>459</v>
      </c>
      <c r="M4" s="334" t="s">
        <v>7</v>
      </c>
      <c r="N4" s="335">
        <f>'PRESUPUESTO T+1 '!B12</f>
        <v>0.03</v>
      </c>
    </row>
    <row r="5" spans="2:14" ht="13.5" hidden="1" thickTop="1">
      <c r="B5" s="694" t="s">
        <v>174</v>
      </c>
      <c r="C5" s="694"/>
      <c r="D5" s="694"/>
      <c r="E5" s="694"/>
      <c r="F5" s="694"/>
      <c r="G5" s="694"/>
      <c r="H5" s="694"/>
      <c r="I5" s="694"/>
      <c r="J5" s="597"/>
    </row>
    <row r="6" spans="2:14" hidden="1">
      <c r="B6" s="266" t="s">
        <v>306</v>
      </c>
      <c r="C6" s="336"/>
      <c r="D6" s="337"/>
      <c r="E6" s="317"/>
      <c r="F6" s="304"/>
      <c r="G6" s="305"/>
      <c r="H6" s="304"/>
      <c r="I6" s="130"/>
      <c r="J6" s="474"/>
    </row>
    <row r="7" spans="2:14" hidden="1">
      <c r="B7" s="266" t="s">
        <v>307</v>
      </c>
      <c r="C7" s="336"/>
      <c r="D7" s="337"/>
      <c r="E7" s="317"/>
      <c r="F7" s="304"/>
      <c r="G7" s="305"/>
      <c r="H7" s="304"/>
      <c r="I7" s="130"/>
      <c r="J7" s="474"/>
    </row>
    <row r="8" spans="2:14" hidden="1">
      <c r="B8" s="269" t="s">
        <v>308</v>
      </c>
      <c r="C8" s="336"/>
      <c r="D8" s="337"/>
      <c r="E8" s="317"/>
      <c r="F8" s="304"/>
      <c r="G8" s="305"/>
      <c r="H8" s="304"/>
      <c r="I8" s="130"/>
      <c r="J8" s="598"/>
    </row>
    <row r="9" spans="2:14" hidden="1">
      <c r="B9" s="267" t="s">
        <v>309</v>
      </c>
      <c r="C9" s="336"/>
      <c r="D9" s="337"/>
      <c r="E9" s="317"/>
      <c r="F9" s="304"/>
      <c r="G9" s="305"/>
      <c r="H9" s="304"/>
      <c r="I9" s="130"/>
      <c r="J9" s="599"/>
    </row>
    <row r="10" spans="2:14" hidden="1">
      <c r="B10" s="267" t="s">
        <v>310</v>
      </c>
      <c r="C10" s="336"/>
      <c r="D10" s="337"/>
      <c r="E10" s="317"/>
      <c r="F10" s="304"/>
      <c r="G10" s="305"/>
      <c r="H10" s="304"/>
      <c r="I10" s="130"/>
      <c r="J10" s="474"/>
    </row>
    <row r="11" spans="2:14" hidden="1">
      <c r="B11" s="267" t="s">
        <v>311</v>
      </c>
      <c r="C11" s="336"/>
      <c r="D11" s="337"/>
      <c r="E11" s="317"/>
      <c r="F11" s="304"/>
      <c r="G11" s="305"/>
      <c r="H11" s="304"/>
      <c r="I11" s="130"/>
      <c r="J11" s="474"/>
    </row>
    <row r="12" spans="2:14" hidden="1">
      <c r="B12" s="267" t="s">
        <v>312</v>
      </c>
      <c r="C12" s="336"/>
      <c r="D12" s="337"/>
      <c r="E12" s="317"/>
      <c r="F12" s="304"/>
      <c r="G12" s="305"/>
      <c r="H12" s="304"/>
      <c r="I12" s="130"/>
      <c r="J12" s="474"/>
    </row>
    <row r="13" spans="2:14" hidden="1">
      <c r="B13" s="267" t="s">
        <v>313</v>
      </c>
      <c r="C13" s="336"/>
      <c r="D13" s="337"/>
      <c r="E13" s="317"/>
      <c r="F13" s="304"/>
      <c r="G13" s="305"/>
      <c r="H13" s="304"/>
      <c r="I13" s="130"/>
      <c r="J13" s="474"/>
    </row>
    <row r="14" spans="2:14" hidden="1">
      <c r="B14" s="267" t="s">
        <v>314</v>
      </c>
      <c r="C14" s="336"/>
      <c r="D14" s="337"/>
      <c r="E14" s="317"/>
      <c r="F14" s="304"/>
      <c r="G14" s="305"/>
      <c r="H14" s="304"/>
      <c r="I14" s="130"/>
      <c r="J14" s="474"/>
    </row>
    <row r="15" spans="2:14" hidden="1">
      <c r="B15" s="124"/>
      <c r="C15" s="129"/>
      <c r="D15" s="339"/>
      <c r="E15" s="125"/>
      <c r="F15" s="126">
        <f>(+E15*D15)</f>
        <v>0</v>
      </c>
      <c r="G15" s="231"/>
      <c r="H15" s="126">
        <f>(F15*G15)*(1+$N$4)</f>
        <v>0</v>
      </c>
      <c r="I15" s="130"/>
      <c r="J15" s="474">
        <f>+H15</f>
        <v>0</v>
      </c>
      <c r="K15" s="474">
        <f>+J15-H15</f>
        <v>0</v>
      </c>
    </row>
    <row r="16" spans="2:14" hidden="1">
      <c r="B16" s="707" t="s">
        <v>145</v>
      </c>
      <c r="C16" s="707"/>
      <c r="D16" s="340"/>
      <c r="E16" s="127"/>
      <c r="F16" s="341">
        <f>SUM(F6:F15)</f>
        <v>0</v>
      </c>
      <c r="G16" s="341"/>
      <c r="H16" s="341">
        <f>SUM(H6:H15)</f>
        <v>0</v>
      </c>
      <c r="I16" s="256"/>
      <c r="J16" s="474"/>
      <c r="M16" s="342"/>
    </row>
    <row r="17" spans="2:14" hidden="1">
      <c r="B17" s="695" t="s">
        <v>175</v>
      </c>
      <c r="C17" s="695"/>
      <c r="D17" s="695"/>
      <c r="E17" s="695"/>
      <c r="F17" s="695"/>
      <c r="G17" s="695"/>
      <c r="H17" s="695"/>
      <c r="I17" s="695"/>
      <c r="J17" s="474"/>
    </row>
    <row r="18" spans="2:14" hidden="1">
      <c r="B18" s="266" t="s">
        <v>306</v>
      </c>
      <c r="C18" s="336"/>
      <c r="D18" s="337"/>
      <c r="E18" s="317"/>
      <c r="F18" s="304"/>
      <c r="G18" s="305"/>
      <c r="H18" s="304"/>
      <c r="I18" s="130"/>
      <c r="J18" s="474"/>
    </row>
    <row r="19" spans="2:14" hidden="1">
      <c r="B19" s="266" t="s">
        <v>307</v>
      </c>
      <c r="C19" s="336"/>
      <c r="D19" s="337"/>
      <c r="E19" s="317"/>
      <c r="F19" s="304"/>
      <c r="G19" s="305"/>
      <c r="H19" s="304"/>
      <c r="I19" s="130"/>
      <c r="J19" s="474"/>
    </row>
    <row r="20" spans="2:14" hidden="1">
      <c r="B20" s="269" t="s">
        <v>308</v>
      </c>
      <c r="C20" s="336"/>
      <c r="D20" s="337"/>
      <c r="E20" s="317"/>
      <c r="F20" s="304"/>
      <c r="G20" s="305"/>
      <c r="H20" s="304"/>
      <c r="I20" s="130"/>
      <c r="J20" s="598"/>
    </row>
    <row r="21" spans="2:14" hidden="1">
      <c r="B21" s="267" t="s">
        <v>309</v>
      </c>
      <c r="C21" s="336"/>
      <c r="D21" s="337"/>
      <c r="E21" s="317"/>
      <c r="F21" s="304"/>
      <c r="G21" s="305"/>
      <c r="H21" s="304"/>
      <c r="I21" s="130"/>
      <c r="J21" s="599"/>
    </row>
    <row r="22" spans="2:14" hidden="1">
      <c r="B22" s="267" t="s">
        <v>310</v>
      </c>
      <c r="C22" s="336"/>
      <c r="D22" s="337"/>
      <c r="E22" s="317"/>
      <c r="F22" s="304"/>
      <c r="G22" s="305"/>
      <c r="H22" s="304"/>
      <c r="I22" s="130"/>
      <c r="J22" s="474"/>
    </row>
    <row r="23" spans="2:14" hidden="1">
      <c r="B23" s="267" t="s">
        <v>311</v>
      </c>
      <c r="C23" s="336"/>
      <c r="D23" s="337"/>
      <c r="E23" s="317"/>
      <c r="F23" s="304"/>
      <c r="G23" s="305"/>
      <c r="H23" s="304"/>
      <c r="I23" s="130"/>
      <c r="J23" s="474"/>
    </row>
    <row r="24" spans="2:14" hidden="1">
      <c r="B24" s="267" t="s">
        <v>312</v>
      </c>
      <c r="C24" s="336"/>
      <c r="D24" s="337"/>
      <c r="E24" s="317"/>
      <c r="F24" s="304"/>
      <c r="G24" s="305"/>
      <c r="H24" s="304"/>
      <c r="I24" s="130"/>
      <c r="J24" s="474"/>
    </row>
    <row r="25" spans="2:14" hidden="1">
      <c r="B25" s="267" t="s">
        <v>313</v>
      </c>
      <c r="C25" s="336"/>
      <c r="D25" s="337"/>
      <c r="E25" s="317"/>
      <c r="F25" s="304"/>
      <c r="G25" s="305"/>
      <c r="H25" s="304"/>
      <c r="I25" s="130"/>
      <c r="J25" s="474">
        <f>+H25</f>
        <v>0</v>
      </c>
      <c r="K25" s="474">
        <f>+J25-H25</f>
        <v>0</v>
      </c>
    </row>
    <row r="26" spans="2:14" hidden="1">
      <c r="B26" s="267" t="s">
        <v>314</v>
      </c>
      <c r="C26" s="336"/>
      <c r="D26" s="337"/>
      <c r="E26" s="317"/>
      <c r="F26" s="304"/>
      <c r="G26" s="305"/>
      <c r="H26" s="304"/>
      <c r="I26" s="130"/>
      <c r="J26" s="474">
        <f>+H26</f>
        <v>0</v>
      </c>
      <c r="K26" s="474">
        <f>+J26-H26</f>
        <v>0</v>
      </c>
    </row>
    <row r="27" spans="2:14" hidden="1">
      <c r="B27" s="124"/>
      <c r="C27" s="129"/>
      <c r="D27" s="339"/>
      <c r="E27" s="125"/>
      <c r="F27" s="126">
        <f>(+E27*D27)</f>
        <v>0</v>
      </c>
      <c r="G27" s="231"/>
      <c r="H27" s="126">
        <f>(F27*G27)*(1+$N$4)</f>
        <v>0</v>
      </c>
      <c r="I27" s="130"/>
      <c r="J27" s="474"/>
    </row>
    <row r="28" spans="2:14" ht="13.5" hidden="1" thickTop="1">
      <c r="B28" s="705" t="s">
        <v>145</v>
      </c>
      <c r="C28" s="705"/>
      <c r="D28" s="343"/>
      <c r="E28" s="141"/>
      <c r="F28" s="341">
        <f>SUM(F18:F27)</f>
        <v>0</v>
      </c>
      <c r="G28" s="344"/>
      <c r="H28" s="341">
        <f>SUM(H18:H27)</f>
        <v>0</v>
      </c>
      <c r="I28" s="345"/>
      <c r="J28" s="474"/>
      <c r="M28" s="342"/>
    </row>
    <row r="29" spans="2:14" ht="13.5" thickTop="1">
      <c r="B29" s="695" t="s">
        <v>176</v>
      </c>
      <c r="C29" s="695"/>
      <c r="D29" s="695"/>
      <c r="E29" s="695"/>
      <c r="F29" s="695"/>
      <c r="G29" s="695"/>
      <c r="H29" s="695"/>
      <c r="I29" s="695"/>
      <c r="J29" s="474"/>
      <c r="M29" s="346"/>
      <c r="N29" s="347"/>
    </row>
    <row r="30" spans="2:14">
      <c r="B30" s="266" t="s">
        <v>306</v>
      </c>
      <c r="C30" s="302"/>
      <c r="D30" s="303"/>
      <c r="E30" s="304"/>
      <c r="F30" s="304"/>
      <c r="G30" s="305"/>
      <c r="H30" s="304"/>
      <c r="I30" s="130"/>
      <c r="J30" s="474"/>
    </row>
    <row r="31" spans="2:14">
      <c r="B31" s="266" t="s">
        <v>307</v>
      </c>
      <c r="C31" s="336"/>
      <c r="D31" s="337"/>
      <c r="E31" s="317"/>
      <c r="F31" s="304"/>
      <c r="G31" s="305"/>
      <c r="H31" s="304"/>
      <c r="I31" s="130"/>
      <c r="J31" s="620">
        <f>+H31</f>
        <v>0</v>
      </c>
      <c r="K31" s="474">
        <f>+J31-H31</f>
        <v>0</v>
      </c>
    </row>
    <row r="32" spans="2:14" ht="51">
      <c r="B32" s="269" t="s">
        <v>308</v>
      </c>
      <c r="C32" s="338"/>
      <c r="D32" s="339"/>
      <c r="E32" s="125"/>
      <c r="F32" s="126"/>
      <c r="G32" s="231"/>
      <c r="H32" s="126"/>
      <c r="I32" s="130" t="s">
        <v>317</v>
      </c>
      <c r="J32" s="620">
        <f t="shared" ref="J32:J35" si="0">+H32</f>
        <v>0</v>
      </c>
      <c r="K32" s="474">
        <f t="shared" ref="K32:K34" si="1">+J32-H32</f>
        <v>0</v>
      </c>
    </row>
    <row r="33" spans="2:14" ht="38.25">
      <c r="B33" s="267" t="s">
        <v>309</v>
      </c>
      <c r="C33" s="338"/>
      <c r="D33" s="339"/>
      <c r="E33" s="125"/>
      <c r="F33" s="126">
        <v>11415176825</v>
      </c>
      <c r="H33" s="126">
        <v>11757632129.75</v>
      </c>
      <c r="I33" s="130" t="s">
        <v>436</v>
      </c>
      <c r="J33" s="620">
        <v>10490886629.75</v>
      </c>
      <c r="K33" s="604">
        <f t="shared" si="1"/>
        <v>-1266745500</v>
      </c>
      <c r="L33" s="504">
        <f>+(H33/F33)-1</f>
        <v>3.0000000000000027E-2</v>
      </c>
    </row>
    <row r="34" spans="2:14" ht="51">
      <c r="B34" s="267" t="s">
        <v>310</v>
      </c>
      <c r="C34" s="338"/>
      <c r="D34" s="339"/>
      <c r="E34" s="125"/>
      <c r="F34" s="126"/>
      <c r="G34" s="231"/>
      <c r="H34" s="126">
        <v>1405950000</v>
      </c>
      <c r="I34" s="130" t="s">
        <v>439</v>
      </c>
      <c r="J34" s="620">
        <f>+H34*0.89</f>
        <v>1251295500</v>
      </c>
      <c r="K34" s="604">
        <f t="shared" si="1"/>
        <v>-154654500</v>
      </c>
      <c r="L34" s="403">
        <f>+J33+K40</f>
        <v>10490886629.75</v>
      </c>
    </row>
    <row r="35" spans="2:14" ht="63.75">
      <c r="B35" s="267" t="s">
        <v>311</v>
      </c>
      <c r="C35" s="400" t="s">
        <v>340</v>
      </c>
      <c r="D35" s="401"/>
      <c r="E35" s="402"/>
      <c r="F35" s="399">
        <v>15000000</v>
      </c>
      <c r="G35" s="399">
        <v>1</v>
      </c>
      <c r="H35" s="399">
        <v>15450000</v>
      </c>
      <c r="I35" s="327" t="s">
        <v>341</v>
      </c>
      <c r="J35" s="620">
        <f t="shared" si="0"/>
        <v>15450000</v>
      </c>
      <c r="K35" s="474"/>
    </row>
    <row r="36" spans="2:14">
      <c r="B36" s="267" t="s">
        <v>312</v>
      </c>
      <c r="C36" s="336"/>
      <c r="D36" s="337"/>
      <c r="E36" s="317"/>
      <c r="F36" s="304"/>
      <c r="G36" s="305"/>
      <c r="H36" s="304"/>
      <c r="I36" s="130"/>
      <c r="J36" s="474">
        <f>+H36</f>
        <v>0</v>
      </c>
      <c r="K36" s="474"/>
    </row>
    <row r="37" spans="2:14">
      <c r="B37" s="267" t="s">
        <v>313</v>
      </c>
      <c r="C37" s="336"/>
      <c r="D37" s="337"/>
      <c r="E37" s="317"/>
      <c r="F37" s="304"/>
      <c r="G37" s="305"/>
      <c r="H37" s="304"/>
      <c r="I37" s="130"/>
    </row>
    <row r="38" spans="2:14">
      <c r="B38" s="267" t="s">
        <v>314</v>
      </c>
      <c r="C38" s="336"/>
      <c r="D38" s="337"/>
      <c r="E38" s="317"/>
      <c r="F38" s="304"/>
      <c r="G38" s="305"/>
      <c r="H38" s="304"/>
      <c r="I38" s="130"/>
      <c r="J38" s="474">
        <f>+H38</f>
        <v>0</v>
      </c>
      <c r="K38" s="474"/>
    </row>
    <row r="39" spans="2:14">
      <c r="B39" s="128"/>
      <c r="C39" s="129"/>
      <c r="D39" s="249"/>
      <c r="E39" s="126"/>
      <c r="F39" s="126">
        <f>(+E39*D39)</f>
        <v>0</v>
      </c>
      <c r="G39" s="231"/>
      <c r="H39" s="126">
        <f>(F39*G39)*(1+$N$4)</f>
        <v>0</v>
      </c>
      <c r="I39" s="130"/>
      <c r="J39" s="474">
        <f t="shared" ref="J39:J77" si="2">+H39</f>
        <v>0</v>
      </c>
      <c r="K39" s="474"/>
    </row>
    <row r="40" spans="2:14">
      <c r="B40" s="705" t="s">
        <v>145</v>
      </c>
      <c r="C40" s="705"/>
      <c r="D40" s="343"/>
      <c r="E40" s="141"/>
      <c r="F40" s="348">
        <f>SUM(F30:F39)</f>
        <v>11430176825</v>
      </c>
      <c r="G40" s="349"/>
      <c r="H40" s="348">
        <f>SUM(H30:H39)</f>
        <v>13179032129.75</v>
      </c>
      <c r="I40" s="345"/>
      <c r="J40" s="621">
        <v>11757632129.75</v>
      </c>
      <c r="K40" s="621">
        <f>+J40-SUM(J30:J39)</f>
        <v>0</v>
      </c>
    </row>
    <row r="41" spans="2:14">
      <c r="B41" s="695" t="s">
        <v>177</v>
      </c>
      <c r="C41" s="695"/>
      <c r="D41" s="695"/>
      <c r="E41" s="695"/>
      <c r="F41" s="695"/>
      <c r="G41" s="695"/>
      <c r="H41" s="695"/>
      <c r="I41" s="695"/>
      <c r="J41" s="474">
        <f t="shared" si="2"/>
        <v>0</v>
      </c>
      <c r="K41" s="474"/>
      <c r="M41" s="346"/>
      <c r="N41" s="347"/>
    </row>
    <row r="42" spans="2:14">
      <c r="B42" s="266" t="s">
        <v>306</v>
      </c>
      <c r="C42" s="302"/>
      <c r="D42" s="306"/>
      <c r="E42" s="307"/>
      <c r="F42" s="304"/>
      <c r="G42" s="305"/>
      <c r="H42" s="304"/>
      <c r="I42" s="130"/>
      <c r="J42" s="474">
        <f t="shared" si="2"/>
        <v>0</v>
      </c>
      <c r="K42" s="474"/>
    </row>
    <row r="43" spans="2:14">
      <c r="B43" s="266" t="s">
        <v>307</v>
      </c>
      <c r="C43" s="336"/>
      <c r="D43" s="337"/>
      <c r="E43" s="317"/>
      <c r="F43" s="304"/>
      <c r="G43" s="305"/>
      <c r="H43" s="304"/>
      <c r="I43" s="130"/>
      <c r="J43" s="474">
        <f t="shared" si="2"/>
        <v>0</v>
      </c>
      <c r="K43" s="474"/>
    </row>
    <row r="44" spans="2:14" ht="25.5">
      <c r="B44" s="269" t="s">
        <v>308</v>
      </c>
      <c r="C44" s="338"/>
      <c r="D44" s="339">
        <v>3000</v>
      </c>
      <c r="E44" s="125"/>
      <c r="F44" s="126"/>
      <c r="G44" s="231"/>
      <c r="H44" s="126">
        <v>3231625000</v>
      </c>
      <c r="I44" s="130" t="s">
        <v>318</v>
      </c>
      <c r="J44" s="474">
        <f>+H44*0.86</f>
        <v>2779197500</v>
      </c>
      <c r="K44" s="604">
        <f>+J44-H44</f>
        <v>-452427500</v>
      </c>
    </row>
    <row r="45" spans="2:14" ht="153">
      <c r="B45" s="267" t="s">
        <v>309</v>
      </c>
      <c r="C45" s="129" t="s">
        <v>430</v>
      </c>
      <c r="D45" s="339">
        <v>55593</v>
      </c>
      <c r="E45" s="125">
        <v>13500</v>
      </c>
      <c r="F45" s="126">
        <v>750505500</v>
      </c>
      <c r="G45" s="231">
        <v>12</v>
      </c>
      <c r="H45" s="126">
        <v>9276247980</v>
      </c>
      <c r="I45" s="130" t="s">
        <v>431</v>
      </c>
      <c r="J45" s="474">
        <f>+H45*0.86</f>
        <v>7977573262.8000002</v>
      </c>
      <c r="K45" s="604">
        <f>+J45-H45</f>
        <v>-1298674717.1999998</v>
      </c>
    </row>
    <row r="46" spans="2:14" ht="63.75">
      <c r="B46" s="182" t="s">
        <v>310</v>
      </c>
      <c r="C46" s="338"/>
      <c r="D46" s="339">
        <v>5000</v>
      </c>
      <c r="E46" s="125"/>
      <c r="F46" s="126"/>
      <c r="G46" s="231"/>
      <c r="H46" s="126">
        <v>38625000</v>
      </c>
      <c r="I46" s="130" t="s">
        <v>327</v>
      </c>
      <c r="J46" s="474">
        <f t="shared" si="2"/>
        <v>38625000</v>
      </c>
      <c r="K46" s="474">
        <f>+J46-H46</f>
        <v>0</v>
      </c>
    </row>
    <row r="47" spans="2:14" s="495" customFormat="1" ht="242.25">
      <c r="B47" s="267" t="s">
        <v>311</v>
      </c>
      <c r="C47" s="338"/>
      <c r="D47" s="339"/>
      <c r="E47" s="125"/>
      <c r="F47" s="126"/>
      <c r="G47" s="231"/>
      <c r="H47" s="126">
        <v>77645961209.024002</v>
      </c>
      <c r="I47" s="130" t="s">
        <v>413</v>
      </c>
      <c r="J47" s="474">
        <v>54532182560.160011</v>
      </c>
      <c r="K47" s="604">
        <f>+J47-H47</f>
        <v>-23113778648.863991</v>
      </c>
      <c r="L47" s="622"/>
      <c r="M47" s="623"/>
    </row>
    <row r="48" spans="2:14">
      <c r="B48" s="267" t="s">
        <v>312</v>
      </c>
      <c r="C48" s="336"/>
      <c r="D48" s="337"/>
      <c r="E48" s="317"/>
      <c r="F48" s="304"/>
      <c r="G48" s="305"/>
      <c r="H48" s="304"/>
      <c r="I48" s="130"/>
      <c r="J48" s="474"/>
      <c r="K48" s="474"/>
      <c r="L48" s="622"/>
      <c r="M48" s="623"/>
    </row>
    <row r="49" spans="2:14">
      <c r="B49" s="267" t="s">
        <v>313</v>
      </c>
      <c r="C49" s="336"/>
      <c r="D49" s="337"/>
      <c r="E49" s="317"/>
      <c r="F49" s="304"/>
      <c r="G49" s="305"/>
      <c r="H49" s="304"/>
      <c r="I49" s="130"/>
      <c r="J49" s="474"/>
      <c r="K49" s="474"/>
      <c r="L49" s="622"/>
      <c r="M49" s="623"/>
    </row>
    <row r="50" spans="2:14">
      <c r="B50" s="267" t="s">
        <v>314</v>
      </c>
      <c r="C50" s="302"/>
      <c r="D50" s="303"/>
      <c r="E50" s="304"/>
      <c r="F50" s="304"/>
      <c r="G50" s="305"/>
      <c r="H50" s="304"/>
      <c r="I50" s="130"/>
      <c r="J50" s="474"/>
      <c r="K50" s="474"/>
      <c r="L50" s="622"/>
      <c r="M50" s="623"/>
    </row>
    <row r="51" spans="2:14">
      <c r="B51" s="124"/>
      <c r="C51" s="129"/>
      <c r="D51" s="235"/>
      <c r="E51" s="131"/>
      <c r="F51" s="126">
        <f>(+E51*D51)</f>
        <v>0</v>
      </c>
      <c r="G51" s="231"/>
      <c r="H51" s="126">
        <f>(F51*G51)*(1+$N$4)</f>
        <v>0</v>
      </c>
      <c r="I51" s="130"/>
      <c r="J51" s="474"/>
      <c r="K51" s="474"/>
      <c r="L51" s="403"/>
    </row>
    <row r="52" spans="2:14">
      <c r="B52" s="705" t="s">
        <v>145</v>
      </c>
      <c r="C52" s="705"/>
      <c r="D52" s="343"/>
      <c r="E52" s="141"/>
      <c r="F52" s="350">
        <f>SUM(F42:F51)</f>
        <v>750505500</v>
      </c>
      <c r="G52" s="351"/>
      <c r="H52" s="350">
        <f>SUM(H42:H51)</f>
        <v>90192459189.024002</v>
      </c>
      <c r="I52" s="352"/>
      <c r="J52" s="625">
        <f>+SUM(J42:J51)</f>
        <v>65327578322.960007</v>
      </c>
      <c r="K52" s="474"/>
      <c r="L52" s="624"/>
    </row>
    <row r="53" spans="2:14">
      <c r="B53" s="695" t="s">
        <v>178</v>
      </c>
      <c r="C53" s="695"/>
      <c r="D53" s="695"/>
      <c r="E53" s="695"/>
      <c r="F53" s="695"/>
      <c r="G53" s="695"/>
      <c r="H53" s="695"/>
      <c r="I53" s="695"/>
      <c r="J53" s="474">
        <f t="shared" si="2"/>
        <v>0</v>
      </c>
      <c r="K53" s="474">
        <f t="shared" ref="K53:K77" si="3">+J53-H53</f>
        <v>0</v>
      </c>
      <c r="M53" s="346"/>
      <c r="N53" s="347"/>
    </row>
    <row r="54" spans="2:14">
      <c r="B54" s="266" t="s">
        <v>306</v>
      </c>
      <c r="C54" s="308"/>
      <c r="D54" s="309"/>
      <c r="E54" s="307"/>
      <c r="F54" s="304"/>
      <c r="G54" s="305"/>
      <c r="H54" s="304"/>
      <c r="I54" s="130"/>
      <c r="J54" s="474">
        <f t="shared" si="2"/>
        <v>0</v>
      </c>
      <c r="K54" s="474">
        <f t="shared" si="3"/>
        <v>0</v>
      </c>
    </row>
    <row r="55" spans="2:14">
      <c r="B55" s="266" t="s">
        <v>307</v>
      </c>
      <c r="C55" s="308"/>
      <c r="D55" s="309"/>
      <c r="E55" s="307"/>
      <c r="F55" s="304"/>
      <c r="G55" s="305"/>
      <c r="H55" s="304"/>
      <c r="I55" s="130"/>
      <c r="J55" s="474">
        <f t="shared" si="2"/>
        <v>0</v>
      </c>
      <c r="K55" s="474">
        <f t="shared" si="3"/>
        <v>0</v>
      </c>
    </row>
    <row r="56" spans="2:14">
      <c r="B56" s="269" t="s">
        <v>308</v>
      </c>
      <c r="C56" s="308"/>
      <c r="D56" s="309"/>
      <c r="E56" s="307"/>
      <c r="F56" s="304"/>
      <c r="G56" s="305"/>
      <c r="H56" s="304"/>
      <c r="I56" s="130"/>
      <c r="J56" s="474">
        <f t="shared" si="2"/>
        <v>0</v>
      </c>
      <c r="K56" s="474">
        <f t="shared" si="3"/>
        <v>0</v>
      </c>
    </row>
    <row r="57" spans="2:14">
      <c r="B57" s="267" t="s">
        <v>309</v>
      </c>
      <c r="C57" s="308"/>
      <c r="D57" s="309"/>
      <c r="E57" s="307"/>
      <c r="F57" s="304"/>
      <c r="G57" s="305"/>
      <c r="H57" s="304"/>
      <c r="I57" s="130"/>
      <c r="J57" s="474">
        <f t="shared" si="2"/>
        <v>0</v>
      </c>
      <c r="K57" s="474">
        <f t="shared" si="3"/>
        <v>0</v>
      </c>
    </row>
    <row r="58" spans="2:14">
      <c r="B58" s="267" t="s">
        <v>310</v>
      </c>
      <c r="C58" s="308"/>
      <c r="D58" s="309"/>
      <c r="E58" s="307"/>
      <c r="F58" s="304"/>
      <c r="G58" s="305"/>
      <c r="H58" s="304"/>
      <c r="I58" s="130"/>
      <c r="J58" s="474">
        <f t="shared" si="2"/>
        <v>0</v>
      </c>
      <c r="K58" s="474">
        <f t="shared" si="3"/>
        <v>0</v>
      </c>
    </row>
    <row r="59" spans="2:14" ht="25.5">
      <c r="B59" s="267" t="s">
        <v>311</v>
      </c>
      <c r="C59" s="124"/>
      <c r="D59" s="236"/>
      <c r="E59" s="131"/>
      <c r="F59" s="126"/>
      <c r="G59" s="231"/>
      <c r="H59" s="126">
        <v>3090000000</v>
      </c>
      <c r="I59" s="130" t="s">
        <v>443</v>
      </c>
      <c r="J59" s="474">
        <v>0</v>
      </c>
      <c r="K59" s="604">
        <f t="shared" si="3"/>
        <v>-3090000000</v>
      </c>
    </row>
    <row r="60" spans="2:14" ht="38.25">
      <c r="B60" s="267" t="s">
        <v>312</v>
      </c>
      <c r="C60" s="124"/>
      <c r="D60" s="236"/>
      <c r="E60" s="131"/>
      <c r="F60" s="126"/>
      <c r="G60" s="231"/>
      <c r="H60" s="126">
        <v>40000000</v>
      </c>
      <c r="I60" s="130" t="s">
        <v>425</v>
      </c>
      <c r="J60" s="474">
        <v>0</v>
      </c>
      <c r="K60" s="604">
        <f t="shared" si="3"/>
        <v>-40000000</v>
      </c>
    </row>
    <row r="61" spans="2:14">
      <c r="B61" s="267" t="s">
        <v>313</v>
      </c>
      <c r="C61" s="308"/>
      <c r="D61" s="309"/>
      <c r="E61" s="307"/>
      <c r="F61" s="304"/>
      <c r="G61" s="305"/>
      <c r="H61" s="304"/>
      <c r="I61" s="130"/>
      <c r="J61" s="474">
        <v>0</v>
      </c>
      <c r="K61" s="604">
        <f t="shared" si="3"/>
        <v>0</v>
      </c>
    </row>
    <row r="62" spans="2:14" ht="25.5">
      <c r="B62" s="267" t="s">
        <v>314</v>
      </c>
      <c r="C62" s="124"/>
      <c r="D62" s="236"/>
      <c r="E62" s="131"/>
      <c r="F62" s="126"/>
      <c r="G62" s="231"/>
      <c r="H62" s="126">
        <v>25801000000</v>
      </c>
      <c r="I62" s="130" t="s">
        <v>444</v>
      </c>
      <c r="J62" s="474">
        <v>10943850000</v>
      </c>
      <c r="K62" s="604">
        <f t="shared" si="3"/>
        <v>-14857150000</v>
      </c>
    </row>
    <row r="63" spans="2:14">
      <c r="B63" s="124"/>
      <c r="C63" s="124"/>
      <c r="D63" s="236"/>
      <c r="E63" s="131"/>
      <c r="F63" s="126"/>
      <c r="G63" s="231"/>
      <c r="H63" s="126"/>
      <c r="I63" s="130"/>
      <c r="J63" s="474">
        <f t="shared" si="2"/>
        <v>0</v>
      </c>
      <c r="K63" s="474">
        <f t="shared" si="3"/>
        <v>0</v>
      </c>
    </row>
    <row r="64" spans="2:14">
      <c r="B64" s="343" t="s">
        <v>162</v>
      </c>
      <c r="C64" s="343"/>
      <c r="D64" s="343"/>
      <c r="E64" s="141"/>
      <c r="F64" s="348">
        <f>SUM(F54:F63)</f>
        <v>0</v>
      </c>
      <c r="G64" s="349"/>
      <c r="H64" s="348">
        <f>SUM(H54:H63)</f>
        <v>28931000000</v>
      </c>
      <c r="I64" s="345"/>
      <c r="J64" s="625">
        <v>10943850000</v>
      </c>
      <c r="K64" s="474">
        <f>+J64-SUM(J54:J63)</f>
        <v>0</v>
      </c>
    </row>
    <row r="65" spans="2:12">
      <c r="B65" s="711" t="s">
        <v>179</v>
      </c>
      <c r="C65" s="711"/>
      <c r="D65" s="711"/>
      <c r="E65" s="711"/>
      <c r="F65" s="711"/>
      <c r="G65" s="711"/>
      <c r="H65" s="711"/>
      <c r="I65" s="711"/>
      <c r="J65" s="474">
        <f t="shared" si="2"/>
        <v>0</v>
      </c>
      <c r="K65" s="474">
        <f t="shared" si="3"/>
        <v>0</v>
      </c>
    </row>
    <row r="66" spans="2:12">
      <c r="B66" s="266" t="s">
        <v>306</v>
      </c>
      <c r="C66" s="302"/>
      <c r="D66" s="306"/>
      <c r="E66" s="307"/>
      <c r="F66" s="304"/>
      <c r="G66" s="305"/>
      <c r="H66" s="304"/>
      <c r="I66" s="130"/>
      <c r="J66" s="474">
        <f t="shared" si="2"/>
        <v>0</v>
      </c>
      <c r="K66" s="474">
        <f t="shared" si="3"/>
        <v>0</v>
      </c>
    </row>
    <row r="67" spans="2:12">
      <c r="B67" s="266" t="s">
        <v>307</v>
      </c>
      <c r="C67" s="302"/>
      <c r="D67" s="306"/>
      <c r="E67" s="307"/>
      <c r="F67" s="304"/>
      <c r="G67" s="305"/>
      <c r="H67" s="304"/>
      <c r="I67" s="130"/>
      <c r="J67" s="474">
        <f t="shared" si="2"/>
        <v>0</v>
      </c>
      <c r="K67" s="474">
        <f t="shared" si="3"/>
        <v>0</v>
      </c>
    </row>
    <row r="68" spans="2:12">
      <c r="B68" s="269" t="s">
        <v>308</v>
      </c>
      <c r="C68" s="302"/>
      <c r="D68" s="306"/>
      <c r="E68" s="307"/>
      <c r="F68" s="304"/>
      <c r="G68" s="305"/>
      <c r="H68" s="304"/>
      <c r="I68" s="130"/>
      <c r="J68" s="474">
        <f t="shared" si="2"/>
        <v>0</v>
      </c>
      <c r="K68" s="474">
        <f t="shared" si="3"/>
        <v>0</v>
      </c>
    </row>
    <row r="69" spans="2:12">
      <c r="B69" s="267" t="s">
        <v>309</v>
      </c>
      <c r="C69" s="302"/>
      <c r="D69" s="306"/>
      <c r="E69" s="307"/>
      <c r="F69" s="304"/>
      <c r="G69" s="305"/>
      <c r="H69" s="304"/>
      <c r="I69" s="130"/>
      <c r="J69" s="474">
        <f t="shared" si="2"/>
        <v>0</v>
      </c>
      <c r="K69" s="474">
        <f t="shared" si="3"/>
        <v>0</v>
      </c>
    </row>
    <row r="70" spans="2:12">
      <c r="B70" s="267" t="s">
        <v>310</v>
      </c>
      <c r="C70" s="302"/>
      <c r="D70" s="306"/>
      <c r="E70" s="307"/>
      <c r="F70" s="304"/>
      <c r="G70" s="305"/>
      <c r="H70" s="304"/>
      <c r="I70" s="130"/>
      <c r="J70" s="474">
        <f t="shared" si="2"/>
        <v>0</v>
      </c>
      <c r="K70" s="474">
        <f t="shared" si="3"/>
        <v>0</v>
      </c>
    </row>
    <row r="71" spans="2:12" ht="76.5">
      <c r="B71" s="267" t="s">
        <v>311</v>
      </c>
      <c r="C71" s="129"/>
      <c r="D71" s="235"/>
      <c r="E71" s="131"/>
      <c r="F71" s="126"/>
      <c r="G71" s="231"/>
      <c r="H71" s="126">
        <v>1218400000</v>
      </c>
      <c r="I71" s="130" t="s">
        <v>331</v>
      </c>
      <c r="J71" s="474">
        <f t="shared" si="2"/>
        <v>1218400000</v>
      </c>
      <c r="K71" s="474">
        <f t="shared" si="3"/>
        <v>0</v>
      </c>
      <c r="L71" s="474">
        <f>+J71</f>
        <v>1218400000</v>
      </c>
    </row>
    <row r="72" spans="2:12">
      <c r="B72" s="267" t="s">
        <v>312</v>
      </c>
      <c r="C72" s="302"/>
      <c r="D72" s="306"/>
      <c r="E72" s="307"/>
      <c r="F72" s="304"/>
      <c r="G72" s="305"/>
      <c r="H72" s="304"/>
      <c r="I72" s="130"/>
      <c r="J72" s="474">
        <f t="shared" si="2"/>
        <v>0</v>
      </c>
      <c r="K72" s="474">
        <f t="shared" si="3"/>
        <v>0</v>
      </c>
    </row>
    <row r="73" spans="2:12">
      <c r="B73" s="267" t="s">
        <v>313</v>
      </c>
      <c r="C73" s="302"/>
      <c r="D73" s="306"/>
      <c r="E73" s="307"/>
      <c r="F73" s="304"/>
      <c r="G73" s="305"/>
      <c r="H73" s="304"/>
      <c r="I73" s="130"/>
      <c r="J73" s="474">
        <f t="shared" si="2"/>
        <v>0</v>
      </c>
      <c r="K73" s="474">
        <f t="shared" si="3"/>
        <v>0</v>
      </c>
    </row>
    <row r="74" spans="2:12">
      <c r="B74" s="267" t="s">
        <v>314</v>
      </c>
      <c r="C74" s="302"/>
      <c r="D74" s="306"/>
      <c r="E74" s="307"/>
      <c r="F74" s="304"/>
      <c r="G74" s="305"/>
      <c r="H74" s="304"/>
      <c r="I74" s="130"/>
      <c r="J74" s="474">
        <f t="shared" si="2"/>
        <v>0</v>
      </c>
      <c r="K74" s="474">
        <f t="shared" si="3"/>
        <v>0</v>
      </c>
    </row>
    <row r="75" spans="2:12">
      <c r="B75" s="124"/>
      <c r="C75" s="129"/>
      <c r="D75" s="235"/>
      <c r="E75" s="131"/>
      <c r="F75" s="126">
        <f>(+E75*D75)</f>
        <v>0</v>
      </c>
      <c r="G75" s="231"/>
      <c r="H75" s="126">
        <f>(F75*G75)*(1+$N$4)</f>
        <v>0</v>
      </c>
      <c r="I75" s="130"/>
      <c r="J75" s="474">
        <f t="shared" si="2"/>
        <v>0</v>
      </c>
      <c r="K75" s="474">
        <f t="shared" si="3"/>
        <v>0</v>
      </c>
    </row>
    <row r="76" spans="2:12">
      <c r="B76" s="343" t="s">
        <v>162</v>
      </c>
      <c r="C76" s="343"/>
      <c r="D76" s="343"/>
      <c r="E76" s="141"/>
      <c r="F76" s="348">
        <f>SUM(F66:F75)</f>
        <v>0</v>
      </c>
      <c r="G76" s="349"/>
      <c r="H76" s="348">
        <f>SUM(H66:H75)</f>
        <v>1218400000</v>
      </c>
      <c r="I76" s="345"/>
      <c r="J76" s="474">
        <f t="shared" si="2"/>
        <v>1218400000</v>
      </c>
      <c r="K76" s="474">
        <f t="shared" si="3"/>
        <v>0</v>
      </c>
    </row>
    <row r="77" spans="2:12">
      <c r="B77" s="698" t="s">
        <v>180</v>
      </c>
      <c r="C77" s="698"/>
      <c r="D77" s="353"/>
      <c r="E77" s="353"/>
      <c r="F77" s="353"/>
      <c r="G77" s="353"/>
      <c r="H77" s="354">
        <f>H16+H28+H40+H52+H64+H76</f>
        <v>133520891318.774</v>
      </c>
      <c r="I77" s="261"/>
      <c r="J77" s="474">
        <f t="shared" si="2"/>
        <v>133520891318.774</v>
      </c>
      <c r="K77" s="474">
        <f t="shared" si="3"/>
        <v>0</v>
      </c>
    </row>
    <row r="78" spans="2:12">
      <c r="F78" s="342"/>
      <c r="G78" s="342"/>
    </row>
    <row r="79" spans="2:12">
      <c r="B79" s="708" t="s">
        <v>100</v>
      </c>
      <c r="C79" s="708"/>
      <c r="D79" s="708"/>
      <c r="E79" s="708" t="s">
        <v>165</v>
      </c>
      <c r="F79" s="708"/>
      <c r="G79" s="708"/>
      <c r="H79" s="709" t="s">
        <v>181</v>
      </c>
      <c r="I79" s="710"/>
    </row>
    <row r="81" spans="4:7">
      <c r="E81" s="362"/>
      <c r="F81" s="363"/>
    </row>
    <row r="82" spans="4:7">
      <c r="E82" s="362"/>
      <c r="F82" s="363"/>
    </row>
    <row r="83" spans="4:7">
      <c r="E83" s="362"/>
      <c r="F83" s="363"/>
    </row>
    <row r="85" spans="4:7">
      <c r="D85" s="362"/>
      <c r="E85" s="363"/>
    </row>
    <row r="86" spans="4:7">
      <c r="D86" s="364"/>
      <c r="E86" s="363"/>
      <c r="G86" s="403"/>
    </row>
    <row r="87" spans="4:7">
      <c r="G87" s="403"/>
    </row>
    <row r="88" spans="4:7">
      <c r="G88" s="403"/>
    </row>
    <row r="89" spans="4:7">
      <c r="G89" s="403"/>
    </row>
    <row r="90" spans="4:7">
      <c r="G90" s="403"/>
    </row>
  </sheetData>
  <sheetProtection formatRows="0" insertRows="0"/>
  <mergeCells count="15">
    <mergeCell ref="B79:D79"/>
    <mergeCell ref="E79:G79"/>
    <mergeCell ref="H79:I79"/>
    <mergeCell ref="B29:I29"/>
    <mergeCell ref="B40:C40"/>
    <mergeCell ref="B52:C52"/>
    <mergeCell ref="B53:I53"/>
    <mergeCell ref="B65:I65"/>
    <mergeCell ref="B77:C77"/>
    <mergeCell ref="B41:I41"/>
    <mergeCell ref="B17:I17"/>
    <mergeCell ref="B28:C28"/>
    <mergeCell ref="B3:I3"/>
    <mergeCell ref="B5:I5"/>
    <mergeCell ref="B16:C16"/>
  </mergeCells>
  <dataValidations count="1">
    <dataValidation type="whole" operator="greaterThanOrEqual" allowBlank="1" showErrorMessage="1" errorTitle="SOLO NUMEROS ENTEROS" error="SOLO NUMEROS ENTEROS" sqref="D18:E27 D6:E15 G54:G63 H33 G30:G32 G6:G15 G18:G27 G42:G51 D30:E39 G34:G39 D42:E51 D54:E63 D66:E75 G66:G75" xr:uid="{5BD68693-98BE-4DDD-9D40-3FFF8B9F4B8E}">
      <formula1>0</formula1>
    </dataValidation>
  </dataValidations>
  <printOptions gridLines="1"/>
  <pageMargins left="0.23622047244094491" right="0.23622047244094491" top="0.74803149606299213" bottom="0.74803149606299213" header="0.31496062992125984" footer="0.31496062992125984"/>
  <pageSetup scale="58" fitToHeight="0" orientation="landscape" horizontalDpi="4294967294" verticalDpi="4294967294" r:id="rId1"/>
  <ignoredErrors>
    <ignoredError sqref="F16:H16 F28:H28 F40:H40 F52:H52 F64:G64 F76:H76 F15 H15 F27 H27 F39 H39 F51 H51 F75 H75"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94E7-1B33-42E7-8666-F16F918B6A1D}">
  <sheetPr>
    <tabColor theme="8" tint="-0.249977111117893"/>
  </sheetPr>
  <dimension ref="A3:M91"/>
  <sheetViews>
    <sheetView showGridLines="0" view="pageBreakPreview" zoomScale="85" zoomScaleNormal="100" zoomScaleSheetLayoutView="85" workbookViewId="0">
      <pane ySplit="4" topLeftCell="A43" activePane="bottomLeft" state="frozen"/>
      <selection activeCell="G32" sqref="G32"/>
      <selection pane="bottomLeft" activeCell="G43" sqref="G43"/>
    </sheetView>
  </sheetViews>
  <sheetFormatPr baseColWidth="10" defaultColWidth="11.42578125" defaultRowHeight="12.75"/>
  <cols>
    <col min="1" max="1" width="29" style="264" customWidth="1"/>
    <col min="2" max="2" width="29.140625" style="264" customWidth="1"/>
    <col min="3" max="3" width="20" style="264" customWidth="1"/>
    <col min="4" max="4" width="21.7109375" style="264" bestFit="1" customWidth="1"/>
    <col min="5" max="5" width="23.42578125" style="264" bestFit="1" customWidth="1"/>
    <col min="6" max="6" width="21.42578125" style="264" customWidth="1"/>
    <col min="7" max="7" width="27.42578125" style="264" bestFit="1" customWidth="1"/>
    <col min="8" max="8" width="31.5703125" style="264" customWidth="1"/>
    <col min="9" max="9" width="18.42578125" style="250" bestFit="1" customWidth="1"/>
    <col min="10" max="10" width="16.42578125" style="250" bestFit="1" customWidth="1"/>
    <col min="11" max="11" width="12.140625" style="264" bestFit="1" customWidth="1"/>
    <col min="12" max="12" width="14.7109375" style="264" bestFit="1" customWidth="1"/>
    <col min="13" max="16384" width="11.42578125" style="264"/>
  </cols>
  <sheetData>
    <row r="3" spans="1:13">
      <c r="A3" s="717" t="s">
        <v>182</v>
      </c>
      <c r="B3" s="717"/>
      <c r="C3" s="717"/>
      <c r="D3" s="717"/>
      <c r="E3" s="717"/>
      <c r="F3" s="717"/>
      <c r="G3" s="717"/>
      <c r="H3" s="717"/>
      <c r="I3" s="595"/>
      <c r="J3" s="595"/>
    </row>
    <row r="4" spans="1:13" ht="26.25" thickBot="1">
      <c r="A4" s="31" t="s">
        <v>168</v>
      </c>
      <c r="B4" s="31" t="s">
        <v>138</v>
      </c>
      <c r="C4" s="31" t="s">
        <v>153</v>
      </c>
      <c r="D4" s="31" t="s">
        <v>154</v>
      </c>
      <c r="E4" s="31" t="s">
        <v>155</v>
      </c>
      <c r="F4" s="31" t="s">
        <v>141</v>
      </c>
      <c r="G4" s="31" t="s">
        <v>156</v>
      </c>
      <c r="H4" s="31" t="s">
        <v>157</v>
      </c>
      <c r="I4" s="596" t="s">
        <v>458</v>
      </c>
      <c r="J4" s="596" t="s">
        <v>459</v>
      </c>
      <c r="L4" s="370"/>
      <c r="M4" s="371"/>
    </row>
    <row r="5" spans="1:13" ht="13.5" thickTop="1">
      <c r="A5" s="718" t="s">
        <v>183</v>
      </c>
      <c r="B5" s="718"/>
      <c r="C5" s="718"/>
      <c r="D5" s="718"/>
      <c r="E5" s="718"/>
      <c r="F5" s="718"/>
      <c r="G5" s="718"/>
      <c r="H5" s="718"/>
      <c r="I5" s="597"/>
    </row>
    <row r="6" spans="1:13">
      <c r="A6" s="266" t="s">
        <v>306</v>
      </c>
      <c r="B6" s="372"/>
      <c r="C6" s="373"/>
      <c r="D6" s="318"/>
      <c r="E6" s="319"/>
      <c r="F6" s="320"/>
      <c r="G6" s="319"/>
      <c r="H6" s="148"/>
      <c r="I6" s="474"/>
    </row>
    <row r="7" spans="1:13" ht="25.5">
      <c r="A7" s="266" t="s">
        <v>307</v>
      </c>
      <c r="B7" s="372"/>
      <c r="C7" s="373"/>
      <c r="D7" s="318"/>
      <c r="E7" s="319"/>
      <c r="F7" s="320"/>
      <c r="G7" s="319"/>
      <c r="H7" s="148"/>
      <c r="I7" s="474"/>
    </row>
    <row r="8" spans="1:13" ht="25.5">
      <c r="A8" s="269" t="s">
        <v>308</v>
      </c>
      <c r="B8" s="372"/>
      <c r="C8" s="373"/>
      <c r="D8" s="318"/>
      <c r="E8" s="319"/>
      <c r="F8" s="320"/>
      <c r="G8" s="319"/>
      <c r="H8" s="148"/>
      <c r="I8" s="598"/>
    </row>
    <row r="9" spans="1:13">
      <c r="A9" s="182" t="s">
        <v>309</v>
      </c>
      <c r="B9" s="147"/>
      <c r="C9" s="240"/>
      <c r="D9" s="143"/>
      <c r="E9" s="144"/>
      <c r="F9" s="238"/>
      <c r="G9" s="144"/>
      <c r="H9" s="148"/>
      <c r="I9" s="599"/>
    </row>
    <row r="10" spans="1:13">
      <c r="A10" s="182" t="s">
        <v>310</v>
      </c>
      <c r="B10" s="372"/>
      <c r="C10" s="373"/>
      <c r="D10" s="318"/>
      <c r="E10" s="319"/>
      <c r="F10" s="320"/>
      <c r="G10" s="319"/>
      <c r="H10" s="148"/>
      <c r="I10" s="474"/>
    </row>
    <row r="11" spans="1:13" ht="63.75">
      <c r="A11" s="182" t="s">
        <v>311</v>
      </c>
      <c r="B11" s="147"/>
      <c r="C11" s="240"/>
      <c r="D11" s="143"/>
      <c r="E11" s="144"/>
      <c r="F11" s="238"/>
      <c r="G11" s="144">
        <v>1641820000</v>
      </c>
      <c r="H11" s="148" t="s">
        <v>342</v>
      </c>
      <c r="I11" s="474">
        <f>+G11</f>
        <v>1641820000</v>
      </c>
    </row>
    <row r="12" spans="1:13">
      <c r="A12" s="182" t="s">
        <v>312</v>
      </c>
      <c r="B12" s="372"/>
      <c r="C12" s="373"/>
      <c r="D12" s="318"/>
      <c r="E12" s="319"/>
      <c r="F12" s="320"/>
      <c r="G12" s="319"/>
      <c r="H12" s="148"/>
      <c r="I12" s="474"/>
    </row>
    <row r="13" spans="1:13">
      <c r="A13" s="182" t="s">
        <v>313</v>
      </c>
      <c r="B13" s="372"/>
      <c r="C13" s="373"/>
      <c r="D13" s="318"/>
      <c r="E13" s="319"/>
      <c r="F13" s="320"/>
      <c r="G13" s="319"/>
      <c r="H13" s="148"/>
      <c r="I13" s="474"/>
    </row>
    <row r="14" spans="1:13" ht="25.5">
      <c r="A14" s="182" t="s">
        <v>314</v>
      </c>
      <c r="B14" s="372"/>
      <c r="C14" s="373"/>
      <c r="D14" s="318"/>
      <c r="E14" s="319"/>
      <c r="F14" s="320"/>
      <c r="G14" s="319"/>
      <c r="H14" s="148"/>
      <c r="I14" s="474"/>
    </row>
    <row r="15" spans="1:13">
      <c r="A15" s="142"/>
      <c r="B15" s="147"/>
      <c r="C15" s="240"/>
      <c r="D15" s="143"/>
      <c r="E15" s="144">
        <f>(+D15*C15)</f>
        <v>0</v>
      </c>
      <c r="F15" s="238"/>
      <c r="G15" s="144">
        <f>(E15*F15)*(1+$M$4)</f>
        <v>0</v>
      </c>
      <c r="H15" s="148"/>
      <c r="I15" s="474">
        <f>+G15</f>
        <v>0</v>
      </c>
      <c r="J15" s="474">
        <f>+I15-G15</f>
        <v>0</v>
      </c>
    </row>
    <row r="16" spans="1:13">
      <c r="A16" s="719" t="s">
        <v>145</v>
      </c>
      <c r="B16" s="719"/>
      <c r="C16" s="374"/>
      <c r="D16" s="145"/>
      <c r="E16" s="375">
        <f>SUM(E6:E15)</f>
        <v>0</v>
      </c>
      <c r="F16" s="376"/>
      <c r="G16" s="375">
        <f>SUM(G6:G15)</f>
        <v>1641820000</v>
      </c>
      <c r="H16" s="377"/>
      <c r="I16" s="628">
        <f>+G16</f>
        <v>1641820000</v>
      </c>
      <c r="J16" s="474">
        <f>+I16-SUM(I6:I15)</f>
        <v>0</v>
      </c>
      <c r="L16" s="378"/>
    </row>
    <row r="17" spans="1:13">
      <c r="A17" s="720" t="s">
        <v>184</v>
      </c>
      <c r="B17" s="720"/>
      <c r="C17" s="720"/>
      <c r="D17" s="720"/>
      <c r="E17" s="720"/>
      <c r="F17" s="720"/>
      <c r="G17" s="720"/>
      <c r="H17" s="720"/>
      <c r="I17" s="474"/>
    </row>
    <row r="18" spans="1:13">
      <c r="A18" s="266" t="s">
        <v>306</v>
      </c>
      <c r="B18" s="372"/>
      <c r="C18" s="373"/>
      <c r="D18" s="318"/>
      <c r="E18" s="319"/>
      <c r="F18" s="320"/>
      <c r="G18" s="319"/>
      <c r="H18" s="148"/>
      <c r="I18" s="474"/>
    </row>
    <row r="19" spans="1:13" ht="25.5">
      <c r="A19" s="266" t="s">
        <v>307</v>
      </c>
      <c r="B19" s="372"/>
      <c r="C19" s="373"/>
      <c r="D19" s="318"/>
      <c r="E19" s="319"/>
      <c r="F19" s="320"/>
      <c r="G19" s="319"/>
      <c r="H19" s="148"/>
      <c r="I19" s="474"/>
    </row>
    <row r="20" spans="1:13" ht="25.5">
      <c r="A20" s="269" t="s">
        <v>308</v>
      </c>
      <c r="B20" s="372"/>
      <c r="C20" s="373"/>
      <c r="D20" s="318"/>
      <c r="E20" s="319"/>
      <c r="F20" s="320"/>
      <c r="G20" s="319"/>
      <c r="H20" s="148"/>
      <c r="I20" s="598"/>
    </row>
    <row r="21" spans="1:13">
      <c r="A21" s="182" t="s">
        <v>309</v>
      </c>
      <c r="B21" s="372"/>
      <c r="C21" s="373"/>
      <c r="D21" s="318"/>
      <c r="E21" s="319"/>
      <c r="F21" s="320"/>
      <c r="G21" s="319"/>
      <c r="H21" s="148"/>
      <c r="I21" s="599"/>
    </row>
    <row r="22" spans="1:13" ht="114.75">
      <c r="A22" s="182" t="s">
        <v>310</v>
      </c>
      <c r="B22" s="379" t="s">
        <v>329</v>
      </c>
      <c r="C22" s="379">
        <v>1</v>
      </c>
      <c r="D22" s="366">
        <v>1500000000</v>
      </c>
      <c r="E22" s="144">
        <f>(+D22*C22)</f>
        <v>1500000000</v>
      </c>
      <c r="F22" s="238">
        <v>1</v>
      </c>
      <c r="G22" s="144">
        <v>1545000000</v>
      </c>
      <c r="H22" s="365" t="s">
        <v>328</v>
      </c>
      <c r="I22" s="474">
        <f>+G22*0.7</f>
        <v>1081500000</v>
      </c>
      <c r="J22" s="642">
        <f>+I22-G22</f>
        <v>-463500000</v>
      </c>
      <c r="K22" s="392">
        <v>0.03</v>
      </c>
    </row>
    <row r="23" spans="1:13" ht="165.75">
      <c r="A23" s="182" t="s">
        <v>311</v>
      </c>
      <c r="B23" s="147"/>
      <c r="C23" s="240"/>
      <c r="D23" s="143"/>
      <c r="E23" s="144"/>
      <c r="F23" s="238"/>
      <c r="G23" s="144">
        <v>619133000</v>
      </c>
      <c r="H23" s="148" t="s">
        <v>441</v>
      </c>
      <c r="I23" s="474">
        <f>+G23</f>
        <v>619133000</v>
      </c>
      <c r="J23" s="642"/>
      <c r="K23" s="144"/>
    </row>
    <row r="24" spans="1:13">
      <c r="A24" s="182" t="s">
        <v>312</v>
      </c>
      <c r="B24" s="372"/>
      <c r="C24" s="373"/>
      <c r="D24" s="318"/>
      <c r="E24" s="319"/>
      <c r="F24" s="320"/>
      <c r="G24" s="319"/>
      <c r="H24" s="148"/>
      <c r="I24" s="474"/>
    </row>
    <row r="25" spans="1:13">
      <c r="A25" s="182" t="s">
        <v>313</v>
      </c>
      <c r="B25" s="372"/>
      <c r="C25" s="373"/>
      <c r="D25" s="318"/>
      <c r="E25" s="319"/>
      <c r="F25" s="320"/>
      <c r="G25" s="319"/>
      <c r="H25" s="148"/>
      <c r="I25" s="474">
        <f>+G25</f>
        <v>0</v>
      </c>
      <c r="J25" s="474">
        <f>+I25-G25</f>
        <v>0</v>
      </c>
      <c r="K25" s="385"/>
    </row>
    <row r="26" spans="1:13" ht="25.5">
      <c r="A26" s="182" t="s">
        <v>314</v>
      </c>
      <c r="B26" s="372"/>
      <c r="C26" s="373"/>
      <c r="D26" s="318"/>
      <c r="E26" s="319"/>
      <c r="F26" s="320"/>
      <c r="G26" s="319"/>
      <c r="H26" s="148"/>
      <c r="I26" s="474">
        <f>+G26</f>
        <v>0</v>
      </c>
      <c r="J26" s="474">
        <f>+I26-G26</f>
        <v>0</v>
      </c>
    </row>
    <row r="27" spans="1:13">
      <c r="A27" s="142"/>
      <c r="B27" s="147"/>
      <c r="C27" s="240"/>
      <c r="D27" s="143"/>
      <c r="E27" s="144">
        <f>(+D27*C27)</f>
        <v>0</v>
      </c>
      <c r="F27" s="238"/>
      <c r="G27" s="144">
        <f>(E27*F27)*(1+$M$4)</f>
        <v>0</v>
      </c>
      <c r="H27" s="148"/>
      <c r="I27" s="474"/>
    </row>
    <row r="28" spans="1:13">
      <c r="A28" s="721" t="s">
        <v>145</v>
      </c>
      <c r="B28" s="722"/>
      <c r="C28" s="374"/>
      <c r="D28" s="145"/>
      <c r="E28" s="375">
        <f>SUM(E18:E27)</f>
        <v>1500000000</v>
      </c>
      <c r="F28" s="376"/>
      <c r="G28" s="375">
        <f>SUM(G18:G27)</f>
        <v>2164133000</v>
      </c>
      <c r="H28" s="377"/>
      <c r="I28" s="604">
        <f>+SUM(I18:I27)</f>
        <v>1700633000</v>
      </c>
      <c r="L28" s="378"/>
    </row>
    <row r="29" spans="1:13">
      <c r="A29" s="714" t="s">
        <v>185</v>
      </c>
      <c r="B29" s="715"/>
      <c r="C29" s="715"/>
      <c r="D29" s="715"/>
      <c r="E29" s="715"/>
      <c r="F29" s="715"/>
      <c r="G29" s="715"/>
      <c r="H29" s="716"/>
      <c r="I29" s="474"/>
      <c r="L29" s="58"/>
      <c r="M29" s="380"/>
    </row>
    <row r="30" spans="1:13">
      <c r="A30" s="266" t="s">
        <v>306</v>
      </c>
      <c r="B30" s="381"/>
      <c r="C30" s="382"/>
      <c r="D30" s="321"/>
      <c r="E30" s="319"/>
      <c r="F30" s="320"/>
      <c r="G30" s="319"/>
      <c r="H30" s="148"/>
      <c r="I30" s="474"/>
    </row>
    <row r="31" spans="1:13" ht="25.5">
      <c r="A31" s="266" t="s">
        <v>307</v>
      </c>
      <c r="B31" s="372"/>
      <c r="C31" s="373"/>
      <c r="D31" s="318"/>
      <c r="E31" s="319"/>
      <c r="F31" s="320"/>
      <c r="G31" s="319"/>
      <c r="H31" s="148"/>
      <c r="I31" s="620"/>
      <c r="J31" s="474"/>
    </row>
    <row r="32" spans="1:13" ht="25.5">
      <c r="A32" s="269" t="s">
        <v>308</v>
      </c>
      <c r="B32" s="372"/>
      <c r="C32" s="373"/>
      <c r="D32" s="318"/>
      <c r="E32" s="319"/>
      <c r="F32" s="320"/>
      <c r="G32" s="319"/>
      <c r="H32" s="148"/>
      <c r="I32" s="620"/>
      <c r="J32" s="474"/>
    </row>
    <row r="33" spans="1:13">
      <c r="A33" s="182" t="s">
        <v>309</v>
      </c>
      <c r="B33" s="372"/>
      <c r="C33" s="373"/>
      <c r="D33" s="318"/>
      <c r="E33" s="319"/>
      <c r="F33" s="320"/>
      <c r="G33" s="319"/>
      <c r="H33" s="148"/>
      <c r="I33" s="620"/>
      <c r="J33" s="604"/>
    </row>
    <row r="34" spans="1:13">
      <c r="A34" s="182" t="s">
        <v>310</v>
      </c>
      <c r="B34" s="372"/>
      <c r="C34" s="373"/>
      <c r="D34" s="318"/>
      <c r="E34" s="319"/>
      <c r="F34" s="320"/>
      <c r="G34" s="319"/>
      <c r="H34" s="148"/>
      <c r="I34" s="620"/>
      <c r="J34" s="604"/>
    </row>
    <row r="35" spans="1:13">
      <c r="A35" s="182" t="s">
        <v>311</v>
      </c>
      <c r="B35" s="147"/>
      <c r="C35" s="240"/>
      <c r="D35" s="143"/>
      <c r="E35" s="144"/>
      <c r="F35" s="238"/>
      <c r="G35" s="144">
        <v>40194094814.719994</v>
      </c>
      <c r="H35" s="148" t="s">
        <v>343</v>
      </c>
      <c r="I35" s="620">
        <f t="shared" ref="I35" si="0">+G35</f>
        <v>40194094814.719994</v>
      </c>
      <c r="J35" s="474"/>
    </row>
    <row r="36" spans="1:13">
      <c r="A36" s="182" t="s">
        <v>312</v>
      </c>
      <c r="B36" s="372"/>
      <c r="C36" s="373"/>
      <c r="D36" s="318"/>
      <c r="E36" s="319"/>
      <c r="F36" s="320"/>
      <c r="G36" s="319"/>
      <c r="H36" s="148"/>
      <c r="I36" s="474">
        <f>+G36</f>
        <v>0</v>
      </c>
      <c r="J36" s="474"/>
    </row>
    <row r="37" spans="1:13">
      <c r="A37" s="182" t="s">
        <v>313</v>
      </c>
      <c r="B37" s="372"/>
      <c r="C37" s="373"/>
      <c r="D37" s="318"/>
      <c r="E37" s="319"/>
      <c r="F37" s="320"/>
      <c r="G37" s="319"/>
      <c r="H37" s="148"/>
    </row>
    <row r="38" spans="1:13" ht="25.5">
      <c r="A38" s="182" t="s">
        <v>314</v>
      </c>
      <c r="B38" s="372"/>
      <c r="C38" s="373"/>
      <c r="D38" s="318"/>
      <c r="E38" s="319"/>
      <c r="F38" s="320"/>
      <c r="G38" s="319"/>
      <c r="H38" s="148"/>
      <c r="I38" s="474">
        <f>+G38</f>
        <v>0</v>
      </c>
      <c r="J38" s="474"/>
    </row>
    <row r="39" spans="1:13">
      <c r="A39" s="146"/>
      <c r="B39" s="147"/>
      <c r="C39" s="367"/>
      <c r="D39" s="144"/>
      <c r="E39" s="144">
        <f>(+D39*C39)</f>
        <v>0</v>
      </c>
      <c r="F39" s="238"/>
      <c r="G39" s="144">
        <f>(E39*F39)*(1+$M$4)</f>
        <v>0</v>
      </c>
      <c r="H39" s="148"/>
      <c r="I39" s="474">
        <f t="shared" ref="I39:I68" si="1">+G39</f>
        <v>0</v>
      </c>
      <c r="J39" s="474"/>
    </row>
    <row r="40" spans="1:13">
      <c r="A40" s="721" t="s">
        <v>145</v>
      </c>
      <c r="B40" s="722"/>
      <c r="C40" s="374"/>
      <c r="D40" s="145"/>
      <c r="E40" s="383">
        <f>SUM(E30:E39)</f>
        <v>0</v>
      </c>
      <c r="F40" s="377"/>
      <c r="G40" s="383">
        <f>SUM(G30:G39)</f>
        <v>40194094814.719994</v>
      </c>
      <c r="H40" s="377"/>
      <c r="I40" s="621">
        <f>+I35</f>
        <v>40194094814.719994</v>
      </c>
      <c r="J40" s="621">
        <f>+I40-SUM(I30:I39)</f>
        <v>0</v>
      </c>
    </row>
    <row r="41" spans="1:13">
      <c r="A41" s="720" t="s">
        <v>186</v>
      </c>
      <c r="B41" s="720"/>
      <c r="C41" s="720"/>
      <c r="D41" s="720"/>
      <c r="E41" s="720"/>
      <c r="F41" s="720"/>
      <c r="G41" s="720"/>
      <c r="H41" s="720"/>
      <c r="I41" s="474">
        <f t="shared" si="1"/>
        <v>0</v>
      </c>
      <c r="J41" s="474"/>
      <c r="L41" s="58"/>
      <c r="M41" s="380"/>
    </row>
    <row r="42" spans="1:13">
      <c r="A42" s="266" t="s">
        <v>306</v>
      </c>
      <c r="B42" s="381"/>
      <c r="C42" s="384"/>
      <c r="D42" s="322"/>
      <c r="E42" s="319"/>
      <c r="F42" s="320"/>
      <c r="G42" s="319"/>
      <c r="H42" s="323"/>
      <c r="I42" s="474">
        <f t="shared" si="1"/>
        <v>0</v>
      </c>
      <c r="J42" s="474"/>
    </row>
    <row r="43" spans="1:13" ht="178.5">
      <c r="A43" s="266" t="s">
        <v>307</v>
      </c>
      <c r="B43" s="147"/>
      <c r="C43" s="240"/>
      <c r="D43" s="368"/>
      <c r="E43" s="144"/>
      <c r="F43" s="238"/>
      <c r="G43" s="144">
        <v>3513273094.5600004</v>
      </c>
      <c r="H43" s="148" t="s">
        <v>315</v>
      </c>
      <c r="I43" s="474">
        <v>0</v>
      </c>
      <c r="J43" s="604">
        <f>+I43-G43</f>
        <v>-3513273094.5600004</v>
      </c>
      <c r="K43" s="650">
        <f>+I43/G43</f>
        <v>0</v>
      </c>
      <c r="L43" s="385"/>
      <c r="M43" s="386"/>
    </row>
    <row r="44" spans="1:13" ht="114.75">
      <c r="A44" s="269" t="s">
        <v>308</v>
      </c>
      <c r="B44" s="369"/>
      <c r="C44" s="240"/>
      <c r="D44" s="368"/>
      <c r="E44" s="144"/>
      <c r="F44" s="238"/>
      <c r="G44" s="144"/>
      <c r="H44" s="148" t="s">
        <v>319</v>
      </c>
      <c r="I44" s="474"/>
      <c r="J44" s="604"/>
      <c r="K44" s="650" t="e">
        <f t="shared" ref="K44:K45" si="2">+I44/G44</f>
        <v>#DIV/0!</v>
      </c>
      <c r="L44" s="385"/>
      <c r="M44" s="386"/>
    </row>
    <row r="45" spans="1:13" ht="153">
      <c r="A45" s="182" t="s">
        <v>309</v>
      </c>
      <c r="B45" s="369"/>
      <c r="C45" s="387"/>
      <c r="D45" s="150"/>
      <c r="E45" s="144">
        <v>117818100</v>
      </c>
      <c r="F45" s="238"/>
      <c r="G45" s="144">
        <v>11304025789.6</v>
      </c>
      <c r="H45" s="148" t="s">
        <v>437</v>
      </c>
      <c r="I45" s="474">
        <f>+G45*0.3</f>
        <v>3391207736.8800001</v>
      </c>
      <c r="J45" s="604">
        <f>+I45-G45</f>
        <v>-7912818052.7200003</v>
      </c>
      <c r="K45" s="650">
        <f t="shared" si="2"/>
        <v>0.3</v>
      </c>
      <c r="L45" s="385"/>
      <c r="M45" s="386"/>
    </row>
    <row r="46" spans="1:13" ht="89.25">
      <c r="A46" s="182" t="s">
        <v>310</v>
      </c>
      <c r="B46" s="147"/>
      <c r="C46" s="240"/>
      <c r="D46" s="149"/>
      <c r="E46" s="144">
        <v>4375000000</v>
      </c>
      <c r="F46" s="238"/>
      <c r="G46" s="144">
        <v>4506250000</v>
      </c>
      <c r="H46" s="148" t="s">
        <v>440</v>
      </c>
      <c r="I46" s="474">
        <f>+G46*0.3</f>
        <v>1351875000</v>
      </c>
      <c r="J46" s="604">
        <f>+I46-G46</f>
        <v>-3154375000</v>
      </c>
      <c r="K46" s="650">
        <f>+I46/G46</f>
        <v>0.3</v>
      </c>
      <c r="L46" s="385"/>
    </row>
    <row r="47" spans="1:13" ht="25.5">
      <c r="A47" s="182" t="s">
        <v>311</v>
      </c>
      <c r="B47" s="147"/>
      <c r="C47" s="240"/>
      <c r="D47" s="149"/>
      <c r="E47" s="144"/>
      <c r="F47" s="238"/>
      <c r="G47" s="144">
        <v>8239151584.8799992</v>
      </c>
      <c r="H47" s="148" t="s">
        <v>344</v>
      </c>
      <c r="I47" s="474">
        <f>+G47*0.4</f>
        <v>3295660633.9519997</v>
      </c>
      <c r="J47" s="604">
        <f>+I47-G47</f>
        <v>-4943490950.9279995</v>
      </c>
      <c r="K47" s="650">
        <f>+I47/G47</f>
        <v>0.4</v>
      </c>
    </row>
    <row r="48" spans="1:13" ht="25.5">
      <c r="A48" s="182" t="s">
        <v>312</v>
      </c>
      <c r="B48" s="147"/>
      <c r="C48" s="240"/>
      <c r="D48" s="149"/>
      <c r="E48" s="144"/>
      <c r="F48" s="238"/>
      <c r="G48" s="144">
        <v>5245440</v>
      </c>
      <c r="H48" s="148" t="s">
        <v>429</v>
      </c>
      <c r="I48" s="474">
        <f>+G48</f>
        <v>5245440</v>
      </c>
      <c r="J48" s="604"/>
      <c r="K48" s="650">
        <f>+I48/G48</f>
        <v>1</v>
      </c>
    </row>
    <row r="49" spans="1:13">
      <c r="A49" s="182" t="s">
        <v>313</v>
      </c>
      <c r="B49" s="372"/>
      <c r="C49" s="373"/>
      <c r="D49" s="318"/>
      <c r="E49" s="319"/>
      <c r="F49" s="320"/>
      <c r="G49" s="319"/>
      <c r="H49" s="148"/>
      <c r="I49" s="474"/>
      <c r="J49" s="604"/>
      <c r="K49" s="650" t="e">
        <f>+I49/G49</f>
        <v>#DIV/0!</v>
      </c>
    </row>
    <row r="50" spans="1:13" ht="409.5">
      <c r="A50" s="182" t="s">
        <v>314</v>
      </c>
      <c r="B50" s="147"/>
      <c r="C50" s="240"/>
      <c r="D50" s="149"/>
      <c r="E50" s="144"/>
      <c r="F50" s="238"/>
      <c r="G50" s="144">
        <v>169359292095</v>
      </c>
      <c r="H50" s="148" t="s">
        <v>460</v>
      </c>
      <c r="I50" s="474">
        <v>1193446831.42801</v>
      </c>
      <c r="J50" s="604">
        <f t="shared" ref="J50" si="3">+I50-G50</f>
        <v>-168165845263.57199</v>
      </c>
      <c r="K50" s="668">
        <f t="shared" ref="K50" si="4">+I50/G50</f>
        <v>7.046834080757498E-3</v>
      </c>
    </row>
    <row r="51" spans="1:13">
      <c r="A51" s="142"/>
      <c r="B51" s="147"/>
      <c r="C51" s="240"/>
      <c r="D51" s="149"/>
      <c r="E51" s="144"/>
      <c r="F51" s="238"/>
      <c r="G51" s="144"/>
      <c r="H51" s="148"/>
      <c r="I51" s="474"/>
      <c r="J51" s="474"/>
    </row>
    <row r="52" spans="1:13">
      <c r="A52" s="719" t="s">
        <v>145</v>
      </c>
      <c r="B52" s="719"/>
      <c r="C52" s="374"/>
      <c r="D52" s="145"/>
      <c r="E52" s="388">
        <f>SUM(E42:E51)</f>
        <v>4492818100</v>
      </c>
      <c r="F52" s="389"/>
      <c r="G52" s="388">
        <f>SUM(G42:G51)</f>
        <v>196927238004.04001</v>
      </c>
      <c r="H52" s="389"/>
      <c r="I52" s="625">
        <v>9237435642.2600098</v>
      </c>
      <c r="J52" s="474">
        <f>+I52-SUM(I43:I51)</f>
        <v>0</v>
      </c>
      <c r="K52" s="650">
        <f>+I52/G52</f>
        <v>4.6907861684783808E-2</v>
      </c>
    </row>
    <row r="53" spans="1:13">
      <c r="A53" s="720" t="s">
        <v>187</v>
      </c>
      <c r="B53" s="720"/>
      <c r="C53" s="720"/>
      <c r="D53" s="720"/>
      <c r="E53" s="720"/>
      <c r="F53" s="720"/>
      <c r="G53" s="720"/>
      <c r="H53" s="720"/>
      <c r="I53" s="474">
        <f t="shared" si="1"/>
        <v>0</v>
      </c>
      <c r="J53" s="474">
        <f t="shared" ref="J53:J68" si="5">+I53-G53</f>
        <v>0</v>
      </c>
      <c r="L53" s="58"/>
      <c r="M53" s="380"/>
    </row>
    <row r="54" spans="1:13">
      <c r="A54" s="266" t="s">
        <v>306</v>
      </c>
      <c r="B54" s="324"/>
      <c r="C54" s="325"/>
      <c r="D54" s="326"/>
      <c r="E54" s="319"/>
      <c r="F54" s="320"/>
      <c r="G54" s="319"/>
      <c r="H54" s="148"/>
      <c r="I54" s="474">
        <f t="shared" si="1"/>
        <v>0</v>
      </c>
      <c r="J54" s="474">
        <f t="shared" si="5"/>
        <v>0</v>
      </c>
    </row>
    <row r="55" spans="1:13" ht="25.5">
      <c r="A55" s="266" t="s">
        <v>307</v>
      </c>
      <c r="B55" s="372"/>
      <c r="C55" s="373"/>
      <c r="D55" s="318"/>
      <c r="E55" s="319"/>
      <c r="F55" s="320"/>
      <c r="G55" s="319"/>
      <c r="H55" s="148"/>
      <c r="I55" s="474">
        <f t="shared" si="1"/>
        <v>0</v>
      </c>
      <c r="J55" s="474">
        <f t="shared" si="5"/>
        <v>0</v>
      </c>
    </row>
    <row r="56" spans="1:13" ht="25.5">
      <c r="A56" s="269" t="s">
        <v>308</v>
      </c>
      <c r="B56" s="372"/>
      <c r="C56" s="373"/>
      <c r="D56" s="318"/>
      <c r="E56" s="319"/>
      <c r="F56" s="320"/>
      <c r="G56" s="319"/>
      <c r="H56" s="148"/>
      <c r="I56" s="474">
        <f t="shared" si="1"/>
        <v>0</v>
      </c>
      <c r="J56" s="474">
        <f t="shared" si="5"/>
        <v>0</v>
      </c>
    </row>
    <row r="57" spans="1:13" ht="280.5">
      <c r="A57" s="182" t="s">
        <v>309</v>
      </c>
      <c r="B57" s="147"/>
      <c r="C57" s="240"/>
      <c r="D57" s="143"/>
      <c r="E57" s="144">
        <v>43200000</v>
      </c>
      <c r="F57" s="238"/>
      <c r="G57" s="144">
        <v>45403200</v>
      </c>
      <c r="H57" s="148" t="s">
        <v>428</v>
      </c>
      <c r="I57" s="474">
        <f>+G57</f>
        <v>45403200</v>
      </c>
      <c r="J57" s="474">
        <f t="shared" si="5"/>
        <v>0</v>
      </c>
    </row>
    <row r="58" spans="1:13" ht="267.75">
      <c r="A58" s="182" t="s">
        <v>310</v>
      </c>
      <c r="B58" s="147"/>
      <c r="C58" s="240"/>
      <c r="D58" s="143"/>
      <c r="E58" s="144"/>
      <c r="F58" s="238"/>
      <c r="G58" s="144">
        <v>15535102720</v>
      </c>
      <c r="H58" s="148" t="s">
        <v>330</v>
      </c>
      <c r="I58" s="474">
        <v>13999077598.62911</v>
      </c>
      <c r="J58" s="604">
        <f>+I58-G58</f>
        <v>-1536025121.3708897</v>
      </c>
      <c r="K58" s="392">
        <v>0.03</v>
      </c>
    </row>
    <row r="59" spans="1:13" ht="114.75">
      <c r="A59" s="182" t="s">
        <v>311</v>
      </c>
      <c r="B59" s="147" t="s">
        <v>336</v>
      </c>
      <c r="C59" s="240"/>
      <c r="D59" s="143"/>
      <c r="E59" s="144"/>
      <c r="F59" s="238"/>
      <c r="G59" s="144">
        <v>869820800.41999996</v>
      </c>
      <c r="H59" s="148" t="s">
        <v>345</v>
      </c>
      <c r="I59" s="474">
        <f>+G59</f>
        <v>869820800.41999996</v>
      </c>
      <c r="J59" s="604">
        <f t="shared" si="5"/>
        <v>0</v>
      </c>
      <c r="K59" s="144"/>
    </row>
    <row r="60" spans="1:13">
      <c r="A60" s="182" t="s">
        <v>312</v>
      </c>
      <c r="B60" s="372"/>
      <c r="C60" s="373"/>
      <c r="D60" s="318"/>
      <c r="E60" s="319"/>
      <c r="F60" s="320"/>
      <c r="G60" s="319"/>
      <c r="H60" s="148"/>
      <c r="I60" s="474">
        <v>0</v>
      </c>
      <c r="J60" s="604"/>
    </row>
    <row r="61" spans="1:13">
      <c r="A61" s="182" t="s">
        <v>313</v>
      </c>
      <c r="B61" s="372"/>
      <c r="C61" s="373"/>
      <c r="D61" s="318"/>
      <c r="E61" s="319"/>
      <c r="F61" s="320"/>
      <c r="G61" s="319"/>
      <c r="H61" s="148"/>
      <c r="I61" s="474">
        <v>0</v>
      </c>
      <c r="J61" s="604"/>
      <c r="K61" s="385"/>
    </row>
    <row r="62" spans="1:13" ht="25.5">
      <c r="A62" s="182" t="s">
        <v>314</v>
      </c>
      <c r="B62" s="372"/>
      <c r="C62" s="373"/>
      <c r="D62" s="318"/>
      <c r="E62" s="319"/>
      <c r="F62" s="320"/>
      <c r="G62" s="319"/>
      <c r="H62" s="148"/>
      <c r="I62" s="474">
        <v>0</v>
      </c>
      <c r="J62" s="604"/>
    </row>
    <row r="63" spans="1:13">
      <c r="A63" s="142"/>
      <c r="B63" s="142"/>
      <c r="C63" s="241"/>
      <c r="D63" s="149"/>
      <c r="E63" s="144">
        <f>(+D63*C63)</f>
        <v>0</v>
      </c>
      <c r="F63" s="238"/>
      <c r="G63" s="144">
        <f>(E63*F63)*(1+$M$4)</f>
        <v>0</v>
      </c>
      <c r="H63" s="148"/>
      <c r="I63" s="474">
        <f t="shared" si="1"/>
        <v>0</v>
      </c>
      <c r="J63" s="474"/>
    </row>
    <row r="64" spans="1:13">
      <c r="A64" s="142"/>
      <c r="B64" s="142"/>
      <c r="C64" s="241"/>
      <c r="D64" s="149"/>
      <c r="E64" s="144">
        <f>(+D64*C64)</f>
        <v>0</v>
      </c>
      <c r="F64" s="238"/>
      <c r="G64" s="144">
        <f>(E64*F64)*(1+$M$4)</f>
        <v>0</v>
      </c>
      <c r="H64" s="148"/>
      <c r="I64" s="474">
        <f t="shared" si="1"/>
        <v>0</v>
      </c>
      <c r="J64" s="474"/>
    </row>
    <row r="65" spans="1:10">
      <c r="A65" s="374" t="s">
        <v>162</v>
      </c>
      <c r="B65" s="374"/>
      <c r="C65" s="374"/>
      <c r="D65" s="145"/>
      <c r="E65" s="383">
        <f>SUM(E54:E64)</f>
        <v>43200000</v>
      </c>
      <c r="F65" s="377"/>
      <c r="G65" s="383">
        <f>SUM(G54:G64)</f>
        <v>16450326720.42</v>
      </c>
      <c r="H65" s="377"/>
      <c r="I65" s="625">
        <v>14914301599.04911</v>
      </c>
      <c r="J65" s="474">
        <f>+I65-SUM(I54:I64)</f>
        <v>0</v>
      </c>
    </row>
    <row r="66" spans="1:10">
      <c r="A66" s="723" t="s">
        <v>188</v>
      </c>
      <c r="B66" s="723"/>
      <c r="C66" s="390"/>
      <c r="D66" s="390"/>
      <c r="E66" s="390"/>
      <c r="F66" s="390"/>
      <c r="G66" s="391">
        <f>G16+G28+G40+G52+G65</f>
        <v>257377612539.18002</v>
      </c>
      <c r="H66" s="390"/>
      <c r="I66" s="474">
        <f t="shared" si="1"/>
        <v>257377612539.18002</v>
      </c>
      <c r="J66" s="474">
        <f t="shared" si="5"/>
        <v>0</v>
      </c>
    </row>
    <row r="67" spans="1:10">
      <c r="E67" s="378"/>
      <c r="F67" s="378"/>
      <c r="I67" s="474">
        <f t="shared" si="1"/>
        <v>0</v>
      </c>
      <c r="J67" s="474">
        <f t="shared" si="5"/>
        <v>0</v>
      </c>
    </row>
    <row r="68" spans="1:10">
      <c r="A68" s="712" t="s">
        <v>100</v>
      </c>
      <c r="B68" s="712"/>
      <c r="C68" s="712"/>
      <c r="D68" s="712" t="s">
        <v>165</v>
      </c>
      <c r="E68" s="712"/>
      <c r="F68" s="712"/>
      <c r="G68" s="713" t="s">
        <v>136</v>
      </c>
      <c r="H68" s="713"/>
      <c r="I68" s="474" t="str">
        <f t="shared" si="1"/>
        <v>Página 1 de 1</v>
      </c>
      <c r="J68" s="474" t="e">
        <f t="shared" si="5"/>
        <v>#VALUE!</v>
      </c>
    </row>
    <row r="69" spans="1:10">
      <c r="I69" s="474"/>
      <c r="J69" s="474"/>
    </row>
    <row r="70" spans="1:10">
      <c r="I70" s="474"/>
      <c r="J70" s="474"/>
    </row>
    <row r="71" spans="1:10">
      <c r="I71" s="474"/>
      <c r="J71" s="474"/>
    </row>
    <row r="72" spans="1:10">
      <c r="I72" s="474"/>
      <c r="J72" s="474"/>
    </row>
    <row r="73" spans="1:10">
      <c r="I73" s="474"/>
      <c r="J73" s="474"/>
    </row>
    <row r="74" spans="1:10">
      <c r="I74" s="474"/>
      <c r="J74" s="474"/>
    </row>
    <row r="75" spans="1:10">
      <c r="I75" s="474"/>
      <c r="J75" s="474"/>
    </row>
    <row r="76" spans="1:10">
      <c r="I76" s="474"/>
      <c r="J76" s="474"/>
    </row>
    <row r="77" spans="1:10">
      <c r="I77" s="474"/>
      <c r="J77" s="474"/>
    </row>
    <row r="87" spans="8:8" ht="178.5">
      <c r="H87" s="148" t="s">
        <v>315</v>
      </c>
    </row>
    <row r="88" spans="8:8" ht="153">
      <c r="H88" s="148" t="s">
        <v>437</v>
      </c>
    </row>
    <row r="89" spans="8:8" ht="89.25">
      <c r="H89" s="148" t="s">
        <v>440</v>
      </c>
    </row>
    <row r="90" spans="8:8" ht="25.5">
      <c r="H90" s="148" t="s">
        <v>344</v>
      </c>
    </row>
    <row r="91" spans="8:8" ht="409.5">
      <c r="H91" s="148" t="s">
        <v>460</v>
      </c>
    </row>
  </sheetData>
  <sheetProtection formatRows="0" insertRows="0"/>
  <mergeCells count="14">
    <mergeCell ref="A68:C68"/>
    <mergeCell ref="D68:F68"/>
    <mergeCell ref="G68:H68"/>
    <mergeCell ref="A29:H29"/>
    <mergeCell ref="A3:H3"/>
    <mergeCell ref="A5:H5"/>
    <mergeCell ref="A16:B16"/>
    <mergeCell ref="A17:H17"/>
    <mergeCell ref="A28:B28"/>
    <mergeCell ref="A40:B40"/>
    <mergeCell ref="A41:H41"/>
    <mergeCell ref="A52:B52"/>
    <mergeCell ref="A53:H53"/>
    <mergeCell ref="A66:B66"/>
  </mergeCells>
  <dataValidations count="1">
    <dataValidation type="whole" operator="greaterThanOrEqual" allowBlank="1" showErrorMessage="1" errorTitle="SOLO NUMEROS ENTEROS" error="SOLO NUMEROS ENTEROS" sqref="C42:D51 F6:F15 C18:D27 F42:F51 F30:F39 C6:D15 F18:F27 C30:D39 F54:F64 C54:D64" xr:uid="{2EC8BA6D-D5F3-437F-B833-D8958078F64D}">
      <formula1>0</formula1>
    </dataValidation>
  </dataValidations>
  <printOptions gridLines="1"/>
  <pageMargins left="0.23622047244094491" right="0.23622047244094491" top="0.74803149606299213" bottom="0.74803149606299213" header="0.31496062992125984" footer="0.31496062992125984"/>
  <pageSetup scale="57" fitToHeight="0" orientation="landscape" horizontalDpi="4294967294" verticalDpi="4294967294" r:id="rId1"/>
  <rowBreaks count="2" manualBreakCount="2">
    <brk id="52" max="9" man="1"/>
    <brk id="65" max="9" man="1"/>
  </rowBreaks>
  <ignoredErrors>
    <ignoredError sqref="E15 E39 E16:G16 E28:G28 E40:G40 E27 E65:F65 E52:F52 G15 E64 G63 G27 G39"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822D-696C-42A7-8D9B-14887E6AB2BE}">
  <sheetPr>
    <tabColor theme="8" tint="-0.249977111117893"/>
  </sheetPr>
  <dimension ref="A2:M30"/>
  <sheetViews>
    <sheetView showGridLines="0" view="pageBreakPreview" topLeftCell="C24" zoomScaleNormal="100" zoomScaleSheetLayoutView="100" workbookViewId="0">
      <selection activeCell="H24" sqref="H24"/>
    </sheetView>
  </sheetViews>
  <sheetFormatPr baseColWidth="10" defaultColWidth="11.42578125" defaultRowHeight="12.75"/>
  <cols>
    <col min="1" max="1" width="35.5703125" style="30" bestFit="1" customWidth="1"/>
    <col min="2" max="2" width="29.140625" style="30" customWidth="1"/>
    <col min="3" max="3" width="20" style="30" customWidth="1"/>
    <col min="4" max="4" width="21.7109375" style="30" bestFit="1" customWidth="1"/>
    <col min="5" max="5" width="23.42578125" style="30" bestFit="1" customWidth="1"/>
    <col min="6" max="6" width="21.42578125" style="30" customWidth="1"/>
    <col min="7" max="7" width="27.42578125" style="30" bestFit="1" customWidth="1"/>
    <col min="8" max="10" width="27.42578125" style="30" customWidth="1"/>
    <col min="11" max="11" width="11.42578125" style="30"/>
    <col min="12" max="12" width="38.42578125" style="30" customWidth="1"/>
    <col min="13" max="16384" width="11.42578125" style="30"/>
  </cols>
  <sheetData>
    <row r="2" spans="1:13" ht="13.5" thickBot="1"/>
    <row r="3" spans="1:13">
      <c r="A3" s="689" t="s">
        <v>182</v>
      </c>
      <c r="B3" s="689"/>
      <c r="C3" s="689"/>
      <c r="D3" s="689"/>
      <c r="E3" s="689"/>
      <c r="F3" s="689"/>
      <c r="G3" s="689"/>
      <c r="H3" s="728"/>
      <c r="I3" s="626"/>
      <c r="J3" s="626"/>
    </row>
    <row r="4" spans="1:13" ht="26.25" thickBot="1">
      <c r="A4" s="31" t="s">
        <v>168</v>
      </c>
      <c r="B4" s="31" t="s">
        <v>138</v>
      </c>
      <c r="C4" s="31" t="s">
        <v>153</v>
      </c>
      <c r="D4" s="31" t="s">
        <v>154</v>
      </c>
      <c r="E4" s="31" t="s">
        <v>155</v>
      </c>
      <c r="F4" s="31" t="s">
        <v>141</v>
      </c>
      <c r="G4" s="31" t="s">
        <v>156</v>
      </c>
      <c r="H4" s="96" t="s">
        <v>157</v>
      </c>
      <c r="I4" s="596" t="s">
        <v>458</v>
      </c>
      <c r="J4" s="596" t="s">
        <v>459</v>
      </c>
      <c r="L4" s="32" t="s">
        <v>7</v>
      </c>
      <c r="M4" s="33">
        <f>'PRESUPUESTO T+1 '!B12</f>
        <v>0.03</v>
      </c>
    </row>
    <row r="5" spans="1:13" ht="13.5" thickTop="1">
      <c r="A5" s="688" t="s">
        <v>189</v>
      </c>
      <c r="B5" s="688"/>
      <c r="C5" s="688"/>
      <c r="D5" s="688"/>
      <c r="E5" s="688"/>
      <c r="F5" s="688"/>
      <c r="G5" s="688"/>
      <c r="H5" s="729"/>
      <c r="I5" s="627"/>
      <c r="J5" s="627"/>
      <c r="L5" s="35"/>
      <c r="M5" s="36"/>
    </row>
    <row r="6" spans="1:13">
      <c r="A6" s="266" t="s">
        <v>306</v>
      </c>
      <c r="B6" s="355"/>
      <c r="C6" s="356"/>
      <c r="D6" s="357"/>
      <c r="E6" s="357"/>
      <c r="F6" s="320"/>
      <c r="G6" s="357"/>
      <c r="H6" s="155"/>
      <c r="I6" s="643"/>
      <c r="J6" s="643"/>
    </row>
    <row r="7" spans="1:13">
      <c r="A7" s="266" t="s">
        <v>307</v>
      </c>
      <c r="B7" s="355"/>
      <c r="C7" s="356"/>
      <c r="D7" s="357"/>
      <c r="E7" s="357"/>
      <c r="F7" s="320"/>
      <c r="G7" s="357"/>
      <c r="H7" s="155"/>
      <c r="I7" s="643"/>
      <c r="J7" s="643"/>
    </row>
    <row r="8" spans="1:13" ht="89.25">
      <c r="A8" s="269" t="s">
        <v>308</v>
      </c>
      <c r="B8" s="152"/>
      <c r="C8" s="239"/>
      <c r="D8" s="153"/>
      <c r="E8" s="153"/>
      <c r="F8" s="238"/>
      <c r="G8" s="153"/>
      <c r="H8" s="155" t="s">
        <v>320</v>
      </c>
      <c r="I8" s="643"/>
      <c r="J8" s="643"/>
    </row>
    <row r="9" spans="1:13" ht="89.25">
      <c r="A9" s="267" t="s">
        <v>309</v>
      </c>
      <c r="B9" s="152"/>
      <c r="C9" s="239"/>
      <c r="D9" s="153"/>
      <c r="E9" s="153"/>
      <c r="F9" s="238"/>
      <c r="G9" s="153">
        <v>961332799447.28076</v>
      </c>
      <c r="H9" s="155" t="s">
        <v>438</v>
      </c>
      <c r="I9" s="643">
        <v>334795255444.75</v>
      </c>
      <c r="J9" s="649">
        <f>+I9-G9</f>
        <v>-626537544002.53076</v>
      </c>
    </row>
    <row r="10" spans="1:13">
      <c r="A10" s="267" t="s">
        <v>310</v>
      </c>
      <c r="B10" s="355"/>
      <c r="C10" s="356"/>
      <c r="D10" s="357"/>
      <c r="E10" s="357"/>
      <c r="F10" s="320"/>
      <c r="G10" s="357"/>
      <c r="H10" s="155"/>
      <c r="I10" s="643"/>
      <c r="J10" s="643"/>
    </row>
    <row r="11" spans="1:13">
      <c r="A11" s="267" t="s">
        <v>311</v>
      </c>
      <c r="B11" s="355"/>
      <c r="C11" s="356"/>
      <c r="D11" s="357"/>
      <c r="E11" s="357"/>
      <c r="F11" s="320"/>
      <c r="G11" s="357"/>
      <c r="H11" s="155"/>
      <c r="I11" s="643"/>
      <c r="J11" s="643"/>
    </row>
    <row r="12" spans="1:13">
      <c r="A12" s="267" t="s">
        <v>312</v>
      </c>
      <c r="B12" s="355"/>
      <c r="C12" s="356"/>
      <c r="D12" s="357"/>
      <c r="E12" s="357"/>
      <c r="F12" s="320"/>
      <c r="G12" s="357"/>
      <c r="H12" s="155"/>
      <c r="I12" s="643"/>
      <c r="J12" s="643"/>
    </row>
    <row r="13" spans="1:13">
      <c r="A13" s="267" t="s">
        <v>313</v>
      </c>
      <c r="B13" s="355"/>
      <c r="C13" s="356"/>
      <c r="D13" s="357"/>
      <c r="E13" s="357"/>
      <c r="F13" s="320"/>
      <c r="G13" s="357"/>
      <c r="H13" s="155"/>
      <c r="I13" s="643"/>
      <c r="J13" s="643"/>
    </row>
    <row r="14" spans="1:13">
      <c r="A14" s="267" t="s">
        <v>314</v>
      </c>
      <c r="B14" s="355"/>
      <c r="C14" s="356"/>
      <c r="D14" s="357"/>
      <c r="E14" s="357"/>
      <c r="F14" s="320"/>
      <c r="G14" s="357"/>
      <c r="H14" s="155"/>
      <c r="I14" s="643"/>
      <c r="J14" s="643"/>
    </row>
    <row r="15" spans="1:13">
      <c r="A15" s="151"/>
      <c r="B15" s="152"/>
      <c r="C15" s="239"/>
      <c r="D15" s="153"/>
      <c r="E15" s="153">
        <f>(+D15*C15)</f>
        <v>0</v>
      </c>
      <c r="F15" s="238"/>
      <c r="G15" s="153">
        <f>(E15*F15)*(1+$M$4)</f>
        <v>0</v>
      </c>
      <c r="H15" s="155"/>
      <c r="I15" s="643"/>
      <c r="J15" s="643"/>
    </row>
    <row r="16" spans="1:13">
      <c r="A16" s="730" t="s">
        <v>145</v>
      </c>
      <c r="B16" s="731"/>
      <c r="C16" s="156"/>
      <c r="D16" s="157"/>
      <c r="E16" s="158">
        <f>SUM(E6:E15)</f>
        <v>0</v>
      </c>
      <c r="F16" s="159"/>
      <c r="G16" s="158">
        <f>SUM(G6:G15)</f>
        <v>961332799447.28076</v>
      </c>
      <c r="H16" s="160"/>
      <c r="I16" s="644">
        <v>334795255444.75</v>
      </c>
      <c r="J16" s="644"/>
    </row>
    <row r="17" spans="1:13">
      <c r="A17" s="732" t="s">
        <v>190</v>
      </c>
      <c r="B17" s="732"/>
      <c r="C17" s="732"/>
      <c r="D17" s="732"/>
      <c r="E17" s="732"/>
      <c r="F17" s="732"/>
      <c r="G17" s="732"/>
      <c r="H17" s="733"/>
      <c r="I17" s="645"/>
      <c r="J17" s="645"/>
      <c r="L17" s="35"/>
      <c r="M17" s="36"/>
    </row>
    <row r="18" spans="1:13">
      <c r="A18" s="266" t="s">
        <v>306</v>
      </c>
      <c r="B18" s="355"/>
      <c r="C18" s="356"/>
      <c r="D18" s="357"/>
      <c r="E18" s="357"/>
      <c r="F18" s="320"/>
      <c r="G18" s="357"/>
      <c r="H18" s="155"/>
      <c r="I18" s="643"/>
      <c r="J18" s="643"/>
      <c r="L18" s="515">
        <f>+SUM(L19:L22)</f>
        <v>1528153610047.6787</v>
      </c>
    </row>
    <row r="19" spans="1:13">
      <c r="A19" s="266" t="s">
        <v>307</v>
      </c>
      <c r="B19" s="355"/>
      <c r="C19" s="356"/>
      <c r="D19" s="357"/>
      <c r="E19" s="357"/>
      <c r="F19" s="320"/>
      <c r="G19" s="357"/>
      <c r="H19" s="155"/>
      <c r="I19" s="643"/>
      <c r="J19" s="643"/>
      <c r="L19" s="30">
        <f>+'ADQUISICIÓN DE SERVICIOS'!G59</f>
        <v>869820800.41999996</v>
      </c>
    </row>
    <row r="20" spans="1:13" ht="38.25">
      <c r="A20" s="269" t="s">
        <v>308</v>
      </c>
      <c r="B20" s="152"/>
      <c r="C20" s="239"/>
      <c r="D20" s="153"/>
      <c r="E20" s="153">
        <v>410014678359</v>
      </c>
      <c r="F20" s="238">
        <v>12</v>
      </c>
      <c r="G20" s="153">
        <v>422315118709.76996</v>
      </c>
      <c r="H20" s="155" t="s">
        <v>321</v>
      </c>
      <c r="I20" s="643"/>
      <c r="J20" s="643"/>
      <c r="K20" s="358">
        <f>+(G20/E20)-1</f>
        <v>2.9999999999999805E-2</v>
      </c>
      <c r="L20" s="120">
        <f>+'SERVICIOS PERSONALES INDIRECTOS'!G38</f>
        <v>124564358367.59999</v>
      </c>
    </row>
    <row r="21" spans="1:13">
      <c r="A21" s="267" t="s">
        <v>309</v>
      </c>
      <c r="B21" s="355"/>
      <c r="C21" s="356"/>
      <c r="D21" s="357"/>
      <c r="E21" s="357"/>
      <c r="F21" s="320"/>
      <c r="G21" s="357"/>
      <c r="H21" s="155"/>
      <c r="I21" s="643"/>
      <c r="J21" s="643"/>
      <c r="L21" s="120">
        <f>+G23</f>
        <v>1400649100312.4929</v>
      </c>
    </row>
    <row r="22" spans="1:13">
      <c r="A22" s="267" t="s">
        <v>310</v>
      </c>
      <c r="B22" s="355"/>
      <c r="C22" s="356"/>
      <c r="D22" s="357"/>
      <c r="E22" s="357"/>
      <c r="F22" s="320"/>
      <c r="G22" s="357"/>
      <c r="H22" s="155"/>
      <c r="I22" s="643"/>
      <c r="J22" s="643"/>
      <c r="L22" s="120">
        <f>+'SERVICIOS PÚBLICOS.'!B218+'SERVICIOS PÚBLICOS.'!B219+'SERVICIOS PÚBLICOS.'!B220</f>
        <v>2070330567.1658006</v>
      </c>
    </row>
    <row r="23" spans="1:13" ht="409.5">
      <c r="A23" s="267" t="s">
        <v>311</v>
      </c>
      <c r="B23" s="152" t="s">
        <v>418</v>
      </c>
      <c r="C23" s="240">
        <v>10083</v>
      </c>
      <c r="D23" s="162">
        <v>10440111</v>
      </c>
      <c r="E23" s="153">
        <v>105267639213</v>
      </c>
      <c r="F23" s="238">
        <v>12</v>
      </c>
      <c r="G23" s="506">
        <v>1400649100312.4929</v>
      </c>
      <c r="H23" s="155" t="s">
        <v>419</v>
      </c>
      <c r="I23" s="643"/>
      <c r="J23" s="643"/>
      <c r="K23" s="507">
        <v>0.11</v>
      </c>
      <c r="L23" s="515">
        <f>+SUM(L19:L22)</f>
        <v>1528153610047.6787</v>
      </c>
    </row>
    <row r="24" spans="1:13">
      <c r="A24" s="267" t="s">
        <v>312</v>
      </c>
      <c r="B24" s="355"/>
      <c r="C24" s="356"/>
      <c r="D24" s="357"/>
      <c r="E24" s="357"/>
      <c r="F24" s="320"/>
      <c r="G24" s="357"/>
      <c r="H24" s="155"/>
      <c r="I24" s="643"/>
      <c r="J24" s="643"/>
    </row>
    <row r="25" spans="1:13">
      <c r="A25" s="267" t="s">
        <v>313</v>
      </c>
      <c r="B25" s="355"/>
      <c r="C25" s="356"/>
      <c r="D25" s="357"/>
      <c r="E25" s="357"/>
      <c r="F25" s="320"/>
      <c r="G25" s="357"/>
      <c r="H25" s="155"/>
      <c r="I25" s="643"/>
      <c r="J25" s="643"/>
    </row>
    <row r="26" spans="1:13">
      <c r="A26" s="267" t="s">
        <v>314</v>
      </c>
      <c r="B26" s="355"/>
      <c r="C26" s="356"/>
      <c r="D26" s="357"/>
      <c r="E26" s="357"/>
      <c r="F26" s="320"/>
      <c r="G26" s="357"/>
      <c r="H26" s="155"/>
      <c r="I26" s="643"/>
      <c r="J26" s="643"/>
    </row>
    <row r="27" spans="1:13" ht="13.5" thickBot="1">
      <c r="A27" s="730" t="s">
        <v>145</v>
      </c>
      <c r="B27" s="731"/>
      <c r="C27" s="156"/>
      <c r="D27" s="157"/>
      <c r="E27" s="163">
        <f>SUM(E18:E26)</f>
        <v>515282317572</v>
      </c>
      <c r="F27" s="164"/>
      <c r="G27" s="163">
        <f>SUM(G18:G26)</f>
        <v>1822964219022.2629</v>
      </c>
      <c r="H27" s="165"/>
      <c r="I27" s="646"/>
      <c r="J27" s="646"/>
    </row>
    <row r="28" spans="1:13" ht="13.5" thickBot="1">
      <c r="A28" s="726" t="s">
        <v>191</v>
      </c>
      <c r="B28" s="727"/>
      <c r="C28" s="166"/>
      <c r="D28" s="166"/>
      <c r="E28" s="167">
        <f>+E16+E27</f>
        <v>515282317572</v>
      </c>
      <c r="F28" s="166"/>
      <c r="G28" s="167">
        <f>+G16+G27</f>
        <v>2784297018469.5439</v>
      </c>
      <c r="H28" s="166"/>
      <c r="I28" s="647"/>
      <c r="J28" s="647"/>
    </row>
    <row r="29" spans="1:13">
      <c r="E29" s="34"/>
      <c r="F29" s="34"/>
    </row>
    <row r="30" spans="1:13">
      <c r="A30" s="724" t="s">
        <v>100</v>
      </c>
      <c r="B30" s="724"/>
      <c r="C30" s="724"/>
      <c r="D30" s="724" t="s">
        <v>165</v>
      </c>
      <c r="E30" s="724"/>
      <c r="F30" s="724"/>
      <c r="G30" s="725" t="s">
        <v>192</v>
      </c>
      <c r="H30" s="725"/>
      <c r="I30" s="648"/>
      <c r="J30" s="648"/>
    </row>
  </sheetData>
  <sheetProtection formatRows="0" insertRows="0"/>
  <mergeCells count="9">
    <mergeCell ref="A30:C30"/>
    <mergeCell ref="D30:F30"/>
    <mergeCell ref="G30:H30"/>
    <mergeCell ref="A28:B28"/>
    <mergeCell ref="A3:H3"/>
    <mergeCell ref="A5:H5"/>
    <mergeCell ref="A16:B16"/>
    <mergeCell ref="A17:H17"/>
    <mergeCell ref="A27:B27"/>
  </mergeCells>
  <dataValidations disablePrompts="1" count="1">
    <dataValidation type="whole" operator="greaterThanOrEqual" allowBlank="1" showErrorMessage="1" errorTitle="SOLO NUMEROS ENTEROS" error="SOLO NUMEROS ENTEROS" sqref="C6:D15 F6:F15 F18:F26 C18:D26" xr:uid="{8D640E1A-0405-406D-8566-7D22AED7A488}">
      <formula1>0</formula1>
    </dataValidation>
  </dataValidations>
  <printOptions gridLines="1"/>
  <pageMargins left="0.23622047244094491" right="0.23622047244094491" top="0.74803149606299213" bottom="0.74803149606299213" header="0.31496062992125984" footer="0.31496062992125984"/>
  <pageSetup scale="58" fitToHeight="0" orientation="landscape" horizontalDpi="4294967294" verticalDpi="4294967294" r:id="rId1"/>
  <ignoredErrors>
    <ignoredError sqref="E16 E28:F28 E27:G27 G15"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7ABFDB-4803-440B-9761-6DF51119979B}">
  <ds:schemaRefs>
    <ds:schemaRef ds:uri="http://schemas.microsoft.com/office/infopath/2007/PartnerControl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435a11ef-c2bf-4d1e-b58b-639ade20a33f"/>
    <ds:schemaRef ds:uri="b61d6a7d-9cff-4fa8-ac7e-c8e11781a326"/>
    <ds:schemaRef ds:uri="http://purl.org/dc/terms/"/>
    <ds:schemaRef ds:uri="16321767-b094-402f-9af0-dbaea5d7be33"/>
  </ds:schemaRefs>
</ds:datastoreItem>
</file>

<file path=customXml/itemProps2.xml><?xml version="1.0" encoding="utf-8"?>
<ds:datastoreItem xmlns:ds="http://schemas.openxmlformats.org/officeDocument/2006/customXml" ds:itemID="{B9B0DBFB-ABD5-40E4-BE71-1E782DF50B57}">
  <ds:schemaRefs>
    <ds:schemaRef ds:uri="http://schemas.microsoft.com/sharepoint/v3/contenttype/forms"/>
  </ds:schemaRefs>
</ds:datastoreItem>
</file>

<file path=customXml/itemProps3.xml><?xml version="1.0" encoding="utf-8"?>
<ds:datastoreItem xmlns:ds="http://schemas.openxmlformats.org/officeDocument/2006/customXml" ds:itemID="{9FFB9A39-3FB8-444E-B231-A749CF338D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14</vt:i4>
      </vt:variant>
    </vt:vector>
  </HeadingPairs>
  <TitlesOfParts>
    <vt:vector size="32" baseType="lpstr">
      <vt:lpstr>PRESUPUESTO T+1 </vt:lpstr>
      <vt:lpstr>Hoja2</vt:lpstr>
      <vt:lpstr>GASTOS DE PERSONAL</vt:lpstr>
      <vt:lpstr>SERVICIOS PERSONALES INDIRECTOS</vt:lpstr>
      <vt:lpstr>ACTIVOS FIJOS</vt:lpstr>
      <vt:lpstr>ACTIVOS NO PRODUCIDOS</vt:lpstr>
      <vt:lpstr>MATERIALES Y SUMINISTROS</vt:lpstr>
      <vt:lpstr>ADQUISICIÓN DE SERVICIOS</vt:lpstr>
      <vt:lpstr>HOMBRES DE PROTECCIÓN Y VEHICUL</vt:lpstr>
      <vt:lpstr>VIÁTICOS,GASTOS DE VIAJE,TIQUET</vt:lpstr>
      <vt:lpstr>SERVICIOS PÚBLICOS.</vt:lpstr>
      <vt:lpstr>APOYOS DE PROTEC Y ENFOQUE DIF </vt:lpstr>
      <vt:lpstr>SENTENCIAS Y CONCILIACIONES</vt:lpstr>
      <vt:lpstr>GASTOS DE COMERCIALIZAC Y PROD</vt:lpstr>
      <vt:lpstr>GASTOS POR TRIBUTOS, MULTAS, SA</vt:lpstr>
      <vt:lpstr>SERVICIO A LA DEUDA PUBLICA</vt:lpstr>
      <vt:lpstr>GASTOS DE INVERSIÓN</vt:lpstr>
      <vt:lpstr>INSTRUCTIVO</vt:lpstr>
      <vt:lpstr>'ACTIVOS FIJOS'!Área_de_impresión</vt:lpstr>
      <vt:lpstr>'ACTIVOS NO PRODUCIDOS'!Área_de_impresión</vt:lpstr>
      <vt:lpstr>'ADQUISICIÓN DE SERVICIOS'!Área_de_impresión</vt:lpstr>
      <vt:lpstr>'APOYOS DE PROTEC Y ENFOQUE DIF '!Área_de_impresión</vt:lpstr>
      <vt:lpstr>'GASTOS DE COMERCIALIZAC Y PROD'!Área_de_impresión</vt:lpstr>
      <vt:lpstr>'GASTOS DE INVERSIÓN'!Área_de_impresión</vt:lpstr>
      <vt:lpstr>'GASTOS POR TRIBUTOS, MULTAS, SA'!Área_de_impresión</vt:lpstr>
      <vt:lpstr>'HOMBRES DE PROTECCIÓN Y VEHICUL'!Área_de_impresión</vt:lpstr>
      <vt:lpstr>'MATERIALES Y SUMINISTROS'!Área_de_impresión</vt:lpstr>
      <vt:lpstr>'PRESUPUESTO T+1 '!Área_de_impresión</vt:lpstr>
      <vt:lpstr>'SENTENCIAS Y CONCILIACIONES'!Área_de_impresión</vt:lpstr>
      <vt:lpstr>'SERVICIOS PERSONALES INDIRECTOS'!Área_de_impresión</vt:lpstr>
      <vt:lpstr>'SERVICIOS PÚBLICOS.'!Área_de_impresión</vt:lpstr>
      <vt:lpstr>'VIÁTICOS,GASTOS DE VIAJE,TIQUET'!Área_de_impresión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Lorena Pérez López</dc:creator>
  <cp:keywords/>
  <dc:description/>
  <cp:lastModifiedBy>Jose Hilario Brito Lubo</cp:lastModifiedBy>
  <cp:revision/>
  <cp:lastPrinted>2024-03-14T17:43:41Z</cp:lastPrinted>
  <dcterms:created xsi:type="dcterms:W3CDTF">2013-07-26T15:32:45Z</dcterms:created>
  <dcterms:modified xsi:type="dcterms:W3CDTF">2024-03-19T14:48:40Z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ies>
</file>