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nproteccion-my.sharepoint.com/personal/marlon_aceros_unp_gov_co/Documents/FURAG/FURAG 2022/PREGUNTA 369/"/>
    </mc:Choice>
  </mc:AlternateContent>
  <xr:revisionPtr revIDLastSave="0" documentId="8_{E89EF0B9-CC56-43FC-9107-9628B176B3FF}" xr6:coauthVersionLast="47" xr6:coauthVersionMax="47" xr10:uidLastSave="{00000000-0000-0000-0000-000000000000}"/>
  <bookViews>
    <workbookView xWindow="-120" yWindow="-120" windowWidth="29040" windowHeight="15840" xr2:uid="{852ADD0F-BA5B-4F02-B466-3364A1B7290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86" i="1" l="1"/>
  <c r="BZ86" i="1"/>
  <c r="AO85" i="1"/>
  <c r="CK84" i="1"/>
  <c r="CL84" i="1" s="1"/>
  <c r="CF84" i="1"/>
  <c r="CE84" i="1"/>
  <c r="BT84" i="1"/>
  <c r="CL83" i="1"/>
  <c r="BZ83" i="1"/>
  <c r="BT83" i="1"/>
  <c r="BS83" i="1"/>
  <c r="BN83" i="1"/>
  <c r="BH83" i="1"/>
  <c r="BB83" i="1"/>
  <c r="AV83" i="1"/>
  <c r="AO83" i="1"/>
  <c r="CF82" i="1"/>
  <c r="CE82" i="1"/>
  <c r="BZ82" i="1"/>
  <c r="BY82" i="1"/>
  <c r="BT82" i="1"/>
  <c r="BS82" i="1"/>
  <c r="BN82" i="1"/>
  <c r="BM82" i="1"/>
  <c r="BG82" i="1"/>
  <c r="AU82" i="1"/>
  <c r="AP82" i="1"/>
  <c r="AN82" i="1"/>
  <c r="CF81" i="1"/>
  <c r="CE81" i="1"/>
  <c r="BZ81" i="1"/>
  <c r="BY81" i="1"/>
  <c r="BT81" i="1"/>
  <c r="BS81" i="1"/>
  <c r="BH81" i="1"/>
  <c r="BG81" i="1"/>
  <c r="BA81" i="1"/>
  <c r="AV81" i="1"/>
  <c r="AU81" i="1"/>
  <c r="CL80" i="1"/>
  <c r="CK80" i="1"/>
  <c r="CF80" i="1"/>
  <c r="BZ80" i="1"/>
  <c r="BT80" i="1"/>
  <c r="BN80" i="1"/>
  <c r="CK79" i="1"/>
  <c r="CL79" i="1" s="1"/>
  <c r="CF79" i="1"/>
  <c r="CE79" i="1"/>
  <c r="CL78" i="1"/>
  <c r="CF78" i="1"/>
  <c r="BT78" i="1"/>
  <c r="BH78" i="1"/>
  <c r="CL77" i="1"/>
  <c r="CF77" i="1"/>
  <c r="CE77" i="1"/>
  <c r="BT77" i="1"/>
  <c r="BS77" i="1"/>
  <c r="BH77" i="1"/>
  <c r="AU77" i="1"/>
  <c r="CL76" i="1"/>
  <c r="CF76" i="1"/>
  <c r="CK75" i="1"/>
  <c r="CL75" i="1" s="1"/>
  <c r="CF75" i="1"/>
  <c r="BT75" i="1"/>
  <c r="CF74" i="1"/>
  <c r="CE74" i="1"/>
  <c r="BZ74" i="1"/>
  <c r="BY74" i="1"/>
  <c r="BT74" i="1"/>
  <c r="BS74" i="1"/>
  <c r="BN74" i="1"/>
  <c r="BM74" i="1"/>
  <c r="BG74" i="1"/>
  <c r="BA74" i="1"/>
  <c r="AU74" i="1"/>
  <c r="CL73" i="1"/>
  <c r="CF73" i="1"/>
  <c r="CE73" i="1"/>
  <c r="BT73" i="1"/>
  <c r="BH73" i="1"/>
  <c r="BG73" i="1"/>
  <c r="CF72" i="1"/>
  <c r="CE72" i="1"/>
  <c r="CK72" i="1" s="1"/>
  <c r="CL72" i="1" s="1"/>
  <c r="BT72" i="1"/>
  <c r="BH72" i="1"/>
  <c r="BG72" i="1"/>
  <c r="CL71" i="1"/>
  <c r="CF71" i="1"/>
  <c r="CF70" i="1"/>
  <c r="BZ70" i="1"/>
  <c r="BY70" i="1"/>
  <c r="BT70" i="1"/>
  <c r="BS70" i="1"/>
  <c r="BN70" i="1"/>
  <c r="BM70" i="1"/>
  <c r="BA70" i="1"/>
  <c r="AU70" i="1"/>
  <c r="CF69" i="1"/>
  <c r="CE69" i="1"/>
  <c r="BZ69" i="1"/>
  <c r="BY69" i="1"/>
  <c r="BT69" i="1"/>
  <c r="BS69" i="1"/>
  <c r="BN69" i="1"/>
  <c r="BM69" i="1"/>
  <c r="BG69" i="1"/>
  <c r="BA69" i="1"/>
  <c r="AU69" i="1"/>
  <c r="CL68" i="1"/>
  <c r="CF68" i="1"/>
  <c r="CL67" i="1"/>
  <c r="BN67" i="1"/>
  <c r="CL66" i="1"/>
  <c r="BN66" i="1"/>
  <c r="CL65" i="1"/>
  <c r="BN65" i="1"/>
  <c r="BM65" i="1"/>
  <c r="CL64" i="1"/>
  <c r="CF64" i="1"/>
  <c r="BT64" i="1"/>
  <c r="BT63" i="1"/>
  <c r="CF62" i="1"/>
  <c r="CE62" i="1"/>
  <c r="BZ62" i="1"/>
  <c r="BY62" i="1"/>
  <c r="BT62" i="1"/>
  <c r="BS62" i="1"/>
  <c r="BN62" i="1"/>
  <c r="BM62" i="1"/>
  <c r="BG62" i="1"/>
  <c r="BA62" i="1"/>
  <c r="AU62" i="1"/>
  <c r="AP62" i="1"/>
  <c r="AO62" i="1"/>
  <c r="CF61" i="1"/>
  <c r="BZ61" i="1"/>
  <c r="BT61" i="1"/>
  <c r="BN61" i="1"/>
  <c r="BM61" i="1"/>
  <c r="CK61" i="1" s="1"/>
  <c r="CL61" i="1" s="1"/>
  <c r="AV61" i="1"/>
  <c r="AP61" i="1"/>
  <c r="CJ60" i="1"/>
  <c r="CI60" i="1"/>
  <c r="CH60" i="1"/>
  <c r="CG60" i="1"/>
  <c r="CE60" i="1"/>
  <c r="CD60" i="1"/>
  <c r="CC60" i="1"/>
  <c r="CB60" i="1"/>
  <c r="CA60" i="1"/>
  <c r="BY60" i="1"/>
  <c r="BX60" i="1"/>
  <c r="BW60" i="1"/>
  <c r="BV60" i="1"/>
  <c r="BU60" i="1"/>
  <c r="BS60" i="1"/>
  <c r="BR60" i="1"/>
  <c r="BQ60" i="1"/>
  <c r="BP60" i="1"/>
  <c r="BO60" i="1"/>
  <c r="BM60" i="1"/>
  <c r="BL60" i="1"/>
  <c r="BK60" i="1"/>
  <c r="BJ60" i="1"/>
  <c r="BI60" i="1"/>
  <c r="BG60" i="1"/>
  <c r="BF60" i="1"/>
  <c r="BE60" i="1"/>
  <c r="BD60" i="1"/>
  <c r="BC60" i="1"/>
  <c r="BA60" i="1"/>
  <c r="AZ60" i="1"/>
  <c r="AY60" i="1"/>
  <c r="AX60" i="1"/>
  <c r="AW60" i="1"/>
  <c r="AU60" i="1"/>
  <c r="AT60" i="1"/>
  <c r="AS60" i="1"/>
  <c r="AR60" i="1"/>
  <c r="AQ60" i="1"/>
  <c r="AO60" i="1"/>
  <c r="CL59" i="1"/>
  <c r="CF59" i="1"/>
  <c r="CL58" i="1"/>
  <c r="CF58" i="1"/>
  <c r="CK57" i="1"/>
  <c r="CL57" i="1" s="1"/>
  <c r="CF57" i="1"/>
  <c r="CF56" i="1"/>
  <c r="CE56" i="1"/>
  <c r="BZ56" i="1"/>
  <c r="BY56" i="1"/>
  <c r="BT56" i="1"/>
  <c r="BS56" i="1"/>
  <c r="BN56" i="1"/>
  <c r="BM56" i="1"/>
  <c r="BG56" i="1"/>
  <c r="BA56" i="1"/>
  <c r="AU56" i="1"/>
  <c r="CJ55" i="1"/>
  <c r="CI55" i="1"/>
  <c r="CH55" i="1"/>
  <c r="CG55" i="1"/>
  <c r="CE55" i="1"/>
  <c r="CD55" i="1"/>
  <c r="CC55" i="1"/>
  <c r="CB55" i="1"/>
  <c r="CA55" i="1"/>
  <c r="BY55" i="1"/>
  <c r="BX55" i="1"/>
  <c r="BW55" i="1"/>
  <c r="BV55" i="1"/>
  <c r="BU55" i="1"/>
  <c r="BS55" i="1"/>
  <c r="BR55" i="1"/>
  <c r="BQ55" i="1"/>
  <c r="BP55" i="1"/>
  <c r="BO55" i="1"/>
  <c r="BM55" i="1"/>
  <c r="BL55" i="1"/>
  <c r="BK55" i="1"/>
  <c r="BJ55" i="1"/>
  <c r="BI55" i="1"/>
  <c r="BG55" i="1"/>
  <c r="BF55" i="1"/>
  <c r="BE55" i="1"/>
  <c r="BD55" i="1"/>
  <c r="BC55" i="1"/>
  <c r="BA55" i="1"/>
  <c r="AZ55" i="1"/>
  <c r="AY55" i="1"/>
  <c r="AX55" i="1"/>
  <c r="AW55" i="1"/>
  <c r="AU55" i="1"/>
  <c r="AT55" i="1"/>
  <c r="AS55" i="1"/>
  <c r="AR55" i="1"/>
  <c r="AQ55" i="1"/>
  <c r="AO55" i="1"/>
  <c r="CL54" i="1"/>
  <c r="CF54" i="1"/>
  <c r="CK53" i="1"/>
  <c r="CL53" i="1" s="1"/>
  <c r="CF53" i="1"/>
  <c r="CF52" i="1"/>
  <c r="BT52" i="1"/>
  <c r="BS52" i="1"/>
  <c r="CK52" i="1" s="1"/>
  <c r="CL52" i="1" s="1"/>
  <c r="AU52" i="1"/>
  <c r="CL51" i="1"/>
  <c r="CF51" i="1"/>
  <c r="BT51" i="1"/>
  <c r="BH51" i="1"/>
  <c r="CK50" i="1"/>
  <c r="CL50" i="1" s="1"/>
  <c r="CF50" i="1"/>
  <c r="CK49" i="1"/>
  <c r="CL49" i="1" s="1"/>
  <c r="CF49" i="1"/>
  <c r="CL48" i="1"/>
  <c r="CF48" i="1"/>
  <c r="CF47" i="1"/>
  <c r="CL46" i="1"/>
  <c r="CK46" i="1"/>
  <c r="CF46" i="1"/>
  <c r="CE46" i="1"/>
  <c r="CF45" i="1"/>
  <c r="CE45" i="1"/>
  <c r="BZ45" i="1"/>
  <c r="BY45" i="1"/>
  <c r="CF44" i="1"/>
  <c r="CE44" i="1"/>
  <c r="BZ44" i="1"/>
  <c r="BY44" i="1"/>
  <c r="BG44" i="1"/>
  <c r="CF43" i="1"/>
  <c r="CE43" i="1"/>
  <c r="BZ43" i="1"/>
  <c r="BY43" i="1"/>
  <c r="BT43" i="1"/>
  <c r="BS43" i="1"/>
  <c r="BN43" i="1"/>
  <c r="BM43" i="1"/>
  <c r="AU43" i="1"/>
  <c r="AO43" i="1"/>
  <c r="CF42" i="1"/>
  <c r="BZ42" i="1"/>
  <c r="BY42" i="1"/>
  <c r="CK42" i="1" s="1"/>
  <c r="CL42" i="1" s="1"/>
  <c r="CK41" i="1"/>
  <c r="CL41" i="1" s="1"/>
  <c r="CF41" i="1"/>
  <c r="BZ41" i="1"/>
  <c r="CJ40" i="1"/>
  <c r="CI40" i="1"/>
  <c r="CH40" i="1"/>
  <c r="CG40" i="1"/>
  <c r="CE40" i="1"/>
  <c r="CD40" i="1"/>
  <c r="CC40" i="1"/>
  <c r="CB40" i="1"/>
  <c r="CA40" i="1"/>
  <c r="BY40" i="1"/>
  <c r="BX40" i="1"/>
  <c r="BW40" i="1"/>
  <c r="BV40" i="1"/>
  <c r="BU40" i="1"/>
  <c r="BS40" i="1"/>
  <c r="BR40" i="1"/>
  <c r="BQ40" i="1"/>
  <c r="BP40" i="1"/>
  <c r="BO40" i="1"/>
  <c r="BM40" i="1"/>
  <c r="BL40" i="1"/>
  <c r="BK40" i="1"/>
  <c r="BJ40" i="1"/>
  <c r="BI40" i="1"/>
  <c r="BG40" i="1"/>
  <c r="BF40" i="1"/>
  <c r="BE40" i="1"/>
  <c r="BD40" i="1"/>
  <c r="BC40" i="1"/>
  <c r="BA40" i="1"/>
  <c r="AZ40" i="1"/>
  <c r="AY40" i="1"/>
  <c r="AX40" i="1"/>
  <c r="AW40" i="1"/>
  <c r="AU40" i="1"/>
  <c r="AT40" i="1"/>
  <c r="AS40" i="1"/>
  <c r="AR40" i="1"/>
  <c r="AQ40" i="1"/>
  <c r="AO40" i="1"/>
  <c r="CJ39" i="1"/>
  <c r="CI39" i="1"/>
  <c r="CH39" i="1"/>
  <c r="CG39" i="1"/>
  <c r="CE39" i="1"/>
  <c r="CD39" i="1"/>
  <c r="CC39" i="1"/>
  <c r="CB39" i="1"/>
  <c r="CA39" i="1"/>
  <c r="BY39" i="1"/>
  <c r="BX39" i="1"/>
  <c r="BW39" i="1"/>
  <c r="BV39" i="1"/>
  <c r="BU39" i="1"/>
  <c r="BS39" i="1"/>
  <c r="BR39" i="1"/>
  <c r="BQ39" i="1"/>
  <c r="BP39" i="1"/>
  <c r="BO39" i="1"/>
  <c r="BM39" i="1"/>
  <c r="BL39" i="1"/>
  <c r="BK39" i="1"/>
  <c r="BJ39" i="1"/>
  <c r="BI39" i="1"/>
  <c r="BG39" i="1"/>
  <c r="BF39" i="1"/>
  <c r="BE39" i="1"/>
  <c r="BD39" i="1"/>
  <c r="BC39" i="1"/>
  <c r="BA39" i="1"/>
  <c r="AU39" i="1"/>
  <c r="AT39" i="1"/>
  <c r="AS39" i="1"/>
  <c r="AR39" i="1"/>
  <c r="AQ39" i="1"/>
  <c r="AO39" i="1"/>
  <c r="CF38" i="1"/>
  <c r="CE38" i="1"/>
  <c r="BT38" i="1"/>
  <c r="BS38" i="1"/>
  <c r="CK38" i="1" s="1"/>
  <c r="CL38" i="1" s="1"/>
  <c r="CF37" i="1"/>
  <c r="CE37" i="1"/>
  <c r="BZ37" i="1"/>
  <c r="BT37" i="1"/>
  <c r="BS37" i="1"/>
  <c r="BN37" i="1"/>
  <c r="BM37" i="1"/>
  <c r="BG37" i="1"/>
  <c r="CF36" i="1"/>
  <c r="CE36" i="1"/>
  <c r="BZ36" i="1"/>
  <c r="BY36" i="1"/>
  <c r="BT36" i="1"/>
  <c r="BS36" i="1"/>
  <c r="BN36" i="1"/>
  <c r="BM36" i="1"/>
  <c r="BG36" i="1"/>
  <c r="AU36" i="1"/>
  <c r="AO36" i="1"/>
  <c r="CL35" i="1"/>
  <c r="CJ35" i="1"/>
  <c r="CI35" i="1"/>
  <c r="CH35" i="1"/>
  <c r="CG35" i="1"/>
  <c r="CE35" i="1"/>
  <c r="CD35" i="1"/>
  <c r="CC35" i="1"/>
  <c r="CB35" i="1"/>
  <c r="CA35" i="1"/>
  <c r="BY35" i="1"/>
  <c r="BX35" i="1"/>
  <c r="BW35" i="1"/>
  <c r="BV35" i="1"/>
  <c r="BU35" i="1"/>
  <c r="BS35" i="1"/>
  <c r="BR35" i="1"/>
  <c r="BQ35" i="1"/>
  <c r="BP35" i="1"/>
  <c r="BO35" i="1"/>
  <c r="BM35" i="1"/>
  <c r="BL35" i="1"/>
  <c r="BK35" i="1"/>
  <c r="BJ35" i="1"/>
  <c r="BI35" i="1"/>
  <c r="BG35" i="1"/>
  <c r="BF35" i="1"/>
  <c r="BE35" i="1"/>
  <c r="BD35" i="1"/>
  <c r="BC35" i="1"/>
  <c r="BA35" i="1"/>
  <c r="AU35" i="1"/>
  <c r="AT35" i="1"/>
  <c r="AS35" i="1"/>
  <c r="AR35" i="1"/>
  <c r="AP35" i="1" s="1"/>
  <c r="AQ35" i="1"/>
  <c r="AO35" i="1"/>
  <c r="CJ34" i="1"/>
  <c r="CI34" i="1"/>
  <c r="CH34" i="1"/>
  <c r="CF34" i="1" s="1"/>
  <c r="CG34" i="1"/>
  <c r="CE34" i="1"/>
  <c r="CD34" i="1"/>
  <c r="CC34" i="1"/>
  <c r="CB34" i="1"/>
  <c r="BZ34" i="1" s="1"/>
  <c r="CA34" i="1"/>
  <c r="BY34" i="1"/>
  <c r="BX34" i="1"/>
  <c r="BW34" i="1"/>
  <c r="BV34" i="1"/>
  <c r="BT34" i="1" s="1"/>
  <c r="BU34" i="1"/>
  <c r="BS34" i="1"/>
  <c r="BR34" i="1"/>
  <c r="BQ34" i="1"/>
  <c r="BP34" i="1"/>
  <c r="BN34" i="1" s="1"/>
  <c r="BO34" i="1"/>
  <c r="BM34" i="1"/>
  <c r="BL34" i="1"/>
  <c r="BK34" i="1"/>
  <c r="BJ34" i="1"/>
  <c r="BI34" i="1"/>
  <c r="BG34" i="1"/>
  <c r="BF34" i="1"/>
  <c r="BE34" i="1"/>
  <c r="BD34" i="1"/>
  <c r="BC34" i="1"/>
  <c r="BA34" i="1"/>
  <c r="AU34" i="1"/>
  <c r="AO34" i="1"/>
  <c r="CJ33" i="1"/>
  <c r="CI33" i="1"/>
  <c r="CH33" i="1"/>
  <c r="CG33" i="1"/>
  <c r="CE33" i="1"/>
  <c r="CD33" i="1"/>
  <c r="CC33" i="1"/>
  <c r="CB33" i="1"/>
  <c r="CA33" i="1"/>
  <c r="BY33" i="1"/>
  <c r="BX33" i="1"/>
  <c r="BW33" i="1"/>
  <c r="BV33" i="1"/>
  <c r="BU33" i="1"/>
  <c r="BS33" i="1"/>
  <c r="BR33" i="1"/>
  <c r="BQ33" i="1"/>
  <c r="BP33" i="1"/>
  <c r="BO33" i="1"/>
  <c r="BM33" i="1"/>
  <c r="BL33" i="1"/>
  <c r="BK33" i="1"/>
  <c r="BJ33" i="1"/>
  <c r="BI33" i="1"/>
  <c r="BG33" i="1"/>
  <c r="BF33" i="1"/>
  <c r="BE33" i="1"/>
  <c r="BD33" i="1"/>
  <c r="BC33" i="1"/>
  <c r="BA33" i="1"/>
  <c r="AZ33" i="1"/>
  <c r="AY33" i="1"/>
  <c r="AX33" i="1"/>
  <c r="AW33" i="1"/>
  <c r="AU33" i="1"/>
  <c r="AT33" i="1"/>
  <c r="AS33" i="1"/>
  <c r="AR33" i="1"/>
  <c r="AQ33" i="1"/>
  <c r="AO33" i="1"/>
  <c r="CF32" i="1"/>
  <c r="BZ32" i="1"/>
  <c r="BY32" i="1"/>
  <c r="CK32" i="1" s="1"/>
  <c r="CL32" i="1" s="1"/>
  <c r="CK31" i="1"/>
  <c r="CL31" i="1" s="1"/>
  <c r="CF31" i="1"/>
  <c r="CL30" i="1"/>
  <c r="CF30" i="1"/>
  <c r="CK29" i="1"/>
  <c r="CL29" i="1" s="1"/>
  <c r="BZ29" i="1"/>
  <c r="CF28" i="1"/>
  <c r="CE28" i="1"/>
  <c r="BZ28" i="1"/>
  <c r="BY28" i="1"/>
  <c r="CF27" i="1"/>
  <c r="CE27" i="1"/>
  <c r="BZ27" i="1"/>
  <c r="BY27" i="1"/>
  <c r="CK26" i="1"/>
  <c r="CL26" i="1" s="1"/>
  <c r="CF26" i="1"/>
  <c r="BZ26" i="1"/>
  <c r="CF25" i="1"/>
  <c r="CE25" i="1"/>
  <c r="BZ25" i="1"/>
  <c r="BY25" i="1"/>
  <c r="CF24" i="1"/>
  <c r="CE24" i="1"/>
  <c r="BZ24" i="1"/>
  <c r="BY24" i="1"/>
  <c r="CF23" i="1"/>
  <c r="CE23" i="1"/>
  <c r="BZ23" i="1"/>
  <c r="BY23" i="1"/>
  <c r="CL22" i="1"/>
  <c r="CF22" i="1"/>
  <c r="CF21" i="1"/>
  <c r="CE21" i="1"/>
  <c r="BZ21" i="1"/>
  <c r="BY21" i="1"/>
  <c r="BT21" i="1"/>
  <c r="BS21" i="1"/>
  <c r="BN21" i="1"/>
  <c r="BM21" i="1"/>
  <c r="AV21" i="1"/>
  <c r="AU21" i="1"/>
  <c r="CK20" i="1"/>
  <c r="CL20" i="1" s="1"/>
  <c r="BZ20" i="1"/>
  <c r="CF19" i="1"/>
  <c r="BZ19" i="1"/>
  <c r="BY19" i="1"/>
  <c r="CK19" i="1" s="1"/>
  <c r="CL19" i="1" s="1"/>
  <c r="CK18" i="1"/>
  <c r="CF18" i="1"/>
  <c r="CF17" i="1"/>
  <c r="CE17" i="1"/>
  <c r="BZ17" i="1"/>
  <c r="BY17" i="1"/>
  <c r="CF16" i="1"/>
  <c r="CE16" i="1"/>
  <c r="BZ16" i="1"/>
  <c r="BY16" i="1"/>
  <c r="CK15" i="1"/>
  <c r="CL15" i="1" s="1"/>
  <c r="BN15" i="1"/>
  <c r="BM15" i="1"/>
  <c r="CF14" i="1"/>
  <c r="BZ14" i="1"/>
  <c r="BY14" i="1"/>
  <c r="CK14" i="1" s="1"/>
  <c r="CL14" i="1" s="1"/>
  <c r="CF13" i="1"/>
  <c r="CE13" i="1"/>
  <c r="BZ13" i="1"/>
  <c r="BY13" i="1"/>
  <c r="BH13" i="1"/>
  <c r="BG13" i="1"/>
  <c r="BA13" i="1"/>
  <c r="CK12" i="1"/>
  <c r="CL12" i="1" s="1"/>
  <c r="CF12" i="1"/>
  <c r="BT12" i="1"/>
  <c r="BS12" i="1"/>
  <c r="AU12" i="1"/>
  <c r="CL11" i="1"/>
  <c r="CK11" i="1"/>
  <c r="CF11" i="1"/>
  <c r="CE11" i="1"/>
  <c r="BZ11" i="1"/>
  <c r="BY11" i="1"/>
  <c r="BT11" i="1"/>
  <c r="BN11" i="1"/>
  <c r="BM11" i="1"/>
  <c r="BH11" i="1"/>
  <c r="BA11" i="1"/>
  <c r="CL10" i="1"/>
  <c r="CK10" i="1"/>
  <c r="CJ10" i="1"/>
  <c r="CI10" i="1"/>
  <c r="CH10" i="1"/>
  <c r="CG10" i="1"/>
  <c r="CE10" i="1"/>
  <c r="CD10" i="1"/>
  <c r="CC10" i="1"/>
  <c r="CB10" i="1"/>
  <c r="CA10" i="1"/>
  <c r="BY10" i="1"/>
  <c r="BX10" i="1"/>
  <c r="BW10" i="1"/>
  <c r="BV10" i="1"/>
  <c r="BU10" i="1"/>
  <c r="BS10" i="1"/>
  <c r="BR10" i="1"/>
  <c r="BQ10" i="1"/>
  <c r="BP10" i="1"/>
  <c r="BO10" i="1"/>
  <c r="BM10" i="1"/>
  <c r="BL10" i="1"/>
  <c r="BK10" i="1"/>
  <c r="BJ10" i="1"/>
  <c r="BI10" i="1"/>
  <c r="BG10" i="1"/>
  <c r="BF10" i="1"/>
  <c r="BE10" i="1"/>
  <c r="BD10" i="1"/>
  <c r="BC10" i="1"/>
  <c r="BA10" i="1"/>
  <c r="AZ10" i="1"/>
  <c r="AY10" i="1"/>
  <c r="AX10" i="1"/>
  <c r="AW10" i="1"/>
  <c r="AU10" i="1"/>
  <c r="AT10" i="1"/>
  <c r="AS10" i="1"/>
  <c r="AR10" i="1"/>
  <c r="AQ10" i="1"/>
  <c r="AO10" i="1"/>
  <c r="CK9" i="1"/>
  <c r="CL9" i="1" s="1"/>
  <c r="BZ9" i="1"/>
  <c r="BT9" i="1"/>
  <c r="BA9" i="1"/>
  <c r="CF8" i="1"/>
  <c r="BZ8" i="1"/>
  <c r="BY8" i="1"/>
  <c r="CK8" i="1" s="1"/>
  <c r="CL8" i="1" s="1"/>
  <c r="CK7" i="1"/>
  <c r="CL7" i="1" s="1"/>
  <c r="BZ7" i="1"/>
  <c r="BT7" i="1"/>
  <c r="CF6" i="1"/>
  <c r="CE6" i="1"/>
  <c r="BZ6" i="1"/>
  <c r="BY6" i="1"/>
  <c r="BT6" i="1"/>
  <c r="BS6" i="1"/>
  <c r="BN6" i="1"/>
  <c r="BM6" i="1"/>
  <c r="BH6" i="1"/>
  <c r="BG6" i="1"/>
  <c r="BB6" i="1"/>
  <c r="BA6" i="1"/>
  <c r="AV6" i="1"/>
  <c r="AU6" i="1"/>
  <c r="AO6" i="1"/>
  <c r="CK13" i="1" l="1"/>
  <c r="CL13" i="1" s="1"/>
  <c r="CK36" i="1"/>
  <c r="CL36" i="1" s="1"/>
  <c r="CF40" i="1"/>
  <c r="AP60" i="1"/>
  <c r="CK6" i="1"/>
  <c r="CL6" i="1" s="1"/>
  <c r="CF10" i="1"/>
  <c r="CK16" i="1"/>
  <c r="CL16" i="1" s="1"/>
  <c r="CK27" i="1"/>
  <c r="CL27" i="1" s="1"/>
  <c r="CK24" i="1"/>
  <c r="CL24" i="1" s="1"/>
  <c r="CK25" i="1"/>
  <c r="CL25" i="1" s="1"/>
  <c r="AP40" i="1"/>
  <c r="BZ40" i="1"/>
  <c r="CF60" i="1"/>
  <c r="CK69" i="1"/>
  <c r="CL69" i="1" s="1"/>
  <c r="CK21" i="1"/>
  <c r="CL21" i="1" s="1"/>
  <c r="CK23" i="1"/>
  <c r="CL23" i="1" s="1"/>
  <c r="CK17" i="1"/>
  <c r="CL17" i="1" s="1"/>
  <c r="BN33" i="1"/>
  <c r="BN35" i="1"/>
  <c r="BN39" i="1"/>
  <c r="CK44" i="1"/>
  <c r="CL44" i="1" s="1"/>
  <c r="BN55" i="1"/>
  <c r="CK62" i="1"/>
  <c r="AV10" i="1"/>
  <c r="BZ10" i="1"/>
  <c r="CF33" i="1"/>
  <c r="CF35" i="1"/>
  <c r="AP39" i="1"/>
  <c r="CF39" i="1"/>
  <c r="CK40" i="1"/>
  <c r="CL40" i="1" s="1"/>
  <c r="BT40" i="1"/>
  <c r="CF55" i="1"/>
  <c r="BZ60" i="1"/>
  <c r="AP10" i="1"/>
  <c r="BT10" i="1"/>
  <c r="CK33" i="1"/>
  <c r="CL33" i="1" s="1"/>
  <c r="BZ33" i="1"/>
  <c r="BZ35" i="1"/>
  <c r="BZ39" i="1"/>
  <c r="BN40" i="1"/>
  <c r="CK45" i="1"/>
  <c r="CL45" i="1" s="1"/>
  <c r="BZ55" i="1"/>
  <c r="CK56" i="1"/>
  <c r="CL56" i="1" s="1"/>
  <c r="CK60" i="1"/>
  <c r="CL60" i="1" s="1"/>
  <c r="BT60" i="1"/>
  <c r="CK70" i="1"/>
  <c r="CK74" i="1"/>
  <c r="CK37" i="1"/>
  <c r="BN10" i="1"/>
  <c r="CK28" i="1"/>
  <c r="CL28" i="1" s="1"/>
  <c r="BT33" i="1"/>
  <c r="BT35" i="1"/>
  <c r="CK39" i="1"/>
  <c r="CL39" i="1" s="1"/>
  <c r="BT39" i="1"/>
  <c r="CK43" i="1"/>
  <c r="CL43" i="1" s="1"/>
  <c r="CK55" i="1"/>
  <c r="CL55" i="1" s="1"/>
  <c r="BT55" i="1"/>
  <c r="BN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tc={BFCA013B-B84E-4F9E-B9D4-D0740C9AB520}</author>
    <author>tc={BEA2E59E-E167-4454-A93B-738078CCEB20}</author>
    <author>tc={E4240CA1-0A78-428A-B581-5A4888E980FA}</author>
    <author>tc={FC577FC0-B511-4EDF-8EFB-1CBB8A522DE9}</author>
    <author>tc={9503D910-7881-4807-9BA5-AFEBE872B4B2}</author>
  </authors>
  <commentList>
    <comment ref="AB4" authorId="0" shapeId="0" xr:uid="{C124989A-A2DC-43B8-BB63-3F5541CECDEE}">
      <text>
        <r>
          <rPr>
            <b/>
            <sz val="9"/>
            <color indexed="81"/>
            <rFont val="Tahoma"/>
            <family val="2"/>
          </rPr>
          <t>pamela:</t>
        </r>
        <r>
          <rPr>
            <sz val="9"/>
            <color indexed="81"/>
            <rFont val="Tahoma"/>
            <family val="2"/>
          </rPr>
          <t xml:space="preserve">
mes de la vigencia programada para ejecutar la actividad</t>
        </r>
      </text>
    </comment>
    <comment ref="U30" authorId="1" shapeId="0" xr:uid="{BFCA013B-B84E-4F9E-B9D4-D0740C9AB52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mes de reporte segun solcitud del proceso aprobada mediante MEM21-00021263 del 1 de julio del 2021 en respuesta al e MEM21 -00021050.</t>
      </text>
    </comment>
    <comment ref="U61" authorId="2" shapeId="0" xr:uid="{BEA2E59E-E167-4454-A93B-738078CCEB2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
      </text>
    </comment>
    <comment ref="AO61" authorId="3" shapeId="0" xr:uid="{E4240CA1-0A78-428A-B581-5A4888E980FA}">
      <text>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 fue modificado para el segundo trimestre del año y cambio de tipo indicador porcentaje a producto segun MEM21-00021069 del 30 de junio del 2021</t>
      </text>
    </comment>
    <comment ref="U69" authorId="4" shapeId="0" xr:uid="{FC577FC0-B511-4EDF-8EFB-1CBB8A522DE9}">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
      </text>
    </comment>
    <comment ref="U71" authorId="5" shapeId="0" xr:uid="{9503D910-7881-4807-9BA5-AFEBE872B4B2}">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MEM21-00013994 de fecha 6 de mayo del 2021 se realiza moficiación de la frecuencia del indicador de trimestral a anual y de meta 4 a meta uno (1) aprobado por el jefe de la OAPI.</t>
      </text>
    </comment>
  </commentList>
</comments>
</file>

<file path=xl/sharedStrings.xml><?xml version="1.0" encoding="utf-8"?>
<sst xmlns="http://schemas.openxmlformats.org/spreadsheetml/2006/main" count="1409" uniqueCount="522">
  <si>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</si>
  <si>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</si>
  <si>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</si>
  <si>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</si>
  <si>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</si>
  <si>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</si>
  <si>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</si>
  <si>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</si>
  <si>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</si>
  <si>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</si>
  <si>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</si>
  <si>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</si>
  <si>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</si>
  <si>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</si>
  <si>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</si>
  <si>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</si>
  <si>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</si>
  <si>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</si>
  <si>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</si>
  <si>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</si>
  <si>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</si>
  <si>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</si>
  <si>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</si>
  <si>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</si>
  <si>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</si>
  <si>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</si>
  <si>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</si>
  <si>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</si>
  <si>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</si>
  <si>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</si>
  <si>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</si>
  <si>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</si>
  <si>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</si>
  <si>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</si>
  <si>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</si>
  <si>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</si>
  <si>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</si>
  <si>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</si>
  <si>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</si>
  <si>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</si>
  <si>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</si>
  <si>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</si>
  <si>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</si>
  <si>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</si>
  <si>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</si>
  <si>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</si>
  <si>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</si>
  <si>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</si>
  <si>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</si>
  <si>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</si>
  <si>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</si>
  <si>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</si>
  <si>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</si>
  <si>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</si>
  <si>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</si>
  <si>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</si>
  <si>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</si>
  <si>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</si>
  <si>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</si>
  <si>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</si>
  <si>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</si>
  <si>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</si>
  <si>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</si>
  <si>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</si>
  <si>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</si>
  <si>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</si>
  <si>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</si>
  <si>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</si>
  <si>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</si>
  <si>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</si>
  <si>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</si>
  <si>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</si>
  <si>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</si>
  <si>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</si>
  <si>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1. Ejecución del Plan de Comunicaciones Estratégicas</t>
  </si>
  <si>
    <t>Plan de Comunicaciones ejecutado</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</si>
  <si>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</si>
  <si>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</si>
  <si>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</si>
  <si>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</si>
  <si>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</si>
  <si>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</si>
  <si>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</si>
  <si>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2. Realizar campañas de difusión y reconocimiento  que promuevan la inclusión de las personas en proceso de reincorporación</t>
  </si>
  <si>
    <t>Dos (2) campañas de difusión y reconocimiento que promuevan la inclusión de las personas en proceso de reincorporación</t>
  </si>
  <si>
    <t>Número de campañas de difusión y reconocimiento que promuevan la inclusión de las personas en proceso de reincorporación</t>
  </si>
  <si>
    <t>Número</t>
  </si>
  <si>
    <t>Campañas de difusión y reconocimiento que promuevan la inclusión de las personas en proceso de reincorporación</t>
  </si>
  <si>
    <t>Semestral</t>
  </si>
  <si>
    <t>1.1.3</t>
  </si>
  <si>
    <t xml:space="preserve">3. 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</si>
  <si>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</si>
  <si>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</si>
  <si>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 de las entidades gubernamentales asistidos)/ (Nº de llamado de las entidades gubernamentales programados))*100</t>
  </si>
  <si>
    <t>Coordinación y Cooperación Interinstitucional</t>
  </si>
  <si>
    <t>4. Realizar las campañas de reconocimiento de lideres y lideresas defensores de derechos humanos</t>
  </si>
  <si>
    <t>Dos (2) campañas de reconocimiento de lideres y lideresas defensores de derechos humanos</t>
  </si>
  <si>
    <t>Número de campañas de reconocimiento de lideres y lideresas defensores de derechos humanos</t>
  </si>
  <si>
    <t>No.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</si>
  <si>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</si>
  <si>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</si>
  <si>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</si>
  <si>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</si>
  <si>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</si>
  <si>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</si>
  <si>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</si>
  <si>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</si>
  <si>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5. Realizar asistencia técnica en el componente de prevención (diagnósticos focalizados de riesgo, proyección de escenarios de riesgo y planes de prevención y contingencia)</t>
  </si>
  <si>
    <t>Doce (12)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</si>
  <si>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</si>
  <si>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</si>
  <si>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</si>
  <si>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6. 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</si>
  <si>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</si>
  <si>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</si>
  <si>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</si>
  <si>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</si>
  <si>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</si>
  <si>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 xml:space="preserve">7. 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</si>
  <si>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</si>
  <si>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</si>
  <si>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</si>
  <si>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</si>
  <si>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8. Actualizar los procedimientos y demás documentos relacionados con la elaboración de la evaluación del riesgo, del Programa de Prevención y Proteccion y Programa Especial de Proteccion para UP-PCC asegurando la incorporación de los nuevos escenarios de riesgos territoriales</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</si>
  <si>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</si>
  <si>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</si>
  <si>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</si>
  <si>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9. Actualizar los procedimientos y demás documentos relacionados con la elaboración de la evaluación del riesgo, del PPESP, asegurando la incorporación de los nuevos escenarios de riesgos territoriales</t>
  </si>
  <si>
    <t>Procedimientos y demás documentos de la elaboración de la evaluación del riesgo, del PPESP actualizados</t>
  </si>
  <si>
    <t>Porcentaje de procedimientos y demás documentos de la elaboración de la evaluación del riesgo, del PPESP actualizados</t>
  </si>
  <si>
    <t>((Nº de procedimientos y demás documentos de la elaboración de la evaluación del riesgo, del  PPESP actualizados)/(Nº de procedimientos y demás documentos de la elaboración de la evaluación del riesgo, del del  PPESP identificados))*100</t>
  </si>
  <si>
    <t>3. Asistir técnicamente y en lo de sus competencias junto con las demás entidades corresponsables en la formulación y desarrollo de mecanismos o planes de prevención y protección</t>
  </si>
  <si>
    <t>2.3.1</t>
  </si>
  <si>
    <t>10. Establecer un responsable de la estrategia de prevención al interior de la UNP (DG)</t>
  </si>
  <si>
    <t>Comunicación interna de asignación del responsable de la estrategia de prevención al interior de la UNP</t>
  </si>
  <si>
    <t>Memorando de Asignación de responsable de la estrategia de prevención al interior de la UNP</t>
  </si>
  <si>
    <t xml:space="preserve">Direccionamiento Estratégico y Planeación </t>
  </si>
  <si>
    <t>Anual</t>
  </si>
  <si>
    <t>2.3.3</t>
  </si>
  <si>
    <t>11. 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</si>
  <si>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</si>
  <si>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</si>
  <si>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</si>
  <si>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12. Asistir técnicamente  a las entidades territoriales que soliciten el apoyo técnico de la UNP para la consolidación del proyecto de fortalecimiento</t>
  </si>
  <si>
    <t>Asistencias técnicas realizadas para la consolidación del proyecto de fortalecimiento</t>
  </si>
  <si>
    <t>Porcentaje de asistencias técnicas realizadas para la consolidación del proyecto de fortalecimiento</t>
  </si>
  <si>
    <t>((Nº de asistencias técnicas realizadas por la UNP  para la consolidación del proyecto de fortalecimiento)/ (Nº de asistencias técnicas solicitadas por las entidades territoriales a la UNP para la consolidación del proyecto de fortalecimiento))*100</t>
  </si>
  <si>
    <t>13. 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</si>
  <si>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</si>
  <si>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</si>
  <si>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</si>
  <si>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14. 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</si>
  <si>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</si>
  <si>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</si>
  <si>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</si>
  <si>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</si>
  <si>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</si>
  <si>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15. Formulación del plan de fortalecimiento y articulación de las acciones tendientes a garantizar la presencia territorial de los programas de protección del Estado.</t>
  </si>
  <si>
    <t>Plan de Fortalecimiento formulado</t>
  </si>
  <si>
    <t>Documento con la formulación del plan de fortalecimiento y articulación de las acciones tendientes a garantizar la presencia territorial de los programas de protección del Estado.</t>
  </si>
  <si>
    <t>Un documento con la formulación del plan de fortalecimiento y articulación de las acciones tendientes a garantizar la presencia territorial de los programas de protección del Estado.</t>
  </si>
  <si>
    <t>2.4.1</t>
  </si>
  <si>
    <t>16. 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</si>
  <si>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</si>
  <si>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</si>
  <si>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</si>
  <si>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17. 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</si>
  <si>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</si>
  <si>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</si>
  <si>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</si>
  <si>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</si>
  <si>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</si>
  <si>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18. 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</si>
  <si>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</si>
  <si>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</si>
  <si>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por acto administrativo de competencia de la UNP )/(Nº de medidas preventivas establecidas en los planes de prevención o contingencia o protocolos de protección de competencia de la UNP notificadas y/o comunicadas para su adopción))*100</t>
  </si>
  <si>
    <t>19. 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</si>
  <si>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</si>
  <si>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</si>
  <si>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</si>
  <si>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20. 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</si>
  <si>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</si>
  <si>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</si>
  <si>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</si>
  <si>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</si>
  <si>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</si>
  <si>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21. 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</si>
  <si>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</si>
  <si>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</si>
  <si>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</si>
  <si>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</si>
  <si>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</si>
  <si>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22. 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</si>
  <si>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</si>
  <si>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</si>
  <si>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</si>
  <si>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23. 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</si>
  <si>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</si>
  <si>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</si>
  <si>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</si>
  <si>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24. Establecer la metodología y mecanismos de recolección e intercambio de información</t>
  </si>
  <si>
    <t>Metodología  y mecanismos de recolección e intercambio de información oficializados</t>
  </si>
  <si>
    <t>Una Metodología que incluya mecanismos de recolección e intercambio de información oficializada</t>
  </si>
  <si>
    <t>2.7.1</t>
  </si>
  <si>
    <t>25. Identificar la información necesaria para la consolidación de la analítica institucional (OAPI)</t>
  </si>
  <si>
    <t>Documento de necesidades de analítica institucional</t>
  </si>
  <si>
    <t>Un Documento con las necesidades de analítica institucional</t>
  </si>
  <si>
    <t>8.Contribuir en la identificación efectiva de actores amenazantes y desmantelamiento de organizaciones y conductas criminales</t>
  </si>
  <si>
    <t>2.8.14</t>
  </si>
  <si>
    <t>26. 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</si>
  <si>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</si>
  <si>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</si>
  <si>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</si>
  <si>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</si>
  <si>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</si>
  <si>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27.Trabajar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</si>
  <si>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</si>
  <si>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</si>
  <si>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ante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</si>
  <si>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</si>
  <si>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</si>
  <si>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</si>
  <si>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</si>
  <si>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</si>
  <si>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</si>
  <si>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3.9.5</t>
  </si>
  <si>
    <t>28. 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</si>
  <si>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</si>
  <si>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</si>
  <si>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</si>
  <si>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</si>
  <si>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3.9.6</t>
  </si>
  <si>
    <t>29. 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</si>
  <si>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</si>
  <si>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</si>
  <si>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y la valoración del nivel de riesgo, por parte del Grupo de Valoración Preliminar (GVP).</t>
  </si>
  <si>
    <t>Eficiencia</t>
  </si>
  <si>
    <t>3.9.8</t>
  </si>
  <si>
    <t>30. 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</si>
  <si>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</si>
  <si>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</si>
  <si>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</si>
  <si>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3.9.7</t>
  </si>
  <si>
    <t>31. Implementación oportuna de las medidas de protección individual a NARP</t>
  </si>
  <si>
    <t>Implementación oportuna de las medidas de protección individual a NARP</t>
  </si>
  <si>
    <t xml:space="preserve">BPIN 2020011000074 Implementación de la ruta de protección individual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</si>
  <si>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</si>
  <si>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</si>
  <si>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</si>
  <si>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32. Implementación oportuna de las medidas de protección colectiva a NARP </t>
  </si>
  <si>
    <t>Actas de Implementación de Medidas</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</si>
  <si>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</si>
  <si>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</si>
  <si>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</si>
  <si>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33. 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</si>
  <si>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</si>
  <si>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</si>
  <si>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34. 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</si>
  <si>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</si>
  <si>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</si>
  <si>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</si>
  <si>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35. 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</si>
  <si>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</si>
  <si>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</si>
  <si>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</si>
  <si>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10. Actuar de manera eficiente y eficaz en las rutas de protección</t>
  </si>
  <si>
    <t>3.10.3</t>
  </si>
  <si>
    <t>36. 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</si>
  <si>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</si>
  <si>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</si>
  <si>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</si>
  <si>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37. 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</si>
  <si>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</si>
  <si>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</si>
  <si>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</si>
  <si>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3.10.7</t>
  </si>
  <si>
    <t>38. Implementación de las medidas de protección a Mujeres que por su condición de Víctimas, presentan un riesgo extraordinario o extremo</t>
  </si>
  <si>
    <t xml:space="preserve">Mujeres que por su condición de víctimas, presentan un riesgo extraordinario o extremo y requieren medias de protección </t>
  </si>
  <si>
    <t xml:space="preserve">Porcentaje de mujeres  que por su condición de víctimas, presentan un riesgo extraordinario o extremo y requieren medias de protección </t>
  </si>
  <si>
    <t>((Nº de Mujeres que por su condición de Víctimas requieren medidas y son implementadas en términos durante el periodo contados a partir de la firmeza del acto administrativo)/(Nº de Mujeres que por su condición de Víctimas se les otorga medidas de protección a implementar en el periodo contados a partir de la firmeza del acto administrativo))*100</t>
  </si>
  <si>
    <t>39. 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</si>
  <si>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</si>
  <si>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</si>
  <si>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</si>
  <si>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</si>
  <si>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40. 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</si>
  <si>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</si>
  <si>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</si>
  <si>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</si>
  <si>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</si>
  <si>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41. Actualizar el procedimiento y demás documentos relacionados con el proceso de Gestión Integral de Medidas de Emergencia, que permitan una interacción eficiente y eficaz con los demás procesos relacionados con la ruta de protección de la Unidad Nacional de Protección</t>
  </si>
  <si>
    <t>Procedimiento y documentos relacionados con el proceso de Gestión Integral de Medidas de Emergencia oficializados según cronograma de actualización</t>
  </si>
  <si>
    <t>((Número de Procedimiento y demás documentos relacionados con el proceso de Gestión Integral de Medidas de Emergencia oficializados según cronograma de actualización) / (Nº de procedimientos y demás documentos relacionados con el proceso de Gestión Integral de Medidas de Emergencia identificados según cronograma de actualización)) *100</t>
  </si>
  <si>
    <t>Gestión Integral de Medidas de Emergencia</t>
  </si>
  <si>
    <t>3.10.11</t>
  </si>
  <si>
    <t xml:space="preserve">42. 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</si>
  <si>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</si>
  <si>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</si>
  <si>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</si>
  <si>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</si>
  <si>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43. 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</si>
  <si>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</si>
  <si>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</si>
  <si>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</si>
  <si>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UNP</t>
  </si>
  <si>
    <t>3.11.14</t>
  </si>
  <si>
    <t>44. 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</si>
  <si>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</si>
  <si>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</si>
  <si>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t>
  </si>
  <si>
    <t>45. 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</si>
  <si>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</si>
  <si>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</si>
  <si>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</si>
  <si>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</si>
  <si>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</si>
  <si>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</si>
  <si>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</si>
  <si>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</si>
  <si>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</si>
  <si>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</si>
  <si>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46. Realizar campañas internas a servidores públicos y colaboradores que permitan evaluar la percepción de los enfoques diferenciales en desarrollo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</si>
  <si>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</si>
  <si>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</si>
  <si>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</si>
  <si>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</si>
  <si>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47. 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</si>
  <si>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</si>
  <si>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</si>
  <si>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</si>
  <si>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4.13.1</t>
  </si>
  <si>
    <t>48. Presentar documento con los lineamientos para el desarrollo de los Enfoques Diferenciales  (DG)</t>
  </si>
  <si>
    <t xml:space="preserve">Documento de Enfoque Diferencial </t>
  </si>
  <si>
    <t>Un Documento de Enfoque Diferencial</t>
  </si>
  <si>
    <t>4.13.11</t>
  </si>
  <si>
    <t>49. 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</si>
  <si>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</si>
  <si>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</si>
  <si>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</si>
  <si>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</si>
  <si>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</si>
  <si>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</si>
  <si>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</si>
  <si>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</si>
  <si>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</si>
  <si>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50. 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</si>
  <si>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</si>
  <si>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</si>
  <si>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</si>
  <si>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51. 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</si>
  <si>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</si>
  <si>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</si>
  <si>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</si>
  <si>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15. Consolidar la estrategia de cooperación internacional al interior de la entidad como mecanismo alterno para el desarrollo de programas, planes e iniciativas que contribuyan a alcanzar los objetivos institucionales.</t>
  </si>
  <si>
    <t>5.15.1</t>
  </si>
  <si>
    <t>52. Documentar el Banco de Proyectos de la UNP (DG)</t>
  </si>
  <si>
    <t>Banco de Proyectos de la UNP</t>
  </si>
  <si>
    <t>Documento del Banco de Proyectos de la UNP</t>
  </si>
  <si>
    <t>5.15.3</t>
  </si>
  <si>
    <t>53. Realizar identificación del Mapa de Cooperantes de la UNP</t>
  </si>
  <si>
    <t>Mapa de Cooperantes</t>
  </si>
  <si>
    <t>Documento con la identificación del mapa de cooperantes</t>
  </si>
  <si>
    <t xml:space="preserve">54. 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</si>
  <si>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</si>
  <si>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</si>
  <si>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</si>
  <si>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</si>
  <si>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</si>
  <si>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55. Realizar seguimiento a las PQRSD elevadas a la entidad</t>
  </si>
  <si>
    <t>Informes de Seguimiento</t>
  </si>
  <si>
    <t>((Nº total de respuestas a PQRSD proyectadas en términos de ley durante el periodo) /(Nº total de PQRSD elevadas ante la entidad durante el periodo))*100</t>
  </si>
  <si>
    <t>17. Disminuir el tiempo de respuesta de los recursos de reposición.</t>
  </si>
  <si>
    <t>Nº de servicios no conformes realizado</t>
  </si>
  <si>
    <t>5.17.14</t>
  </si>
  <si>
    <t>56. Reporte de actos administrativos (servicios no conformes) proyectados y entregados en Dirección para firma.</t>
  </si>
  <si>
    <t>Reporte de actos administrativos (servicios no conformes) proyectados</t>
  </si>
  <si>
    <t>Nº de actos administrativos proyectados (servicios no conformes)</t>
  </si>
  <si>
    <t>92.79%</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</si>
  <si>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</si>
  <si>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</si>
  <si>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</si>
  <si>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</si>
  <si>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57. 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</si>
  <si>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</si>
  <si>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</si>
  <si>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</si>
  <si>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</si>
  <si>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5.19.1</t>
  </si>
  <si>
    <t>58. Consolidar una metodología de Gerencia de Proyectos en la Unidad Nacional de Protección (OAPI)</t>
  </si>
  <si>
    <t>Metodología consolidada y/o oficializada</t>
  </si>
  <si>
    <t>Documento Metodológico de Gerencia de Proyectos</t>
  </si>
  <si>
    <t>Documento metodológico de Gerencia de Proyectos</t>
  </si>
  <si>
    <t>5.19.14</t>
  </si>
  <si>
    <t>59. Diseñar los diferentes documentos que permitan llevar a cabo el seguimiento y control a las actuaciones realizadas por los apoderados de la UNP en los procesos judiciales a su cargo</t>
  </si>
  <si>
    <t>Documento del esquema de líneas de defensa de la UNP</t>
  </si>
  <si>
    <t>Nº de Documentos del esquema de líneas de defensa de la UNP</t>
  </si>
  <si>
    <t>20. Gestionar, administrar y ejecutar eficientemente los recursos financieros necesarios desde la programación, apropiación y ejecución para dar cumplimiento a las metas y obtener los resultados de desempeño institucional planificados.</t>
  </si>
  <si>
    <t>5.20.1</t>
  </si>
  <si>
    <t>60. Realizar la metodología para la construcción del anteproyecto de presupuesto vigencia 2022 de la Unidad Nacional de Protección de acuerdo con las directrices y lineamientos del Ministerio de Hacienda y Crédito Público y el Departamento de Planeación Nacional. (OAPI)</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</si>
  <si>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</si>
  <si>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</si>
  <si>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</si>
  <si>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5.20.10</t>
  </si>
  <si>
    <t>61. 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</si>
  <si>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</si>
  <si>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</si>
  <si>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</si>
  <si>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5.20.12</t>
  </si>
  <si>
    <t>62. 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</si>
  <si>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</si>
  <si>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</si>
  <si>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</si>
  <si>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21. Implementar el modelo integrado de planeación y gestión (MIPG)</t>
  </si>
  <si>
    <t xml:space="preserve">((Nº de indicadores eficaces)/(Nº total de indicadores de la estrategia))*100 </t>
  </si>
  <si>
    <t>5.21.1</t>
  </si>
  <si>
    <t>63. Revisar la plataforma estratégica de la entidad (DG)</t>
  </si>
  <si>
    <t>Resolución modificada de actualización de la plataforma estratégica</t>
  </si>
  <si>
    <t>Plataforma Estratégica actualizada</t>
  </si>
  <si>
    <t>64. Ejecutar los planes asociados al Decreto 612 del 2018 (OAPI)</t>
  </si>
  <si>
    <t>Planes Ejecutados</t>
  </si>
  <si>
    <t>Sumatoria del porcentaje de cumplimiento de los Planes asociados al Decreto 612 del 2018</t>
  </si>
  <si>
    <t>((Sumatoria de cumplimiento del avance de los planes del Decreto 612 del 2018)/(Sumatoria total de cumplimiento de los planes del Decreto 612 del 2018))*100</t>
  </si>
  <si>
    <t>Todos los Planes Decretos 612 del 2018</t>
  </si>
  <si>
    <t>65. Realizar el seguimiento como segunda línea de defensa a los planes asociados al Decreto 612 del 2018 (OAPI)</t>
  </si>
  <si>
    <t>Informes de seguimiento a los planes del decreto 612 del 2018</t>
  </si>
  <si>
    <t>Porcentaje de avance de informes presentados con seguimiento a los planes del decreto 612</t>
  </si>
  <si>
    <t>((Número de informes de seguimiento presentados a los planes del decreto 612 del 2018)/(Número de Planes del Decreto 612 del 2018 doce planes))*100</t>
  </si>
  <si>
    <t>66. Realizar seguimiento a los objetivos estratégicos a través del cuadro de mando integral (OAPI)</t>
  </si>
  <si>
    <t>Informe de seguimiento objetivos estratégicos</t>
  </si>
  <si>
    <t>Documento de informe de seguimiento objetivos estratégicos</t>
  </si>
  <si>
    <t>5.21.2</t>
  </si>
  <si>
    <t>67. Diseñar el esquemas de líneas de defensa en cumplimiento a los compromisos de la política de comunicaciones de la UNP</t>
  </si>
  <si>
    <t>Nº de Documentos del esquema de líneas de defensa de la UNP diseñados.</t>
  </si>
  <si>
    <t>No. Documentos del esquema de líneas de defensa de la UNP diseñados</t>
  </si>
  <si>
    <t>5.21.4</t>
  </si>
  <si>
    <t>68. 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</si>
  <si>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</si>
  <si>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</si>
  <si>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</si>
  <si>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</si>
  <si>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5.21.5</t>
  </si>
  <si>
    <t>69. 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</si>
  <si>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</si>
  <si>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</si>
  <si>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</si>
  <si>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5.21.10</t>
  </si>
  <si>
    <t>70. Diseñar el esquema de líneas de defensa de las supervisiones contractuales de los contratos suscritos por la UNP</t>
  </si>
  <si>
    <t>No. Documentos del esquema de líneas de defensa de la UNP diseñados.</t>
  </si>
  <si>
    <t>5.21.11</t>
  </si>
  <si>
    <t>71. 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</si>
  <si>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</si>
  <si>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</si>
  <si>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5.21.13</t>
  </si>
  <si>
    <t>72. 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</si>
  <si>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</si>
  <si>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</si>
  <si>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</si>
  <si>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</si>
  <si>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73. Diseñar el esquema de seguimiento al Comité de Sostenibilidad Contable atreves de las líneas de defensa  </t>
  </si>
  <si>
    <t>Nº Documentos del esquema de líneas de defensa de la UNP diseñados.</t>
  </si>
  <si>
    <t>5.21.15</t>
  </si>
  <si>
    <t>74. 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</si>
  <si>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</si>
  <si>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</si>
  <si>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</si>
  <si>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</si>
  <si>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</si>
  <si>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75. Realizar seguimiento a la ejecución del PINAR 2021</t>
  </si>
  <si>
    <t>Informe de Seguimiento al PINAR 2021</t>
  </si>
  <si>
    <t>Nº de informes de actualización y/o seguimientos a la ejecución del PINAR 2021</t>
  </si>
  <si>
    <t>5.21.16</t>
  </si>
  <si>
    <t>76. 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</si>
  <si>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</si>
  <si>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</si>
  <si>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</si>
  <si>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</si>
  <si>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5.21.17</t>
  </si>
  <si>
    <t>77. 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</si>
  <si>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</si>
  <si>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</si>
  <si>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</si>
  <si>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</si>
  <si>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</si>
  <si>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</si>
  <si>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78. Evaluar la percepción de la campaña UNP en territorio a través de herramientas para análisis de métricas </t>
  </si>
  <si>
    <t>Informe de resultados de la campaña UNP en territorio</t>
  </si>
  <si>
    <t>Documento de percepción de la campaña UNP en territorio</t>
  </si>
  <si>
    <t>5.22.11</t>
  </si>
  <si>
    <t>79. 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</si>
  <si>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</si>
  <si>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</si>
  <si>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</si>
  <si>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</si>
  <si>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5.23.13</t>
  </si>
  <si>
    <t>Financiera</t>
  </si>
  <si>
    <t>80. 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</si>
  <si>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</si>
  <si>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</si>
  <si>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</si>
  <si>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</si>
  <si>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81. 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</si>
  <si>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</si>
  <si>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</si>
  <si>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</si>
  <si>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</si>
  <si>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</si>
  <si>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</si>
  <si>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</si>
  <si>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</si>
  <si>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</si>
  <si>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</si>
  <si>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</si>
  <si>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</si>
  <si>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</si>
  <si>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</si>
  <si>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</si>
  <si>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</si>
  <si>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</si>
  <si>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</si>
  <si>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</si>
  <si>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 xml:space="preserve"> </t>
  </si>
  <si>
    <t>Nº Documentos del esquema de líneas de defensa de la UNP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</si>
</sst>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_-;\-* #,##0.000_-;_-* &quot;-&quot;??_-;_-@_-"/>
    <numFmt numFmtId="165" formatCode="_-* #,##0_-;\-* #,##0_-;_-* &quot;-&quot;??_-;_-@_-"/>
  </numFmts>
  <fonts count="21"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2"/>
      <color theme="9" tint="-0.499984740745262"/>
      <name val="Arial"/>
      <family val="2"/>
    </font>
    <font>
      <b/>
      <sz val="12"/>
      <color theme="9" tint="-0.499984740745262"/>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9"/>
      <color theme="1"/>
      <name val="Arial"/>
      <family val="2"/>
    </font>
    <font>
      <b/>
      <sz val="9"/>
      <color theme="1"/>
      <name val="Arial"/>
      <family val="2"/>
    </font>
    <font>
      <sz val="11"/>
      <color theme="1"/>
      <name val="Arial"/>
      <family val="2"/>
    </font>
    <font>
      <b/>
      <sz val="11"/>
      <color theme="1"/>
      <name val="Arial"/>
      <family val="2"/>
    </font>
    <font>
      <b/>
      <sz val="9"/>
      <color indexed="81"/>
      <name val="Tahoma"/>
      <family val="2"/>
    </font>
    <font>
      <sz val="9"/>
      <color indexed="81"/>
      <name val="Tahoma"/>
      <family val="2"/>
    </font>
  </fonts>
  <fills count="16">
    <fill>
      <patternFill patternType="none"/>
    </fill>
    <fill>
      <patternFill patternType="gray125"/>
    </fill>
    <fill>
      <patternFill patternType="solid">
        <fgColor rgb="FF92D05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4">
    <xf numFmtId="0" fontId="0" fillId="0" borderId="0" xfId="0"/>
    <xf numFmtId="0" fontId="4" fillId="4" borderId="12" xfId="0" applyFont="1" applyFill="1" applyBorder="1" applyAlignment="1">
      <alignment horizontal="center" vertical="center" wrapText="1"/>
    </xf>
    <xf numFmtId="0" fontId="4" fillId="9" borderId="1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7" borderId="18" xfId="0" applyFont="1" applyFill="1" applyBorder="1" applyAlignment="1">
      <alignment horizontal="center" vertical="center" wrapText="1"/>
    </xf>
    <xf numFmtId="9" fontId="5" fillId="7" borderId="7" xfId="0" applyNumberFormat="1"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7" xfId="0" applyFont="1" applyFill="1" applyBorder="1" applyAlignment="1">
      <alignment horizontal="center" vertical="center" textRotation="90" wrapText="1"/>
    </xf>
    <xf numFmtId="0" fontId="5" fillId="12" borderId="7" xfId="0" applyFont="1" applyFill="1" applyBorder="1" applyAlignment="1">
      <alignment horizontal="center" vertical="center" wrapText="1"/>
    </xf>
    <xf numFmtId="0" fontId="5" fillId="12" borderId="4" xfId="0" applyFont="1" applyFill="1" applyBorder="1" applyAlignment="1">
      <alignment horizontal="center" vertical="center" wrapText="1"/>
    </xf>
    <xf numFmtId="10" fontId="6" fillId="0" borderId="1" xfId="2" applyNumberFormat="1" applyFont="1" applyFill="1" applyBorder="1" applyAlignment="1">
      <alignment horizontal="center" vertical="center"/>
    </xf>
    <xf numFmtId="9" fontId="6" fillId="0" borderId="1" xfId="2" applyFont="1" applyFill="1" applyBorder="1" applyAlignment="1">
      <alignment horizontal="center" vertical="center"/>
    </xf>
    <xf numFmtId="9" fontId="6" fillId="0" borderId="1" xfId="2" applyFont="1" applyFill="1" applyBorder="1" applyAlignment="1">
      <alignment horizontal="center" vertical="center" wrapText="1"/>
    </xf>
    <xf numFmtId="9" fontId="7" fillId="0" borderId="1" xfId="2" applyFont="1" applyFill="1" applyBorder="1" applyAlignment="1">
      <alignment horizontal="center" vertical="center" wrapText="1"/>
    </xf>
    <xf numFmtId="10" fontId="6" fillId="0" borderId="22" xfId="2" applyNumberFormat="1" applyFont="1" applyFill="1" applyBorder="1" applyAlignment="1">
      <alignment horizontal="center" vertical="center"/>
    </xf>
    <xf numFmtId="0" fontId="6" fillId="0" borderId="1" xfId="2" applyNumberFormat="1" applyFont="1" applyFill="1" applyBorder="1" applyAlignment="1">
      <alignment horizontal="center" vertical="center"/>
    </xf>
    <xf numFmtId="9" fontId="6" fillId="0" borderId="22" xfId="2" applyFont="1" applyFill="1" applyBorder="1" applyAlignment="1">
      <alignment horizontal="center" vertical="center"/>
    </xf>
    <xf numFmtId="9" fontId="7" fillId="0" borderId="1" xfId="2" applyFont="1" applyFill="1" applyBorder="1" applyAlignment="1">
      <alignment horizontal="center" vertical="center"/>
    </xf>
    <xf numFmtId="9" fontId="6" fillId="0" borderId="8" xfId="2" applyFont="1" applyFill="1" applyBorder="1" applyAlignment="1">
      <alignment horizontal="center" vertical="center"/>
    </xf>
    <xf numFmtId="1" fontId="7" fillId="0" borderId="11" xfId="2" applyNumberFormat="1" applyFont="1" applyFill="1" applyBorder="1" applyAlignment="1">
      <alignment horizontal="center" vertical="center"/>
    </xf>
    <xf numFmtId="10" fontId="7" fillId="0" borderId="1" xfId="2" applyNumberFormat="1" applyFont="1" applyFill="1" applyBorder="1" applyAlignment="1">
      <alignment horizontal="center" vertical="center"/>
    </xf>
    <xf numFmtId="10" fontId="9" fillId="0" borderId="22" xfId="2" applyNumberFormat="1" applyFont="1" applyFill="1" applyBorder="1" applyAlignment="1">
      <alignment horizontal="center" vertical="center"/>
    </xf>
    <xf numFmtId="9" fontId="7" fillId="0" borderId="2" xfId="2" applyFont="1" applyFill="1" applyBorder="1" applyAlignment="1">
      <alignment horizontal="center" vertical="center"/>
    </xf>
    <xf numFmtId="9" fontId="7" fillId="0" borderId="22" xfId="2" applyFont="1" applyFill="1" applyBorder="1" applyAlignment="1">
      <alignment horizontal="center" vertical="center"/>
    </xf>
    <xf numFmtId="9" fontId="9" fillId="0" borderId="22" xfId="2" applyFont="1" applyFill="1" applyBorder="1" applyAlignment="1">
      <alignment horizontal="center" vertical="center"/>
    </xf>
    <xf numFmtId="10" fontId="7" fillId="0" borderId="22" xfId="2" applyNumberFormat="1" applyFont="1" applyFill="1" applyBorder="1" applyAlignment="1">
      <alignment horizontal="center" vertical="center"/>
    </xf>
    <xf numFmtId="164" fontId="7"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1" fontId="7" fillId="0" borderId="1" xfId="2" applyNumberFormat="1" applyFont="1" applyFill="1" applyBorder="1" applyAlignment="1">
      <alignment horizontal="center" vertical="center"/>
    </xf>
    <xf numFmtId="1" fontId="11" fillId="0" borderId="1" xfId="2" applyNumberFormat="1" applyFont="1" applyFill="1" applyBorder="1" applyAlignment="1">
      <alignment horizontal="center" vertical="center"/>
    </xf>
    <xf numFmtId="1" fontId="6" fillId="0" borderId="1" xfId="2" applyNumberFormat="1" applyFont="1" applyFill="1" applyBorder="1" applyAlignment="1">
      <alignment horizontal="center" vertical="center"/>
    </xf>
    <xf numFmtId="165" fontId="6" fillId="0" borderId="1"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2" fillId="0" borderId="0" xfId="0" applyFont="1" applyAlignment="1">
      <alignment horizontal="left" vertical="center"/>
    </xf>
    <xf numFmtId="0" fontId="18" fillId="0" borderId="0" xfId="0" applyFont="1" applyAlignment="1">
      <alignment horizontal="center" vertical="center"/>
    </xf>
    <xf numFmtId="9" fontId="18" fillId="0" borderId="0" xfId="0" applyNumberFormat="1" applyFont="1" applyAlignment="1">
      <alignment horizontal="center" vertical="center"/>
    </xf>
    <xf numFmtId="0" fontId="17" fillId="0" borderId="0" xfId="0" applyFont="1" applyAlignment="1">
      <alignment horizontal="center" vertical="center"/>
    </xf>
    <xf numFmtId="9" fontId="17" fillId="0" borderId="0" xfId="0" applyNumberFormat="1" applyFont="1" applyAlignment="1">
      <alignment vertical="center"/>
    </xf>
    <xf numFmtId="10" fontId="17" fillId="0" borderId="0" xfId="2" applyNumberFormat="1" applyFont="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0" fontId="6" fillId="0" borderId="1" xfId="0" applyNumberFormat="1" applyFont="1" applyFill="1" applyBorder="1" applyAlignment="1">
      <alignment horizontal="center" vertical="center"/>
    </xf>
    <xf numFmtId="0" fontId="0" fillId="0" borderId="0" xfId="0" applyFill="1"/>
    <xf numFmtId="9" fontId="7" fillId="0" borderId="11"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9" fontId="7" fillId="0" borderId="11"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6" fillId="0" borderId="8" xfId="0" applyNumberFormat="1" applyFont="1" applyFill="1" applyBorder="1" applyAlignment="1">
      <alignment horizontal="center" vertical="center"/>
    </xf>
    <xf numFmtId="9" fontId="7" fillId="0" borderId="11" xfId="0" applyNumberFormat="1" applyFont="1" applyFill="1" applyBorder="1" applyAlignment="1">
      <alignment horizontal="left" vertical="center" wrapText="1"/>
    </xf>
    <xf numFmtId="0" fontId="7" fillId="0" borderId="30" xfId="0"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10" fontId="7" fillId="0" borderId="2" xfId="0" applyNumberFormat="1" applyFont="1" applyFill="1" applyBorder="1" applyAlignment="1">
      <alignment horizontal="center" vertical="center"/>
    </xf>
    <xf numFmtId="0" fontId="7" fillId="0" borderId="1" xfId="0" applyFont="1" applyFill="1" applyBorder="1" applyAlignment="1">
      <alignment vertical="center" wrapText="1"/>
    </xf>
    <xf numFmtId="0" fontId="7" fillId="0" borderId="2"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0" xfId="0" applyFont="1" applyFill="1" applyAlignment="1">
      <alignment vertical="center" wrapText="1"/>
    </xf>
    <xf numFmtId="0" fontId="7" fillId="0" borderId="16" xfId="0" applyFont="1" applyFill="1" applyBorder="1" applyAlignment="1">
      <alignment horizontal="left" vertical="center" wrapText="1"/>
    </xf>
    <xf numFmtId="1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9" fontId="6" fillId="0" borderId="2" xfId="0" applyNumberFormat="1" applyFont="1" applyFill="1" applyBorder="1" applyAlignment="1">
      <alignment horizontal="center" vertical="center"/>
    </xf>
    <xf numFmtId="10" fontId="9" fillId="0" borderId="1" xfId="0" applyNumberFormat="1"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6" fillId="0" borderId="1" xfId="0" applyFont="1" applyFill="1" applyBorder="1" applyAlignment="1">
      <alignment vertical="center" wrapText="1"/>
    </xf>
    <xf numFmtId="10"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6" fillId="0" borderId="22" xfId="0" applyFont="1" applyFill="1" applyBorder="1" applyAlignment="1">
      <alignment horizontal="left" vertical="center" wrapText="1"/>
    </xf>
    <xf numFmtId="3" fontId="7" fillId="0" borderId="16" xfId="0" applyNumberFormat="1" applyFont="1" applyFill="1" applyBorder="1" applyAlignment="1">
      <alignment horizontal="center" vertical="center" wrapText="1"/>
    </xf>
    <xf numFmtId="0" fontId="6" fillId="0" borderId="22" xfId="0" applyFont="1" applyFill="1" applyBorder="1" applyAlignment="1">
      <alignment horizontal="left" vertical="center"/>
    </xf>
    <xf numFmtId="0" fontId="8" fillId="0" borderId="11" xfId="0" applyFont="1" applyFill="1" applyBorder="1" applyAlignment="1">
      <alignment horizontal="center" vertical="center" wrapText="1"/>
    </xf>
    <xf numFmtId="9" fontId="7" fillId="0" borderId="1" xfId="0" quotePrefix="1" applyNumberFormat="1" applyFont="1" applyFill="1" applyBorder="1" applyAlignment="1">
      <alignment horizontal="center" vertical="center"/>
    </xf>
    <xf numFmtId="9" fontId="7" fillId="0" borderId="8" xfId="0" applyNumberFormat="1" applyFont="1" applyFill="1" applyBorder="1" applyAlignment="1">
      <alignment horizontal="center" vertical="center"/>
    </xf>
    <xf numFmtId="9" fontId="7" fillId="0" borderId="22" xfId="2" applyNumberFormat="1" applyFont="1" applyFill="1" applyBorder="1" applyAlignment="1">
      <alignment horizontal="center" vertical="center"/>
    </xf>
    <xf numFmtId="2" fontId="6" fillId="0" borderId="1" xfId="2" applyNumberFormat="1"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6" xfId="0" applyFont="1" applyBorder="1" applyAlignment="1">
      <alignment horizontal="left" vertical="center" wrapText="1"/>
    </xf>
    <xf numFmtId="14" fontId="14" fillId="0" borderId="2"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14" fontId="14" fillId="0" borderId="16"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6" xfId="0" applyFont="1" applyBorder="1" applyAlignment="1">
      <alignment horizontal="lef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2" fillId="13" borderId="34" xfId="0" applyFont="1" applyFill="1" applyBorder="1" applyAlignment="1">
      <alignment horizontal="center"/>
    </xf>
    <xf numFmtId="0" fontId="12" fillId="13" borderId="9" xfId="0" applyFont="1" applyFill="1" applyBorder="1" applyAlignment="1">
      <alignment horizontal="center"/>
    </xf>
    <xf numFmtId="0" fontId="13" fillId="14" borderId="2"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16"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16"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9" fontId="7" fillId="0" borderId="11"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9" fontId="7" fillId="0" borderId="23" xfId="0" applyNumberFormat="1"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3"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32" xfId="0" applyFont="1" applyFill="1" applyBorder="1" applyAlignment="1">
      <alignment horizontal="left" vertical="center" wrapText="1"/>
    </xf>
    <xf numFmtId="0" fontId="7" fillId="0" borderId="3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vertical="center" wrapText="1"/>
    </xf>
    <xf numFmtId="0" fontId="7" fillId="0" borderId="23" xfId="0" applyFont="1" applyFill="1" applyBorder="1" applyAlignment="1">
      <alignment vertical="center" wrapText="1"/>
    </xf>
    <xf numFmtId="10" fontId="7" fillId="0" borderId="1" xfId="0" applyNumberFormat="1"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6" fillId="0" borderId="1" xfId="0" applyFont="1" applyFill="1" applyBorder="1" applyAlignment="1">
      <alignment horizontal="center" vertical="center" wrapText="1"/>
    </xf>
    <xf numFmtId="10" fontId="7" fillId="0" borderId="7" xfId="0" applyNumberFormat="1" applyFont="1" applyFill="1" applyBorder="1" applyAlignment="1">
      <alignment horizontal="center" vertical="center" wrapText="1"/>
    </xf>
    <xf numFmtId="10" fontId="7" fillId="0" borderId="23"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9" fontId="8" fillId="0" borderId="23" xfId="0" applyNumberFormat="1" applyFont="1" applyFill="1" applyBorder="1" applyAlignment="1">
      <alignment horizontal="center" vertical="center" wrapText="1"/>
    </xf>
    <xf numFmtId="10" fontId="7" fillId="0" borderId="11" xfId="0" applyNumberFormat="1" applyFont="1" applyFill="1" applyBorder="1" applyAlignment="1">
      <alignment horizontal="center" vertical="center" wrapText="1"/>
    </xf>
    <xf numFmtId="0" fontId="6" fillId="0" borderId="1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21" xfId="0" applyFont="1" applyFill="1" applyBorder="1" applyAlignment="1">
      <alignment vertical="center" wrapText="1"/>
    </xf>
    <xf numFmtId="0" fontId="7" fillId="0" borderId="26" xfId="0" applyFont="1" applyFill="1" applyBorder="1" applyAlignment="1">
      <alignment vertical="center" wrapText="1"/>
    </xf>
    <xf numFmtId="0" fontId="7" fillId="0" borderId="29" xfId="0" applyFont="1" applyFill="1" applyBorder="1" applyAlignment="1">
      <alignment vertical="center" wrapText="1"/>
    </xf>
    <xf numFmtId="10" fontId="9" fillId="0" borderId="23" xfId="0" applyNumberFormat="1" applyFont="1" applyFill="1" applyBorder="1" applyAlignment="1">
      <alignment horizontal="center" vertical="center" wrapText="1"/>
    </xf>
    <xf numFmtId="10" fontId="9" fillId="0" borderId="11"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9" fontId="6" fillId="0" borderId="23" xfId="0" applyNumberFormat="1" applyFont="1" applyFill="1" applyBorder="1" applyAlignment="1">
      <alignment horizontal="center" vertical="center" wrapText="1"/>
    </xf>
    <xf numFmtId="10" fontId="9" fillId="0" borderId="7"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6" fillId="0" borderId="19"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5" fillId="7"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5" fillId="6" borderId="16" xfId="0" applyFont="1" applyFill="1" applyBorder="1" applyAlignment="1">
      <alignment horizontal="center" vertical="center"/>
    </xf>
  </cellXfs>
  <cellStyles count="4">
    <cellStyle name="Millares" xfId="1" builtinId="3"/>
    <cellStyle name="Millares 2" xfId="3" xr:uid="{C0FE5343-8FE1-4383-88A2-50A280F62EB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81643</xdr:rowOff>
    </xdr:from>
    <xdr:to>
      <xdr:col>0</xdr:col>
      <xdr:colOff>966672</xdr:colOff>
      <xdr:row>2</xdr:row>
      <xdr:rowOff>164976</xdr:rowOff>
    </xdr:to>
    <xdr:pic>
      <xdr:nvPicPr>
        <xdr:cNvPr id="2" name="12 Imagen">
          <a:extLst>
            <a:ext uri="{FF2B5EF4-FFF2-40B4-BE49-F238E27FC236}">
              <a16:creationId xmlns:a16="http://schemas.microsoft.com/office/drawing/2014/main" id="{9B45AE38-090C-4855-B794-52192C379D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81643"/>
          <a:ext cx="638176" cy="46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75</xdr:col>
      <xdr:colOff>555649</xdr:colOff>
      <xdr:row>0</xdr:row>
      <xdr:rowOff>0</xdr:rowOff>
    </xdr:from>
    <xdr:to>
      <xdr:col>76</xdr:col>
      <xdr:colOff>280646</xdr:colOff>
      <xdr:row>2</xdr:row>
      <xdr:rowOff>185582</xdr:rowOff>
    </xdr:to>
    <xdr:pic>
      <xdr:nvPicPr>
        <xdr:cNvPr id="4" name="Imagen 3">
          <a:extLst>
            <a:ext uri="{FF2B5EF4-FFF2-40B4-BE49-F238E27FC236}">
              <a16:creationId xmlns:a16="http://schemas.microsoft.com/office/drawing/2014/main" id="{3FAF5D47-5D74-4790-A950-3B299A147FEB}"/>
            </a:ext>
          </a:extLst>
        </xdr:cNvPr>
        <xdr:cNvPicPr>
          <a:picLocks noChangeAspect="1"/>
        </xdr:cNvPicPr>
      </xdr:nvPicPr>
      <xdr:blipFill>
        <a:blip xmlns:r="http://schemas.openxmlformats.org/officeDocument/2006/relationships" r:embed="rId2"/>
        <a:stretch>
          <a:fillRect/>
        </a:stretch>
      </xdr:blipFill>
      <xdr:spPr>
        <a:xfrm>
          <a:off x="58618462" y="0"/>
          <a:ext cx="674663" cy="5824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540E641F-C017-422B-9726-84281C541363}"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30" dT="2021-08-04T21:08:30.09" personId="{540E641F-C017-422B-9726-84281C541363}" id="{BFCA013B-B84E-4F9E-B9D4-D0740C9AB520}">
    <text>Se modifica el mes de reporte segun solcitud del proceso aprobada mediante MEM21-00021263 del 1 de julio del 2021 en respuesta al e MEM21 -00021050.</text>
  </threadedComment>
  <threadedComment ref="U61" dT="2021-08-04T21:09:45.10" personId="{540E641F-C017-422B-9726-84281C541363}" id="{BEA2E59E-E167-4454-A93B-738078CCEB20}">
    <text>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ext>
  </threadedComment>
  <threadedComment ref="AO61" dT="2021-08-03T20:19:38.81" personId="{540E641F-C017-422B-9726-84281C541363}" id="{E4240CA1-0A78-428A-B581-5A4888E980FA}">
    <text>El indicador fue modificado para el segundo trimestre del año y cambio de tipo indicador porcentaje a producto segun MEM21-00021069 del 30 de junio del 2021</text>
  </threadedComment>
  <threadedComment ref="U69" dT="2021-07-01T21:06:28.01" personId="{540E641F-C017-422B-9726-84281C541363}" id="{FC577FC0-B511-4EDF-8EFB-1CBB8A522DE9}">
    <text>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ext>
  </threadedComment>
  <threadedComment ref="U71" dT="2021-08-04T21:08:07.64" personId="{540E641F-C017-422B-9726-84281C541363}" id="{9503D910-7881-4807-9BA5-AFEBE872B4B2}">
    <text>Segun MEM21-00013994 de fecha 6 de mayo del 2021 se realiza moficiación de la frecuencia del indicador de trimestral a anual y de meta 4 a meta uno (1) aprobado por el jefe de la OAPI.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377CB-B47E-4D95-B256-5BB6868EE560}">
  <dimension ref="A1:CM106"/>
  <sheetViews>
    <sheetView tabSelected="1" topLeftCell="V7" zoomScale="73" zoomScaleNormal="73" workbookViewId="0">
      <selection activeCell="V10" sqref="V10"/>
    </sheetView>
  </sheetViews>
  <sheetFormatPr baseColWidth="10" defaultRowHeight="15" x14ac:dyDescent="0.25"/>
  <cols>
    <col min="1" max="1" width="52.42578125" customWidth="1"/>
    <col min="2" max="2" width="53.85546875" customWidth="1"/>
    <col min="3" max="3" width="34.5703125" customWidth="1"/>
    <col min="4" max="4" width="59.140625" customWidth="1"/>
    <col min="5" max="5" width="30.140625" customWidth="1"/>
    <col min="6" max="6" width="46.28515625" customWidth="1"/>
    <col min="7" max="7" width="19.85546875" customWidth="1"/>
    <col min="8" max="8" width="36.7109375" customWidth="1"/>
    <col min="9" max="9" width="46" customWidth="1"/>
    <col min="10" max="10" width="41.28515625" customWidth="1"/>
    <col min="11" max="11" width="15.28515625" customWidth="1"/>
    <col min="12" max="12" width="23.85546875" customWidth="1"/>
    <col min="13" max="13" width="19.28515625" customWidth="1"/>
    <col min="14" max="14" width="61.85546875" customWidth="1"/>
    <col min="15" max="15" width="13.28515625" customWidth="1"/>
    <col min="16" max="16" width="56.7109375" customWidth="1"/>
    <col min="17" max="17" width="16.7109375" customWidth="1"/>
    <col min="18" max="18" width="19.140625" customWidth="1"/>
    <col min="19" max="19" width="74.85546875" customWidth="1"/>
    <col min="20" max="20" width="15.7109375" customWidth="1"/>
    <col min="21" max="21" width="98.7109375" customWidth="1"/>
    <col min="23" max="23" width="24.42578125" customWidth="1"/>
    <col min="24" max="24" width="22.5703125" customWidth="1"/>
    <col min="25" max="25" width="20.42578125" customWidth="1"/>
    <col min="26" max="26" width="21.5703125" customWidth="1"/>
    <col min="27" max="27" width="13.7109375" customWidth="1"/>
    <col min="28" max="40" width="7.140625" bestFit="1" customWidth="1"/>
    <col min="42" max="42" width="16.28515625" customWidth="1"/>
    <col min="43" max="43" width="16.5703125" customWidth="1"/>
    <col min="45" max="45" width="14.28515625" customWidth="1"/>
    <col min="46" max="46" width="13.28515625" customWidth="1"/>
    <col min="48" max="48" width="15.28515625" customWidth="1"/>
    <col min="49" max="49" width="16.28515625" customWidth="1"/>
    <col min="51" max="51" width="14.5703125" customWidth="1"/>
    <col min="52" max="52" width="15" customWidth="1"/>
    <col min="53" max="53" width="13.28515625" customWidth="1"/>
    <col min="54" max="54" width="16.42578125" customWidth="1"/>
    <col min="55" max="55" width="16.28515625" customWidth="1"/>
    <col min="56" max="56" width="12.28515625" customWidth="1"/>
    <col min="57" max="57" width="15.42578125" customWidth="1"/>
    <col min="58" max="58" width="14" customWidth="1"/>
    <col min="59" max="59" width="13.28515625" customWidth="1"/>
    <col min="60" max="60" width="16.7109375" customWidth="1"/>
    <col min="61" max="61" width="16" customWidth="1"/>
    <col min="63" max="63" width="15" customWidth="1"/>
    <col min="64" max="64" width="14.7109375" customWidth="1"/>
    <col min="65" max="65" width="13.5703125" customWidth="1"/>
    <col min="66" max="66" width="21.42578125" customWidth="1"/>
    <col min="67" max="67" width="14.85546875" customWidth="1"/>
    <col min="69" max="69" width="16.140625" customWidth="1"/>
    <col min="70" max="70" width="13" customWidth="1"/>
    <col min="72" max="72" width="20.28515625" customWidth="1"/>
    <col min="73" max="73" width="16" customWidth="1"/>
    <col min="75" max="75" width="14.140625" customWidth="1"/>
    <col min="76" max="76" width="14.42578125" customWidth="1"/>
    <col min="77" max="77" width="14.5703125" customWidth="1"/>
    <col min="78" max="78" width="20" customWidth="1"/>
    <col min="79" max="79" width="15.7109375" customWidth="1"/>
    <col min="81" max="81" width="16" customWidth="1"/>
    <col min="82" max="82" width="13.7109375" customWidth="1"/>
    <col min="83" max="83" width="16.28515625" customWidth="1"/>
    <col min="84" max="84" width="22.7109375" customWidth="1"/>
    <col min="85" max="85" width="17.42578125" customWidth="1"/>
    <col min="87" max="87" width="15.28515625" customWidth="1"/>
    <col min="88" max="88" width="13.42578125" customWidth="1"/>
    <col min="89" max="89" width="15.140625" customWidth="1"/>
    <col min="90" max="90" width="21" customWidth="1"/>
    <col min="91" max="91" width="24.42578125" customWidth="1"/>
  </cols>
  <sheetData>
    <row r="1" spans="1:91" x14ac:dyDescent="0.25">
      <c r="A1" s="216"/>
      <c r="B1" s="216"/>
      <c r="C1" s="218" t="s">
        <v>0</v>
      </c>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20"/>
      <c r="AO1" s="219"/>
      <c r="AP1" s="219"/>
      <c r="AQ1" s="219"/>
      <c r="AR1" s="219"/>
      <c r="AS1" s="219"/>
      <c r="AT1" s="219"/>
      <c r="AU1" s="219"/>
      <c r="AV1" s="219"/>
      <c r="AW1" s="219"/>
      <c r="AX1" s="219"/>
      <c r="AY1" s="219"/>
      <c r="AZ1" s="219"/>
      <c r="BA1" s="219"/>
      <c r="BB1" s="219"/>
      <c r="BC1" s="219"/>
      <c r="BD1" s="219"/>
      <c r="BE1" s="219"/>
      <c r="BF1" s="219"/>
      <c r="BG1" s="219"/>
      <c r="BH1" s="219"/>
      <c r="BI1" s="219"/>
      <c r="BJ1" s="219"/>
      <c r="BK1" s="219"/>
      <c r="BL1" s="219"/>
      <c r="BM1" s="221"/>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row>
    <row r="2" spans="1:91" x14ac:dyDescent="0.25">
      <c r="A2" s="216"/>
      <c r="B2" s="216"/>
      <c r="C2" s="218" t="s">
        <v>1</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20"/>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23"/>
      <c r="BN2" s="224"/>
      <c r="BO2" s="224"/>
      <c r="BP2" s="224"/>
      <c r="BQ2" s="224"/>
      <c r="BR2" s="224"/>
      <c r="BS2" s="224"/>
      <c r="BT2" s="224"/>
      <c r="BU2" s="224"/>
      <c r="BV2" s="224"/>
      <c r="BW2" s="224"/>
      <c r="BX2" s="224"/>
      <c r="BY2" s="224"/>
      <c r="BZ2" s="224"/>
      <c r="CA2" s="224"/>
      <c r="CB2" s="224"/>
      <c r="CC2" s="224"/>
      <c r="CD2" s="224"/>
      <c r="CE2" s="224"/>
      <c r="CF2" s="224"/>
      <c r="CG2" s="224"/>
      <c r="CH2" s="224"/>
      <c r="CI2" s="224"/>
      <c r="CJ2" s="224"/>
      <c r="CK2" s="224"/>
      <c r="CL2" s="224"/>
      <c r="CM2" s="224"/>
    </row>
    <row r="3" spans="1:91" ht="15.75" thickBot="1" x14ac:dyDescent="0.3">
      <c r="A3" s="217"/>
      <c r="B3" s="217"/>
      <c r="C3" s="218" t="s">
        <v>2</v>
      </c>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20"/>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25"/>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row>
    <row r="4" spans="1:91" ht="31.5" x14ac:dyDescent="0.25">
      <c r="A4" s="227" t="s">
        <v>3</v>
      </c>
      <c r="B4" s="228"/>
      <c r="C4" s="229"/>
      <c r="D4" s="229"/>
      <c r="E4" s="1" t="s">
        <v>4</v>
      </c>
      <c r="F4" s="230" t="s">
        <v>5</v>
      </c>
      <c r="G4" s="231"/>
      <c r="H4" s="231"/>
      <c r="I4" s="231"/>
      <c r="J4" s="231"/>
      <c r="K4" s="231"/>
      <c r="L4" s="231"/>
      <c r="M4" s="232"/>
      <c r="N4" s="233" t="s">
        <v>6</v>
      </c>
      <c r="O4" s="213"/>
      <c r="P4" s="213"/>
      <c r="Q4" s="213"/>
      <c r="R4" s="213"/>
      <c r="S4" s="213"/>
      <c r="T4" s="213"/>
      <c r="U4" s="213"/>
      <c r="V4" s="213"/>
      <c r="W4" s="213"/>
      <c r="X4" s="212" t="s">
        <v>7</v>
      </c>
      <c r="Y4" s="212" t="s">
        <v>8</v>
      </c>
      <c r="Z4" s="212" t="s">
        <v>9</v>
      </c>
      <c r="AA4" s="212" t="s">
        <v>10</v>
      </c>
      <c r="AB4" s="213" t="s">
        <v>11</v>
      </c>
      <c r="AC4" s="213"/>
      <c r="AD4" s="213"/>
      <c r="AE4" s="213"/>
      <c r="AF4" s="213"/>
      <c r="AG4" s="213"/>
      <c r="AH4" s="213"/>
      <c r="AI4" s="213"/>
      <c r="AJ4" s="213"/>
      <c r="AK4" s="213"/>
      <c r="AL4" s="213"/>
      <c r="AM4" s="213"/>
      <c r="AN4" s="212" t="s">
        <v>12</v>
      </c>
      <c r="AO4" s="214" t="s">
        <v>13</v>
      </c>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t="s">
        <v>14</v>
      </c>
      <c r="BN4" s="214"/>
      <c r="BO4" s="214"/>
      <c r="BP4" s="214"/>
      <c r="BQ4" s="214"/>
      <c r="BR4" s="214"/>
      <c r="BS4" s="214"/>
      <c r="BT4" s="214"/>
      <c r="BU4" s="214"/>
      <c r="BV4" s="214"/>
      <c r="BW4" s="214"/>
      <c r="BX4" s="214"/>
      <c r="BY4" s="214"/>
      <c r="BZ4" s="214"/>
      <c r="CA4" s="214"/>
      <c r="CB4" s="214"/>
      <c r="CC4" s="214"/>
      <c r="CD4" s="214"/>
      <c r="CE4" s="214"/>
      <c r="CF4" s="214"/>
      <c r="CG4" s="214"/>
      <c r="CH4" s="214"/>
      <c r="CI4" s="214"/>
      <c r="CJ4" s="214"/>
      <c r="CK4" s="214"/>
      <c r="CL4" s="214"/>
      <c r="CM4" s="215"/>
    </row>
    <row r="5" spans="1:91" ht="75" customHeight="1" x14ac:dyDescent="0.25">
      <c r="A5" s="2" t="s">
        <v>15</v>
      </c>
      <c r="B5" s="3" t="s">
        <v>16</v>
      </c>
      <c r="C5" s="3" t="s">
        <v>17</v>
      </c>
      <c r="D5" s="3" t="s">
        <v>18</v>
      </c>
      <c r="E5" s="4" t="s">
        <v>19</v>
      </c>
      <c r="F5" s="5" t="s">
        <v>20</v>
      </c>
      <c r="G5" s="6" t="s">
        <v>21</v>
      </c>
      <c r="H5" s="6" t="s">
        <v>22</v>
      </c>
      <c r="I5" s="6" t="s">
        <v>23</v>
      </c>
      <c r="J5" s="6" t="s">
        <v>24</v>
      </c>
      <c r="K5" s="5" t="s">
        <v>25</v>
      </c>
      <c r="L5" s="5" t="s">
        <v>26</v>
      </c>
      <c r="M5" s="6" t="s">
        <v>27</v>
      </c>
      <c r="N5" s="7" t="s">
        <v>28</v>
      </c>
      <c r="O5" s="8" t="s">
        <v>29</v>
      </c>
      <c r="P5" s="9" t="s">
        <v>30</v>
      </c>
      <c r="Q5" s="9" t="s">
        <v>31</v>
      </c>
      <c r="R5" s="9" t="s">
        <v>32</v>
      </c>
      <c r="S5" s="9" t="s">
        <v>33</v>
      </c>
      <c r="T5" s="9" t="s">
        <v>34</v>
      </c>
      <c r="U5" s="9" t="s">
        <v>35</v>
      </c>
      <c r="V5" s="9" t="s">
        <v>36</v>
      </c>
      <c r="W5" s="9" t="s">
        <v>37</v>
      </c>
      <c r="X5" s="212"/>
      <c r="Y5" s="212"/>
      <c r="Z5" s="212"/>
      <c r="AA5" s="212"/>
      <c r="AB5" s="10" t="s">
        <v>38</v>
      </c>
      <c r="AC5" s="10" t="s">
        <v>39</v>
      </c>
      <c r="AD5" s="10" t="s">
        <v>40</v>
      </c>
      <c r="AE5" s="10" t="s">
        <v>41</v>
      </c>
      <c r="AF5" s="10" t="s">
        <v>42</v>
      </c>
      <c r="AG5" s="10" t="s">
        <v>43</v>
      </c>
      <c r="AH5" s="10" t="s">
        <v>44</v>
      </c>
      <c r="AI5" s="10" t="s">
        <v>45</v>
      </c>
      <c r="AJ5" s="10" t="s">
        <v>46</v>
      </c>
      <c r="AK5" s="10" t="s">
        <v>47</v>
      </c>
      <c r="AL5" s="10" t="s">
        <v>48</v>
      </c>
      <c r="AM5" s="10" t="s">
        <v>49</v>
      </c>
      <c r="AN5" s="212"/>
      <c r="AO5" s="11" t="s">
        <v>50</v>
      </c>
      <c r="AP5" s="11" t="s">
        <v>51</v>
      </c>
      <c r="AQ5" s="5" t="s">
        <v>52</v>
      </c>
      <c r="AR5" s="5" t="s">
        <v>53</v>
      </c>
      <c r="AS5" s="5" t="s">
        <v>54</v>
      </c>
      <c r="AT5" s="5" t="s">
        <v>55</v>
      </c>
      <c r="AU5" s="11" t="s">
        <v>56</v>
      </c>
      <c r="AV5" s="11" t="s">
        <v>51</v>
      </c>
      <c r="AW5" s="5" t="s">
        <v>52</v>
      </c>
      <c r="AX5" s="5" t="s">
        <v>53</v>
      </c>
      <c r="AY5" s="5" t="s">
        <v>54</v>
      </c>
      <c r="AZ5" s="5" t="s">
        <v>55</v>
      </c>
      <c r="BA5" s="11" t="s">
        <v>57</v>
      </c>
      <c r="BB5" s="11" t="s">
        <v>51</v>
      </c>
      <c r="BC5" s="5" t="s">
        <v>52</v>
      </c>
      <c r="BD5" s="5" t="s">
        <v>53</v>
      </c>
      <c r="BE5" s="5" t="s">
        <v>54</v>
      </c>
      <c r="BF5" s="5" t="s">
        <v>55</v>
      </c>
      <c r="BG5" s="11" t="s">
        <v>58</v>
      </c>
      <c r="BH5" s="11" t="s">
        <v>51</v>
      </c>
      <c r="BI5" s="5" t="s">
        <v>52</v>
      </c>
      <c r="BJ5" s="5" t="s">
        <v>53</v>
      </c>
      <c r="BK5" s="5" t="s">
        <v>54</v>
      </c>
      <c r="BL5" s="5" t="s">
        <v>55</v>
      </c>
      <c r="BM5" s="11" t="s">
        <v>50</v>
      </c>
      <c r="BN5" s="11" t="s">
        <v>59</v>
      </c>
      <c r="BO5" s="5" t="s">
        <v>52</v>
      </c>
      <c r="BP5" s="5" t="s">
        <v>53</v>
      </c>
      <c r="BQ5" s="5" t="s">
        <v>54</v>
      </c>
      <c r="BR5" s="5" t="s">
        <v>55</v>
      </c>
      <c r="BS5" s="11" t="s">
        <v>56</v>
      </c>
      <c r="BT5" s="11" t="s">
        <v>59</v>
      </c>
      <c r="BU5" s="5" t="s">
        <v>52</v>
      </c>
      <c r="BV5" s="5" t="s">
        <v>53</v>
      </c>
      <c r="BW5" s="5" t="s">
        <v>54</v>
      </c>
      <c r="BX5" s="5" t="s">
        <v>55</v>
      </c>
      <c r="BY5" s="11" t="s">
        <v>57</v>
      </c>
      <c r="BZ5" s="11" t="s">
        <v>59</v>
      </c>
      <c r="CA5" s="5" t="s">
        <v>52</v>
      </c>
      <c r="CB5" s="5" t="s">
        <v>53</v>
      </c>
      <c r="CC5" s="5" t="s">
        <v>54</v>
      </c>
      <c r="CD5" s="5" t="s">
        <v>55</v>
      </c>
      <c r="CE5" s="11" t="s">
        <v>58</v>
      </c>
      <c r="CF5" s="11" t="s">
        <v>59</v>
      </c>
      <c r="CG5" s="5" t="s">
        <v>52</v>
      </c>
      <c r="CH5" s="5" t="s">
        <v>53</v>
      </c>
      <c r="CI5" s="5" t="s">
        <v>54</v>
      </c>
      <c r="CJ5" s="5" t="s">
        <v>55</v>
      </c>
      <c r="CK5" s="11" t="s">
        <v>60</v>
      </c>
      <c r="CL5" s="11" t="s">
        <v>61</v>
      </c>
      <c r="CM5" s="12" t="s">
        <v>62</v>
      </c>
    </row>
    <row r="6" spans="1:91" s="60" customFormat="1" ht="45" x14ac:dyDescent="0.25">
      <c r="A6" s="165" t="s">
        <v>63</v>
      </c>
      <c r="B6" s="159" t="s">
        <v>64</v>
      </c>
      <c r="C6" s="159" t="s">
        <v>65</v>
      </c>
      <c r="D6" s="208" t="s">
        <v>66</v>
      </c>
      <c r="E6" s="190" t="s">
        <v>67</v>
      </c>
      <c r="F6" s="193" t="s">
        <v>68</v>
      </c>
      <c r="G6" s="137">
        <v>1</v>
      </c>
      <c r="H6" s="139" t="s">
        <v>69</v>
      </c>
      <c r="I6" s="203" t="s">
        <v>70</v>
      </c>
      <c r="J6" s="206" t="s">
        <v>71</v>
      </c>
      <c r="K6" s="49" t="s">
        <v>72</v>
      </c>
      <c r="L6" s="50" t="s">
        <v>73</v>
      </c>
      <c r="M6" s="207">
        <v>1</v>
      </c>
      <c r="N6" s="51" t="s">
        <v>74</v>
      </c>
      <c r="O6" s="52">
        <v>0.25</v>
      </c>
      <c r="P6" s="51" t="s">
        <v>75</v>
      </c>
      <c r="Q6" s="50" t="s">
        <v>76</v>
      </c>
      <c r="R6" s="50" t="s">
        <v>76</v>
      </c>
      <c r="S6" s="51" t="s">
        <v>77</v>
      </c>
      <c r="T6" s="50" t="s">
        <v>78</v>
      </c>
      <c r="U6" s="53" t="s">
        <v>79</v>
      </c>
      <c r="V6" s="52" t="s">
        <v>80</v>
      </c>
      <c r="W6" s="50" t="s">
        <v>81</v>
      </c>
      <c r="X6" s="50" t="s">
        <v>76</v>
      </c>
      <c r="Y6" s="50" t="s">
        <v>76</v>
      </c>
      <c r="Z6" s="50" t="s">
        <v>76</v>
      </c>
      <c r="AA6" s="54" t="s">
        <v>82</v>
      </c>
      <c r="AB6" s="54"/>
      <c r="AC6" s="54"/>
      <c r="AD6" s="55">
        <v>1</v>
      </c>
      <c r="AE6" s="54"/>
      <c r="AF6" s="54"/>
      <c r="AG6" s="55">
        <v>1</v>
      </c>
      <c r="AH6" s="54"/>
      <c r="AI6" s="54"/>
      <c r="AJ6" s="55">
        <v>1</v>
      </c>
      <c r="AK6" s="54"/>
      <c r="AL6" s="54"/>
      <c r="AM6" s="55">
        <v>1</v>
      </c>
      <c r="AN6" s="55">
        <v>1</v>
      </c>
      <c r="AO6" s="13">
        <f>32/39</f>
        <v>0.82051282051282048</v>
      </c>
      <c r="AP6" s="56">
        <v>1</v>
      </c>
      <c r="AQ6" s="14">
        <v>0.25</v>
      </c>
      <c r="AR6" s="14">
        <v>0.25</v>
      </c>
      <c r="AS6" s="14">
        <v>0.25</v>
      </c>
      <c r="AT6" s="14">
        <v>0.25</v>
      </c>
      <c r="AU6" s="14">
        <f>161/161</f>
        <v>1</v>
      </c>
      <c r="AV6" s="14">
        <f>AW6+AX6+AY6+AZ6</f>
        <v>1</v>
      </c>
      <c r="AW6" s="14">
        <v>0.25</v>
      </c>
      <c r="AX6" s="14">
        <v>0.25</v>
      </c>
      <c r="AY6" s="14">
        <v>0.25</v>
      </c>
      <c r="AZ6" s="14">
        <v>0.25</v>
      </c>
      <c r="BA6" s="15">
        <f>167/167</f>
        <v>1</v>
      </c>
      <c r="BB6" s="15">
        <f>BC6+BD6+BE6+BF6</f>
        <v>1</v>
      </c>
      <c r="BC6" s="16">
        <v>0.25</v>
      </c>
      <c r="BD6" s="16">
        <v>0.25</v>
      </c>
      <c r="BE6" s="16">
        <v>0.25</v>
      </c>
      <c r="BF6" s="16">
        <v>0.25</v>
      </c>
      <c r="BG6" s="15">
        <f>170/170</f>
        <v>1</v>
      </c>
      <c r="BH6" s="57">
        <f>BI6+BJ6+BK6+BL6</f>
        <v>1</v>
      </c>
      <c r="BI6" s="16">
        <v>0.25</v>
      </c>
      <c r="BJ6" s="16">
        <v>0.25</v>
      </c>
      <c r="BK6" s="16">
        <v>0.25</v>
      </c>
      <c r="BL6" s="16">
        <v>0.25</v>
      </c>
      <c r="BM6" s="13">
        <f>32/39</f>
        <v>0.82051282051282048</v>
      </c>
      <c r="BN6" s="56">
        <f>BO6+BP6+BQ6+BR6</f>
        <v>0.5</v>
      </c>
      <c r="BO6" s="56">
        <v>0</v>
      </c>
      <c r="BP6" s="56">
        <v>0</v>
      </c>
      <c r="BQ6" s="56">
        <v>0.25</v>
      </c>
      <c r="BR6" s="56">
        <v>0.25</v>
      </c>
      <c r="BS6" s="14">
        <f>161/161</f>
        <v>1</v>
      </c>
      <c r="BT6" s="14">
        <f>BU6+BV6+BW6+BX6</f>
        <v>1</v>
      </c>
      <c r="BU6" s="14">
        <v>0.25</v>
      </c>
      <c r="BV6" s="14">
        <v>0.25</v>
      </c>
      <c r="BW6" s="14">
        <v>0.25</v>
      </c>
      <c r="BX6" s="14">
        <v>0.25</v>
      </c>
      <c r="BY6" s="14">
        <f>167/167</f>
        <v>1</v>
      </c>
      <c r="BZ6" s="14">
        <f t="shared" ref="BZ6:BZ11" si="0">CA6+CB6+CC6+CD6</f>
        <v>1</v>
      </c>
      <c r="CA6" s="56">
        <v>0.25</v>
      </c>
      <c r="CB6" s="56">
        <v>0.25</v>
      </c>
      <c r="CC6" s="56">
        <v>0.25</v>
      </c>
      <c r="CD6" s="56">
        <v>0.25</v>
      </c>
      <c r="CE6" s="14">
        <f>100/100</f>
        <v>1</v>
      </c>
      <c r="CF6" s="14">
        <f>CG6+CH6+CI6+CJ6</f>
        <v>1</v>
      </c>
      <c r="CG6" s="16">
        <v>0.25</v>
      </c>
      <c r="CH6" s="16">
        <v>0.25</v>
      </c>
      <c r="CI6" s="16">
        <v>0.25</v>
      </c>
      <c r="CJ6" s="16">
        <v>0.25</v>
      </c>
      <c r="CK6" s="59">
        <f>(BM6+BS6+BY6+CE6)/4</f>
        <v>0.95512820512820507</v>
      </c>
      <c r="CL6" s="59">
        <f>CK6</f>
        <v>0.95512820512820507</v>
      </c>
      <c r="CM6" s="17">
        <v>0.23878205128205127</v>
      </c>
    </row>
    <row r="7" spans="1:91" s="60" customFormat="1" ht="45" x14ac:dyDescent="0.25">
      <c r="A7" s="165"/>
      <c r="B7" s="160"/>
      <c r="C7" s="160"/>
      <c r="D7" s="209"/>
      <c r="E7" s="191"/>
      <c r="F7" s="194"/>
      <c r="G7" s="152"/>
      <c r="H7" s="153"/>
      <c r="I7" s="204"/>
      <c r="J7" s="206"/>
      <c r="K7" s="49" t="s">
        <v>72</v>
      </c>
      <c r="L7" s="50" t="s">
        <v>73</v>
      </c>
      <c r="M7" s="207"/>
      <c r="N7" s="51" t="s">
        <v>83</v>
      </c>
      <c r="O7" s="61">
        <v>0.25</v>
      </c>
      <c r="P7" s="62" t="s">
        <v>84</v>
      </c>
      <c r="Q7" s="50" t="s">
        <v>76</v>
      </c>
      <c r="R7" s="50" t="s">
        <v>76</v>
      </c>
      <c r="S7" s="62" t="s">
        <v>85</v>
      </c>
      <c r="T7" s="63" t="s">
        <v>86</v>
      </c>
      <c r="U7" s="62" t="s">
        <v>87</v>
      </c>
      <c r="V7" s="61" t="s">
        <v>30</v>
      </c>
      <c r="W7" s="50" t="s">
        <v>81</v>
      </c>
      <c r="X7" s="50" t="s">
        <v>76</v>
      </c>
      <c r="Y7" s="50" t="s">
        <v>76</v>
      </c>
      <c r="Z7" s="50" t="s">
        <v>76</v>
      </c>
      <c r="AA7" s="64" t="s">
        <v>88</v>
      </c>
      <c r="AB7" s="64"/>
      <c r="AC7" s="64"/>
      <c r="AD7" s="65"/>
      <c r="AE7" s="64"/>
      <c r="AF7" s="64"/>
      <c r="AG7" s="66">
        <v>1</v>
      </c>
      <c r="AH7" s="64"/>
      <c r="AI7" s="64"/>
      <c r="AJ7" s="66">
        <v>1</v>
      </c>
      <c r="AK7" s="64"/>
      <c r="AL7" s="64"/>
      <c r="AM7" s="66"/>
      <c r="AN7" s="66">
        <v>2</v>
      </c>
      <c r="AO7" s="18"/>
      <c r="AP7" s="14"/>
      <c r="AQ7" s="14"/>
      <c r="AR7" s="14"/>
      <c r="AS7" s="14"/>
      <c r="AT7" s="14"/>
      <c r="AU7" s="67">
        <v>1</v>
      </c>
      <c r="AV7" s="56">
        <v>1</v>
      </c>
      <c r="AW7" s="56">
        <v>0.25</v>
      </c>
      <c r="AX7" s="56">
        <v>0.25</v>
      </c>
      <c r="AY7" s="56">
        <v>0.25</v>
      </c>
      <c r="AZ7" s="56">
        <v>0.25</v>
      </c>
      <c r="BA7" s="67">
        <v>1</v>
      </c>
      <c r="BB7" s="56">
        <v>1</v>
      </c>
      <c r="BC7" s="14">
        <v>0.25</v>
      </c>
      <c r="BD7" s="14">
        <v>0.25</v>
      </c>
      <c r="BE7" s="14">
        <v>0.25</v>
      </c>
      <c r="BF7" s="14">
        <v>0.25</v>
      </c>
      <c r="BG7" s="67"/>
      <c r="BH7" s="56"/>
      <c r="BI7" s="80"/>
      <c r="BJ7" s="80"/>
      <c r="BK7" s="80"/>
      <c r="BL7" s="80"/>
      <c r="BM7" s="67"/>
      <c r="BN7" s="67"/>
      <c r="BO7" s="67"/>
      <c r="BP7" s="67"/>
      <c r="BQ7" s="67"/>
      <c r="BR7" s="67"/>
      <c r="BS7" s="67">
        <v>1</v>
      </c>
      <c r="BT7" s="67">
        <f>BU7+BV7+BW7+BX7</f>
        <v>1</v>
      </c>
      <c r="BU7" s="56">
        <v>0.25</v>
      </c>
      <c r="BV7" s="56">
        <v>0.25</v>
      </c>
      <c r="BW7" s="56">
        <v>0.25</v>
      </c>
      <c r="BX7" s="56">
        <v>0.25</v>
      </c>
      <c r="BY7" s="67">
        <v>1</v>
      </c>
      <c r="BZ7" s="56">
        <f t="shared" si="0"/>
        <v>0.75</v>
      </c>
      <c r="CA7" s="56">
        <v>0.25</v>
      </c>
      <c r="CB7" s="56">
        <v>0.25</v>
      </c>
      <c r="CC7" s="56">
        <v>0</v>
      </c>
      <c r="CD7" s="56">
        <v>0.25</v>
      </c>
      <c r="CE7" s="80"/>
      <c r="CF7" s="80"/>
      <c r="CG7" s="67"/>
      <c r="CH7" s="67"/>
      <c r="CI7" s="67"/>
      <c r="CJ7" s="67"/>
      <c r="CK7" s="14">
        <f>2/2</f>
        <v>1</v>
      </c>
      <c r="CL7" s="68">
        <f>CK7</f>
        <v>1</v>
      </c>
      <c r="CM7" s="19">
        <v>0.25</v>
      </c>
    </row>
    <row r="8" spans="1:91" s="60" customFormat="1" ht="60" x14ac:dyDescent="0.25">
      <c r="A8" s="165"/>
      <c r="B8" s="160"/>
      <c r="C8" s="160"/>
      <c r="D8" s="209"/>
      <c r="E8" s="191"/>
      <c r="F8" s="194"/>
      <c r="G8" s="152"/>
      <c r="H8" s="153"/>
      <c r="I8" s="204"/>
      <c r="J8" s="206"/>
      <c r="K8" s="49" t="s">
        <v>89</v>
      </c>
      <c r="L8" s="50" t="s">
        <v>73</v>
      </c>
      <c r="M8" s="207"/>
      <c r="N8" s="51" t="s">
        <v>90</v>
      </c>
      <c r="O8" s="61">
        <v>0.25</v>
      </c>
      <c r="P8" s="62" t="s">
        <v>91</v>
      </c>
      <c r="Q8" s="50" t="s">
        <v>76</v>
      </c>
      <c r="R8" s="50" t="s">
        <v>76</v>
      </c>
      <c r="S8" s="62" t="s">
        <v>92</v>
      </c>
      <c r="T8" s="63" t="s">
        <v>78</v>
      </c>
      <c r="U8" s="69" t="s">
        <v>93</v>
      </c>
      <c r="V8" s="61" t="s">
        <v>80</v>
      </c>
      <c r="W8" s="50" t="s">
        <v>94</v>
      </c>
      <c r="X8" s="50" t="s">
        <v>76</v>
      </c>
      <c r="Y8" s="50" t="s">
        <v>76</v>
      </c>
      <c r="Z8" s="50" t="s">
        <v>76</v>
      </c>
      <c r="AA8" s="64" t="s">
        <v>82</v>
      </c>
      <c r="AB8" s="64"/>
      <c r="AC8" s="64"/>
      <c r="AD8" s="65">
        <v>1</v>
      </c>
      <c r="AE8" s="64"/>
      <c r="AF8" s="64"/>
      <c r="AG8" s="65">
        <v>1</v>
      </c>
      <c r="AH8" s="64"/>
      <c r="AI8" s="64"/>
      <c r="AJ8" s="65">
        <v>1</v>
      </c>
      <c r="AK8" s="64"/>
      <c r="AL8" s="64"/>
      <c r="AM8" s="65">
        <v>1</v>
      </c>
      <c r="AN8" s="65">
        <v>1</v>
      </c>
      <c r="AO8" s="67"/>
      <c r="AP8" s="67"/>
      <c r="AQ8" s="67"/>
      <c r="AR8" s="67"/>
      <c r="AS8" s="67"/>
      <c r="AT8" s="67"/>
      <c r="AU8" s="67"/>
      <c r="AV8" s="67"/>
      <c r="AW8" s="67"/>
      <c r="AX8" s="67"/>
      <c r="AY8" s="67"/>
      <c r="AZ8" s="67"/>
      <c r="BA8" s="56">
        <v>1</v>
      </c>
      <c r="BB8" s="56">
        <v>1</v>
      </c>
      <c r="BC8" s="56">
        <v>0.25</v>
      </c>
      <c r="BD8" s="56">
        <v>0.25</v>
      </c>
      <c r="BE8" s="56">
        <v>0.25</v>
      </c>
      <c r="BF8" s="56">
        <v>0.25</v>
      </c>
      <c r="BG8" s="55">
        <v>1</v>
      </c>
      <c r="BH8" s="55">
        <v>1</v>
      </c>
      <c r="BI8" s="55">
        <v>0.25</v>
      </c>
      <c r="BJ8" s="55">
        <v>0.25</v>
      </c>
      <c r="BK8" s="55">
        <v>0.25</v>
      </c>
      <c r="BL8" s="55">
        <v>0.25</v>
      </c>
      <c r="BM8" s="67"/>
      <c r="BN8" s="67"/>
      <c r="BO8" s="67"/>
      <c r="BP8" s="67"/>
      <c r="BQ8" s="67"/>
      <c r="BR8" s="67"/>
      <c r="BS8" s="67"/>
      <c r="BT8" s="67"/>
      <c r="BU8" s="67"/>
      <c r="BV8" s="67"/>
      <c r="BW8" s="67"/>
      <c r="BX8" s="67"/>
      <c r="BY8" s="14">
        <f>10/10</f>
        <v>1</v>
      </c>
      <c r="BZ8" s="14">
        <f t="shared" si="0"/>
        <v>0.75</v>
      </c>
      <c r="CA8" s="56">
        <v>0</v>
      </c>
      <c r="CB8" s="56">
        <v>0.25</v>
      </c>
      <c r="CC8" s="56">
        <v>0.25</v>
      </c>
      <c r="CD8" s="56">
        <v>0.25</v>
      </c>
      <c r="CE8" s="56">
        <v>1</v>
      </c>
      <c r="CF8" s="20">
        <f>CG8+CH8+CI8+CJ8</f>
        <v>1</v>
      </c>
      <c r="CG8" s="55">
        <v>0.25</v>
      </c>
      <c r="CH8" s="55">
        <v>0.25</v>
      </c>
      <c r="CI8" s="55">
        <v>0.25</v>
      </c>
      <c r="CJ8" s="56">
        <v>0.25</v>
      </c>
      <c r="CK8" s="56">
        <f>(BY8+CE8)/2</f>
        <v>1</v>
      </c>
      <c r="CL8" s="21">
        <f>CK8</f>
        <v>1</v>
      </c>
      <c r="CM8" s="19">
        <v>0.25</v>
      </c>
    </row>
    <row r="9" spans="1:91" s="60" customFormat="1" ht="45" x14ac:dyDescent="0.25">
      <c r="A9" s="165"/>
      <c r="B9" s="161"/>
      <c r="C9" s="161"/>
      <c r="D9" s="210"/>
      <c r="E9" s="211"/>
      <c r="F9" s="195"/>
      <c r="G9" s="138"/>
      <c r="H9" s="140"/>
      <c r="I9" s="205"/>
      <c r="J9" s="206"/>
      <c r="K9" s="49" t="s">
        <v>72</v>
      </c>
      <c r="L9" s="50" t="s">
        <v>73</v>
      </c>
      <c r="M9" s="207"/>
      <c r="N9" s="51" t="s">
        <v>95</v>
      </c>
      <c r="O9" s="61">
        <v>0.25</v>
      </c>
      <c r="P9" s="62" t="s">
        <v>96</v>
      </c>
      <c r="Q9" s="50" t="s">
        <v>76</v>
      </c>
      <c r="R9" s="50" t="s">
        <v>76</v>
      </c>
      <c r="S9" s="62" t="s">
        <v>97</v>
      </c>
      <c r="T9" s="63" t="s">
        <v>86</v>
      </c>
      <c r="U9" s="69" t="s">
        <v>98</v>
      </c>
      <c r="V9" s="61" t="s">
        <v>30</v>
      </c>
      <c r="W9" s="50" t="s">
        <v>81</v>
      </c>
      <c r="X9" s="50" t="s">
        <v>76</v>
      </c>
      <c r="Y9" s="50" t="s">
        <v>76</v>
      </c>
      <c r="Z9" s="50" t="s">
        <v>76</v>
      </c>
      <c r="AA9" s="64" t="s">
        <v>88</v>
      </c>
      <c r="AB9" s="64"/>
      <c r="AC9" s="64"/>
      <c r="AD9" s="65"/>
      <c r="AE9" s="64"/>
      <c r="AF9" s="64"/>
      <c r="AG9" s="66">
        <v>1</v>
      </c>
      <c r="AH9" s="66"/>
      <c r="AI9" s="66"/>
      <c r="AJ9" s="66">
        <v>1</v>
      </c>
      <c r="AK9" s="66"/>
      <c r="AL9" s="66"/>
      <c r="AM9" s="66"/>
      <c r="AN9" s="66">
        <v>2</v>
      </c>
      <c r="AO9" s="18"/>
      <c r="AP9" s="14"/>
      <c r="AQ9" s="14"/>
      <c r="AR9" s="14"/>
      <c r="AS9" s="14"/>
      <c r="AT9" s="14"/>
      <c r="AU9" s="67">
        <v>1</v>
      </c>
      <c r="AV9" s="56">
        <v>1</v>
      </c>
      <c r="AW9" s="56">
        <v>0.25</v>
      </c>
      <c r="AX9" s="56">
        <v>0.25</v>
      </c>
      <c r="AY9" s="56">
        <v>0.25</v>
      </c>
      <c r="AZ9" s="56">
        <v>0.25</v>
      </c>
      <c r="BA9" s="18">
        <f>BC9+BD9+BE9+BF9</f>
        <v>1</v>
      </c>
      <c r="BB9" s="14">
        <v>1</v>
      </c>
      <c r="BC9" s="14">
        <v>0.25</v>
      </c>
      <c r="BD9" s="14">
        <v>0.25</v>
      </c>
      <c r="BE9" s="14">
        <v>0.25</v>
      </c>
      <c r="BF9" s="14">
        <v>0.25</v>
      </c>
      <c r="BG9" s="80"/>
      <c r="BH9" s="80"/>
      <c r="BI9" s="80"/>
      <c r="BJ9" s="80"/>
      <c r="BK9" s="80"/>
      <c r="BL9" s="80"/>
      <c r="BM9" s="67"/>
      <c r="BN9" s="67"/>
      <c r="BO9" s="67"/>
      <c r="BP9" s="67"/>
      <c r="BQ9" s="67"/>
      <c r="BR9" s="67"/>
      <c r="BS9" s="67">
        <v>1</v>
      </c>
      <c r="BT9" s="67">
        <f>BU9+BV9+BW9+BX9</f>
        <v>1</v>
      </c>
      <c r="BU9" s="56">
        <v>0.25</v>
      </c>
      <c r="BV9" s="56">
        <v>0.25</v>
      </c>
      <c r="BW9" s="56">
        <v>0.25</v>
      </c>
      <c r="BX9" s="56">
        <v>0.25</v>
      </c>
      <c r="BY9" s="67">
        <v>1</v>
      </c>
      <c r="BZ9" s="56">
        <f t="shared" si="0"/>
        <v>0.75</v>
      </c>
      <c r="CA9" s="56">
        <v>0.25</v>
      </c>
      <c r="CB9" s="56">
        <v>0.25</v>
      </c>
      <c r="CC9" s="56">
        <v>0</v>
      </c>
      <c r="CD9" s="56">
        <v>0.25</v>
      </c>
      <c r="CE9" s="80"/>
      <c r="CF9" s="80"/>
      <c r="CG9" s="67"/>
      <c r="CH9" s="67"/>
      <c r="CI9" s="67"/>
      <c r="CJ9" s="67"/>
      <c r="CK9" s="14">
        <f>2/2</f>
        <v>1</v>
      </c>
      <c r="CL9" s="68">
        <f>CK9</f>
        <v>1</v>
      </c>
      <c r="CM9" s="19">
        <v>0.25</v>
      </c>
    </row>
    <row r="10" spans="1:91" s="60" customFormat="1" ht="60" x14ac:dyDescent="0.25">
      <c r="A10" s="165"/>
      <c r="B10" s="159" t="s">
        <v>99</v>
      </c>
      <c r="C10" s="159" t="s">
        <v>100</v>
      </c>
      <c r="D10" s="208" t="s">
        <v>101</v>
      </c>
      <c r="E10" s="190" t="s">
        <v>102</v>
      </c>
      <c r="F10" s="193" t="s">
        <v>103</v>
      </c>
      <c r="G10" s="201">
        <v>0.14280000000000001</v>
      </c>
      <c r="H10" s="139" t="s">
        <v>104</v>
      </c>
      <c r="I10" s="155" t="s">
        <v>105</v>
      </c>
      <c r="J10" s="202" t="s">
        <v>71</v>
      </c>
      <c r="K10" s="70" t="s">
        <v>106</v>
      </c>
      <c r="L10" s="63" t="s">
        <v>73</v>
      </c>
      <c r="M10" s="137">
        <v>1</v>
      </c>
      <c r="N10" s="51" t="s">
        <v>107</v>
      </c>
      <c r="O10" s="71">
        <v>0.2</v>
      </c>
      <c r="P10" s="62" t="s">
        <v>108</v>
      </c>
      <c r="Q10" s="72" t="s">
        <v>76</v>
      </c>
      <c r="R10" s="72" t="s">
        <v>76</v>
      </c>
      <c r="S10" s="62" t="s">
        <v>109</v>
      </c>
      <c r="T10" s="63" t="s">
        <v>86</v>
      </c>
      <c r="U10" s="62" t="s">
        <v>109</v>
      </c>
      <c r="V10" s="63" t="s">
        <v>30</v>
      </c>
      <c r="W10" s="63" t="s">
        <v>110</v>
      </c>
      <c r="X10" s="50" t="s">
        <v>76</v>
      </c>
      <c r="Y10" s="50" t="s">
        <v>76</v>
      </c>
      <c r="Z10" s="50" t="s">
        <v>76</v>
      </c>
      <c r="AA10" s="64" t="s">
        <v>111</v>
      </c>
      <c r="AB10" s="64">
        <v>1</v>
      </c>
      <c r="AC10" s="64">
        <v>1</v>
      </c>
      <c r="AD10" s="64">
        <v>1</v>
      </c>
      <c r="AE10" s="64">
        <v>1</v>
      </c>
      <c r="AF10" s="64">
        <v>1</v>
      </c>
      <c r="AG10" s="64">
        <v>1</v>
      </c>
      <c r="AH10" s="64">
        <v>1</v>
      </c>
      <c r="AI10" s="64">
        <v>1</v>
      </c>
      <c r="AJ10" s="64">
        <v>1</v>
      </c>
      <c r="AK10" s="64">
        <v>1</v>
      </c>
      <c r="AL10" s="64">
        <v>1</v>
      </c>
      <c r="AM10" s="64">
        <v>1</v>
      </c>
      <c r="AN10" s="22">
        <v>12</v>
      </c>
      <c r="AO10" s="81">
        <f>1+1+1</f>
        <v>3</v>
      </c>
      <c r="AP10" s="56">
        <f>(AQ10+AR10+AS10+AT10)/3</f>
        <v>1</v>
      </c>
      <c r="AQ10" s="56">
        <f>25%+25%+25%</f>
        <v>0.75</v>
      </c>
      <c r="AR10" s="56">
        <f>25%+25%+25%</f>
        <v>0.75</v>
      </c>
      <c r="AS10" s="56">
        <f>25%+25%+25%</f>
        <v>0.75</v>
      </c>
      <c r="AT10" s="56">
        <f>25%+25%+25%</f>
        <v>0.75</v>
      </c>
      <c r="AU10" s="81">
        <f>1+1+1</f>
        <v>3</v>
      </c>
      <c r="AV10" s="56">
        <f>AW10+AX10+AY10+AZ10</f>
        <v>1</v>
      </c>
      <c r="AW10" s="56">
        <f>(25%+25%+25%)/3</f>
        <v>0.25</v>
      </c>
      <c r="AX10" s="56">
        <f t="shared" ref="AX10:AZ10" si="1">(25%+25%+25%)/3</f>
        <v>0.25</v>
      </c>
      <c r="AY10" s="56">
        <f t="shared" si="1"/>
        <v>0.25</v>
      </c>
      <c r="AZ10" s="56">
        <f t="shared" si="1"/>
        <v>0.25</v>
      </c>
      <c r="BA10" s="81">
        <f>1+1+1</f>
        <v>3</v>
      </c>
      <c r="BB10" s="56">
        <v>1</v>
      </c>
      <c r="BC10" s="14">
        <f>(25%+25%+25%)/3</f>
        <v>0.25</v>
      </c>
      <c r="BD10" s="14">
        <f t="shared" ref="BD10:BF10" si="2">(25%+25%+25%)/3</f>
        <v>0.25</v>
      </c>
      <c r="BE10" s="14">
        <f t="shared" si="2"/>
        <v>0.25</v>
      </c>
      <c r="BF10" s="14">
        <f t="shared" si="2"/>
        <v>0.25</v>
      </c>
      <c r="BG10" s="67">
        <f>(1+1+1)</f>
        <v>3</v>
      </c>
      <c r="BH10" s="56">
        <v>1</v>
      </c>
      <c r="BI10" s="56">
        <f>(25%+25%+25%)/3</f>
        <v>0.25</v>
      </c>
      <c r="BJ10" s="56">
        <f t="shared" ref="BJ10:BL10" si="3">(25%+25%+25%)/3</f>
        <v>0.25</v>
      </c>
      <c r="BK10" s="56">
        <f t="shared" si="3"/>
        <v>0.25</v>
      </c>
      <c r="BL10" s="56">
        <f t="shared" si="3"/>
        <v>0.25</v>
      </c>
      <c r="BM10" s="67">
        <f>1+1+1</f>
        <v>3</v>
      </c>
      <c r="BN10" s="56">
        <f>(BO10+BP10+BQ10+BR10)/3</f>
        <v>1</v>
      </c>
      <c r="BO10" s="56">
        <f>25%+25%+25%</f>
        <v>0.75</v>
      </c>
      <c r="BP10" s="56">
        <f>25%+25%+25%</f>
        <v>0.75</v>
      </c>
      <c r="BQ10" s="56">
        <f>25%+25%+25%</f>
        <v>0.75</v>
      </c>
      <c r="BR10" s="56">
        <f>25%+25%+25%</f>
        <v>0.75</v>
      </c>
      <c r="BS10" s="67">
        <f>1+1+1</f>
        <v>3</v>
      </c>
      <c r="BT10" s="56">
        <f>BU10+BV10+BW10+BX10</f>
        <v>1</v>
      </c>
      <c r="BU10" s="56">
        <f>(25%+25%+25%)/3</f>
        <v>0.25</v>
      </c>
      <c r="BV10" s="56">
        <f>(25%+25%+25%)/3</f>
        <v>0.25</v>
      </c>
      <c r="BW10" s="56">
        <f>(25%+25%+25%)/3</f>
        <v>0.25</v>
      </c>
      <c r="BX10" s="56">
        <f>(25%+25%+25%)/3</f>
        <v>0.25</v>
      </c>
      <c r="BY10" s="67">
        <f>1+1+1</f>
        <v>3</v>
      </c>
      <c r="BZ10" s="14">
        <f t="shared" si="0"/>
        <v>1</v>
      </c>
      <c r="CA10" s="56">
        <f>(25%+25%+25%)/3</f>
        <v>0.25</v>
      </c>
      <c r="CB10" s="56">
        <f>(25%+25%+25%)/3</f>
        <v>0.25</v>
      </c>
      <c r="CC10" s="56">
        <f>(25%+25%+25%)/3</f>
        <v>0.25</v>
      </c>
      <c r="CD10" s="56">
        <f>(25%+25%+25%)/3</f>
        <v>0.25</v>
      </c>
      <c r="CE10" s="67">
        <f>(1+1+1)</f>
        <v>3</v>
      </c>
      <c r="CF10" s="14">
        <f>CG10+CH10+CI10+CJ10</f>
        <v>1</v>
      </c>
      <c r="CG10" s="14">
        <f t="shared" ref="CG10" si="4">(25%+25%+25%)/3</f>
        <v>0.25</v>
      </c>
      <c r="CH10" s="56">
        <f>(25%+25%+25%)/3</f>
        <v>0.25</v>
      </c>
      <c r="CI10" s="56">
        <f>(25%+25%+25%)/3</f>
        <v>0.25</v>
      </c>
      <c r="CJ10" s="56">
        <f>(25%+25%+25%)/3</f>
        <v>0.25</v>
      </c>
      <c r="CK10" s="56">
        <f>12/12</f>
        <v>1</v>
      </c>
      <c r="CL10" s="56">
        <f>12/12</f>
        <v>1</v>
      </c>
      <c r="CM10" s="19">
        <v>0.2</v>
      </c>
    </row>
    <row r="11" spans="1:91" s="60" customFormat="1" ht="75" x14ac:dyDescent="0.25">
      <c r="A11" s="165"/>
      <c r="B11" s="160"/>
      <c r="C11" s="160"/>
      <c r="D11" s="209"/>
      <c r="E11" s="191"/>
      <c r="F11" s="194"/>
      <c r="G11" s="196"/>
      <c r="H11" s="153"/>
      <c r="I11" s="155"/>
      <c r="J11" s="202"/>
      <c r="K11" s="70" t="s">
        <v>106</v>
      </c>
      <c r="L11" s="50" t="s">
        <v>73</v>
      </c>
      <c r="M11" s="152"/>
      <c r="N11" s="51" t="s">
        <v>112</v>
      </c>
      <c r="O11" s="71">
        <v>0.2</v>
      </c>
      <c r="P11" s="51" t="s">
        <v>113</v>
      </c>
      <c r="Q11" s="50" t="s">
        <v>76</v>
      </c>
      <c r="R11" s="50" t="s">
        <v>76</v>
      </c>
      <c r="S11" s="51" t="s">
        <v>114</v>
      </c>
      <c r="T11" s="50" t="s">
        <v>78</v>
      </c>
      <c r="U11" s="51" t="s">
        <v>115</v>
      </c>
      <c r="V11" s="50" t="s">
        <v>80</v>
      </c>
      <c r="W11" s="63" t="s">
        <v>110</v>
      </c>
      <c r="X11" s="50" t="s">
        <v>76</v>
      </c>
      <c r="Y11" s="50" t="s">
        <v>76</v>
      </c>
      <c r="Z11" s="50" t="s">
        <v>76</v>
      </c>
      <c r="AA11" s="54" t="s">
        <v>82</v>
      </c>
      <c r="AB11" s="54"/>
      <c r="AC11" s="54"/>
      <c r="AD11" s="55">
        <v>1</v>
      </c>
      <c r="AE11" s="54"/>
      <c r="AF11" s="54"/>
      <c r="AG11" s="55">
        <v>1</v>
      </c>
      <c r="AH11" s="54"/>
      <c r="AI11" s="54"/>
      <c r="AJ11" s="55">
        <v>1</v>
      </c>
      <c r="AK11" s="54"/>
      <c r="AL11" s="54"/>
      <c r="AM11" s="55">
        <v>1</v>
      </c>
      <c r="AN11" s="55">
        <v>1</v>
      </c>
      <c r="AO11" s="81">
        <v>40</v>
      </c>
      <c r="AP11" s="56">
        <v>1</v>
      </c>
      <c r="AQ11" s="56">
        <v>0.25</v>
      </c>
      <c r="AR11" s="56">
        <v>0.25</v>
      </c>
      <c r="AS11" s="56">
        <v>0.25</v>
      </c>
      <c r="AT11" s="56">
        <v>0.25</v>
      </c>
      <c r="AU11" s="67">
        <v>40</v>
      </c>
      <c r="AV11" s="56">
        <v>1</v>
      </c>
      <c r="AW11" s="14">
        <v>0.25</v>
      </c>
      <c r="AX11" s="14">
        <v>0.25</v>
      </c>
      <c r="AY11" s="14">
        <v>0.25</v>
      </c>
      <c r="AZ11" s="14">
        <v>0.25</v>
      </c>
      <c r="BA11" s="14">
        <f>40/40</f>
        <v>1</v>
      </c>
      <c r="BB11" s="56">
        <v>1</v>
      </c>
      <c r="BC11" s="56">
        <v>0.25</v>
      </c>
      <c r="BD11" s="56">
        <v>0.25</v>
      </c>
      <c r="BE11" s="56">
        <v>0.25</v>
      </c>
      <c r="BF11" s="56">
        <v>0.25</v>
      </c>
      <c r="BG11" s="56">
        <v>1</v>
      </c>
      <c r="BH11" s="56">
        <f>BI11+BJ11+BK11+BL11</f>
        <v>1</v>
      </c>
      <c r="BI11" s="56">
        <v>0.25</v>
      </c>
      <c r="BJ11" s="56">
        <v>0.25</v>
      </c>
      <c r="BK11" s="56">
        <v>0.25</v>
      </c>
      <c r="BL11" s="56">
        <v>0.25</v>
      </c>
      <c r="BM11" s="67">
        <f>AO11</f>
        <v>40</v>
      </c>
      <c r="BN11" s="56">
        <f>BO11+BP11+BQ11+BR11</f>
        <v>1</v>
      </c>
      <c r="BO11" s="56">
        <v>0.25</v>
      </c>
      <c r="BP11" s="56">
        <v>0.25</v>
      </c>
      <c r="BQ11" s="56">
        <v>0.25</v>
      </c>
      <c r="BR11" s="56">
        <v>0.25</v>
      </c>
      <c r="BS11" s="67">
        <v>40</v>
      </c>
      <c r="BT11" s="56">
        <f>BU11+BV11+BW11+BX11</f>
        <v>1</v>
      </c>
      <c r="BU11" s="56">
        <v>0.25</v>
      </c>
      <c r="BV11" s="56">
        <v>0.25</v>
      </c>
      <c r="BW11" s="56">
        <v>0.25</v>
      </c>
      <c r="BX11" s="56">
        <v>0.25</v>
      </c>
      <c r="BY11" s="14">
        <f>40/40</f>
        <v>1</v>
      </c>
      <c r="BZ11" s="14">
        <f t="shared" si="0"/>
        <v>1</v>
      </c>
      <c r="CA11" s="56">
        <v>0.25</v>
      </c>
      <c r="CB11" s="56">
        <v>0.25</v>
      </c>
      <c r="CC11" s="56">
        <v>0.25</v>
      </c>
      <c r="CD11" s="56">
        <v>0.25</v>
      </c>
      <c r="CE11" s="14">
        <f>38/38</f>
        <v>1</v>
      </c>
      <c r="CF11" s="14">
        <f>CG11+CH11+CI11+CJ11</f>
        <v>1</v>
      </c>
      <c r="CG11" s="56">
        <v>0.25</v>
      </c>
      <c r="CH11" s="56">
        <v>0.25</v>
      </c>
      <c r="CI11" s="56">
        <v>0.25</v>
      </c>
      <c r="CJ11" s="56">
        <v>0.25</v>
      </c>
      <c r="CK11" s="56">
        <f>158/158</f>
        <v>1</v>
      </c>
      <c r="CL11" s="56">
        <f>158/158</f>
        <v>1</v>
      </c>
      <c r="CM11" s="19">
        <v>0.2</v>
      </c>
    </row>
    <row r="12" spans="1:91" s="60" customFormat="1" ht="60" x14ac:dyDescent="0.25">
      <c r="A12" s="165"/>
      <c r="B12" s="160"/>
      <c r="C12" s="160"/>
      <c r="D12" s="209"/>
      <c r="E12" s="191"/>
      <c r="F12" s="194"/>
      <c r="G12" s="196"/>
      <c r="H12" s="153"/>
      <c r="I12" s="155"/>
      <c r="J12" s="202"/>
      <c r="K12" s="70" t="s">
        <v>116</v>
      </c>
      <c r="L12" s="50" t="s">
        <v>117</v>
      </c>
      <c r="M12" s="152"/>
      <c r="N12" s="51" t="s">
        <v>118</v>
      </c>
      <c r="O12" s="71">
        <v>0.2</v>
      </c>
      <c r="P12" s="51" t="s">
        <v>119</v>
      </c>
      <c r="Q12" s="50" t="s">
        <v>76</v>
      </c>
      <c r="R12" s="50" t="s">
        <v>76</v>
      </c>
      <c r="S12" s="51" t="s">
        <v>120</v>
      </c>
      <c r="T12" s="50" t="s">
        <v>86</v>
      </c>
      <c r="U12" s="51" t="s">
        <v>121</v>
      </c>
      <c r="V12" s="50" t="s">
        <v>30</v>
      </c>
      <c r="W12" s="63" t="s">
        <v>122</v>
      </c>
      <c r="X12" s="50" t="s">
        <v>76</v>
      </c>
      <c r="Y12" s="50" t="s">
        <v>76</v>
      </c>
      <c r="Z12" s="50" t="s">
        <v>76</v>
      </c>
      <c r="AA12" s="54" t="s">
        <v>88</v>
      </c>
      <c r="AB12" s="54"/>
      <c r="AC12" s="54"/>
      <c r="AD12" s="55"/>
      <c r="AE12" s="54"/>
      <c r="AF12" s="54"/>
      <c r="AG12" s="64">
        <v>1</v>
      </c>
      <c r="AH12" s="54"/>
      <c r="AI12" s="54"/>
      <c r="AJ12" s="55"/>
      <c r="AK12" s="54"/>
      <c r="AL12" s="54"/>
      <c r="AM12" s="64">
        <v>1</v>
      </c>
      <c r="AN12" s="64">
        <v>2</v>
      </c>
      <c r="AO12" s="67"/>
      <c r="AP12" s="67"/>
      <c r="AQ12" s="67"/>
      <c r="AR12" s="67"/>
      <c r="AS12" s="67"/>
      <c r="AT12" s="67"/>
      <c r="AU12" s="14">
        <f>1/1</f>
        <v>1</v>
      </c>
      <c r="AV12" s="56">
        <v>1</v>
      </c>
      <c r="AW12" s="56">
        <v>0.25</v>
      </c>
      <c r="AX12" s="56">
        <v>0.25</v>
      </c>
      <c r="AY12" s="56">
        <v>0.25</v>
      </c>
      <c r="AZ12" s="56">
        <v>0.25</v>
      </c>
      <c r="BA12" s="67"/>
      <c r="BB12" s="67"/>
      <c r="BC12" s="67"/>
      <c r="BD12" s="67"/>
      <c r="BE12" s="67"/>
      <c r="BF12" s="67"/>
      <c r="BG12" s="67">
        <v>1</v>
      </c>
      <c r="BH12" s="56">
        <v>1</v>
      </c>
      <c r="BI12" s="56">
        <v>0.25</v>
      </c>
      <c r="BJ12" s="56">
        <v>0.25</v>
      </c>
      <c r="BK12" s="56">
        <v>0.25</v>
      </c>
      <c r="BL12" s="56">
        <v>0.25</v>
      </c>
      <c r="BM12" s="67"/>
      <c r="BN12" s="67"/>
      <c r="BO12" s="67"/>
      <c r="BP12" s="67"/>
      <c r="BQ12" s="67"/>
      <c r="BR12" s="67"/>
      <c r="BS12" s="14">
        <f>1/1</f>
        <v>1</v>
      </c>
      <c r="BT12" s="14">
        <f>BU12+BV12+BW12+BX12</f>
        <v>1</v>
      </c>
      <c r="BU12" s="56">
        <v>0.25</v>
      </c>
      <c r="BV12" s="56">
        <v>0.25</v>
      </c>
      <c r="BW12" s="56">
        <v>0.25</v>
      </c>
      <c r="BX12" s="56">
        <v>0.25</v>
      </c>
      <c r="BY12" s="67"/>
      <c r="BZ12" s="67"/>
      <c r="CA12" s="67"/>
      <c r="CB12" s="67"/>
      <c r="CC12" s="67"/>
      <c r="CD12" s="67"/>
      <c r="CE12" s="67">
        <v>1</v>
      </c>
      <c r="CF12" s="14">
        <f>CG12+CH12+CI12+CJ12</f>
        <v>1</v>
      </c>
      <c r="CG12" s="56">
        <v>0.25</v>
      </c>
      <c r="CH12" s="56">
        <v>0.25</v>
      </c>
      <c r="CI12" s="56">
        <v>0.25</v>
      </c>
      <c r="CJ12" s="56">
        <v>0.25</v>
      </c>
      <c r="CK12" s="56">
        <f>2/2</f>
        <v>1</v>
      </c>
      <c r="CL12" s="56">
        <f>CK12</f>
        <v>1</v>
      </c>
      <c r="CM12" s="19">
        <v>0.2</v>
      </c>
    </row>
    <row r="13" spans="1:91" s="60" customFormat="1" ht="90" x14ac:dyDescent="0.25">
      <c r="A13" s="165"/>
      <c r="B13" s="160"/>
      <c r="C13" s="160"/>
      <c r="D13" s="209"/>
      <c r="E13" s="191"/>
      <c r="F13" s="194"/>
      <c r="G13" s="196"/>
      <c r="H13" s="153"/>
      <c r="I13" s="155"/>
      <c r="J13" s="202"/>
      <c r="K13" s="70" t="s">
        <v>106</v>
      </c>
      <c r="L13" s="50" t="s">
        <v>117</v>
      </c>
      <c r="M13" s="152"/>
      <c r="N13" s="51" t="s">
        <v>123</v>
      </c>
      <c r="O13" s="71">
        <v>0.2</v>
      </c>
      <c r="P13" s="51" t="s">
        <v>124</v>
      </c>
      <c r="Q13" s="50" t="s">
        <v>76</v>
      </c>
      <c r="R13" s="50" t="s">
        <v>76</v>
      </c>
      <c r="S13" s="51" t="s">
        <v>125</v>
      </c>
      <c r="T13" s="50" t="s">
        <v>78</v>
      </c>
      <c r="U13" s="51" t="s">
        <v>126</v>
      </c>
      <c r="V13" s="50" t="s">
        <v>80</v>
      </c>
      <c r="W13" s="63" t="s">
        <v>110</v>
      </c>
      <c r="X13" s="50" t="s">
        <v>76</v>
      </c>
      <c r="Y13" s="50" t="s">
        <v>76</v>
      </c>
      <c r="Z13" s="50" t="s">
        <v>76</v>
      </c>
      <c r="AA13" s="54" t="s">
        <v>82</v>
      </c>
      <c r="AB13" s="73"/>
      <c r="AC13" s="54"/>
      <c r="AD13" s="55">
        <v>1</v>
      </c>
      <c r="AE13" s="54"/>
      <c r="AF13" s="54"/>
      <c r="AG13" s="55">
        <v>1</v>
      </c>
      <c r="AH13" s="54"/>
      <c r="AI13" s="54"/>
      <c r="AJ13" s="55">
        <v>1</v>
      </c>
      <c r="AK13" s="54"/>
      <c r="AL13" s="54"/>
      <c r="AM13" s="55">
        <v>1</v>
      </c>
      <c r="AN13" s="55">
        <v>1</v>
      </c>
      <c r="AO13" s="74"/>
      <c r="AP13" s="74"/>
      <c r="AQ13" s="74"/>
      <c r="AR13" s="74"/>
      <c r="AS13" s="74"/>
      <c r="AT13" s="74"/>
      <c r="AU13" s="74"/>
      <c r="AV13" s="74"/>
      <c r="AW13" s="74"/>
      <c r="AX13" s="74"/>
      <c r="AY13" s="74"/>
      <c r="AZ13" s="74"/>
      <c r="BA13" s="13">
        <f>65/121</f>
        <v>0.53719008264462809</v>
      </c>
      <c r="BB13" s="56">
        <v>1</v>
      </c>
      <c r="BC13" s="56">
        <v>0.25</v>
      </c>
      <c r="BD13" s="56">
        <v>0.25</v>
      </c>
      <c r="BE13" s="56">
        <v>0.25</v>
      </c>
      <c r="BF13" s="56">
        <v>0.25</v>
      </c>
      <c r="BG13" s="23">
        <f>46/79</f>
        <v>0.58227848101265822</v>
      </c>
      <c r="BH13" s="56">
        <f>BI13+BJ13+BK13+BL13</f>
        <v>1</v>
      </c>
      <c r="BI13" s="56">
        <v>0.25</v>
      </c>
      <c r="BJ13" s="56">
        <v>0.25</v>
      </c>
      <c r="BK13" s="56">
        <v>0.25</v>
      </c>
      <c r="BL13" s="56">
        <v>0.25</v>
      </c>
      <c r="BM13" s="74"/>
      <c r="BN13" s="74"/>
      <c r="BO13" s="74"/>
      <c r="BP13" s="74"/>
      <c r="BQ13" s="74"/>
      <c r="BR13" s="74"/>
      <c r="BS13" s="74"/>
      <c r="BT13" s="74"/>
      <c r="BU13" s="74"/>
      <c r="BV13" s="74"/>
      <c r="BW13" s="74"/>
      <c r="BX13" s="74"/>
      <c r="BY13" s="13">
        <f>65/121</f>
        <v>0.53719008264462809</v>
      </c>
      <c r="BZ13" s="14">
        <f>CA13+CB13+CC13+CD13</f>
        <v>1</v>
      </c>
      <c r="CA13" s="56">
        <v>0.25</v>
      </c>
      <c r="CB13" s="56">
        <v>0.25</v>
      </c>
      <c r="CC13" s="56">
        <v>0.25</v>
      </c>
      <c r="CD13" s="56">
        <v>0.25</v>
      </c>
      <c r="CE13" s="23">
        <f>46/79</f>
        <v>0.58227848101265822</v>
      </c>
      <c r="CF13" s="20">
        <f>CG13+CH13+CI13+CJ13</f>
        <v>1</v>
      </c>
      <c r="CG13" s="56">
        <v>0.25</v>
      </c>
      <c r="CH13" s="56">
        <v>0.25</v>
      </c>
      <c r="CI13" s="56">
        <v>0.25</v>
      </c>
      <c r="CJ13" s="56">
        <v>0.25</v>
      </c>
      <c r="CK13" s="75">
        <f>(BY13+CE13)/2</f>
        <v>0.55973428182864315</v>
      </c>
      <c r="CL13" s="76">
        <f>CK13</f>
        <v>0.55973428182864315</v>
      </c>
      <c r="CM13" s="24">
        <v>0.11194685636572864</v>
      </c>
    </row>
    <row r="14" spans="1:91" s="60" customFormat="1" ht="75" x14ac:dyDescent="0.25">
      <c r="A14" s="165"/>
      <c r="B14" s="160"/>
      <c r="C14" s="160"/>
      <c r="D14" s="209"/>
      <c r="E14" s="191"/>
      <c r="F14" s="194"/>
      <c r="G14" s="197"/>
      <c r="H14" s="153"/>
      <c r="I14" s="155"/>
      <c r="J14" s="202"/>
      <c r="K14" s="70" t="s">
        <v>116</v>
      </c>
      <c r="L14" s="50" t="s">
        <v>117</v>
      </c>
      <c r="M14" s="138"/>
      <c r="N14" s="51" t="s">
        <v>127</v>
      </c>
      <c r="O14" s="71">
        <v>0.2</v>
      </c>
      <c r="P14" s="51" t="s">
        <v>128</v>
      </c>
      <c r="Q14" s="50" t="s">
        <v>76</v>
      </c>
      <c r="R14" s="50" t="s">
        <v>76</v>
      </c>
      <c r="S14" s="77" t="s">
        <v>129</v>
      </c>
      <c r="T14" s="50" t="s">
        <v>78</v>
      </c>
      <c r="U14" s="51" t="s">
        <v>130</v>
      </c>
      <c r="V14" s="50" t="s">
        <v>80</v>
      </c>
      <c r="W14" s="63" t="s">
        <v>122</v>
      </c>
      <c r="X14" s="50" t="s">
        <v>76</v>
      </c>
      <c r="Y14" s="50" t="s">
        <v>76</v>
      </c>
      <c r="Z14" s="50" t="s">
        <v>76</v>
      </c>
      <c r="AA14" s="54" t="s">
        <v>82</v>
      </c>
      <c r="AB14" s="54"/>
      <c r="AC14" s="54"/>
      <c r="AD14" s="55">
        <v>1</v>
      </c>
      <c r="AE14" s="54"/>
      <c r="AF14" s="54"/>
      <c r="AG14" s="55">
        <v>1</v>
      </c>
      <c r="AH14" s="54"/>
      <c r="AI14" s="54"/>
      <c r="AJ14" s="55">
        <v>1</v>
      </c>
      <c r="AK14" s="54"/>
      <c r="AL14" s="54"/>
      <c r="AM14" s="55">
        <v>1</v>
      </c>
      <c r="AN14" s="55">
        <v>1</v>
      </c>
      <c r="AO14" s="54"/>
      <c r="AP14" s="54"/>
      <c r="AQ14" s="54"/>
      <c r="AR14" s="54"/>
      <c r="AS14" s="54"/>
      <c r="AT14" s="54"/>
      <c r="AU14" s="54"/>
      <c r="AV14" s="54"/>
      <c r="AW14" s="54"/>
      <c r="AX14" s="54"/>
      <c r="AY14" s="54"/>
      <c r="AZ14" s="54"/>
      <c r="BA14" s="56">
        <v>1</v>
      </c>
      <c r="BB14" s="56">
        <v>1</v>
      </c>
      <c r="BC14" s="56">
        <v>0.25</v>
      </c>
      <c r="BD14" s="56">
        <v>0.25</v>
      </c>
      <c r="BE14" s="56">
        <v>0.25</v>
      </c>
      <c r="BF14" s="56">
        <v>0.25</v>
      </c>
      <c r="BG14" s="55">
        <v>0</v>
      </c>
      <c r="BH14" s="55">
        <v>0</v>
      </c>
      <c r="BI14" s="55">
        <v>0</v>
      </c>
      <c r="BJ14" s="55">
        <v>0</v>
      </c>
      <c r="BK14" s="55">
        <v>0</v>
      </c>
      <c r="BL14" s="55">
        <v>0</v>
      </c>
      <c r="BM14" s="54"/>
      <c r="BN14" s="54"/>
      <c r="BO14" s="54"/>
      <c r="BP14" s="54"/>
      <c r="BQ14" s="54"/>
      <c r="BR14" s="54"/>
      <c r="BS14" s="54"/>
      <c r="BT14" s="54"/>
      <c r="BU14" s="54"/>
      <c r="BV14" s="54"/>
      <c r="BW14" s="54"/>
      <c r="BX14" s="54"/>
      <c r="BY14" s="20">
        <f>2/2</f>
        <v>1</v>
      </c>
      <c r="BZ14" s="20">
        <f>CA14+CB14+CC14+CD14</f>
        <v>0.75</v>
      </c>
      <c r="CA14" s="56">
        <v>0</v>
      </c>
      <c r="CB14" s="56">
        <v>0.25</v>
      </c>
      <c r="CC14" s="56">
        <v>0.25</v>
      </c>
      <c r="CD14" s="56">
        <v>0.25</v>
      </c>
      <c r="CE14" s="55">
        <v>0</v>
      </c>
      <c r="CF14" s="14">
        <f>CG14+CH14+CI14+CJ14</f>
        <v>0</v>
      </c>
      <c r="CG14" s="14">
        <v>0</v>
      </c>
      <c r="CH14" s="14">
        <v>0</v>
      </c>
      <c r="CI14" s="14">
        <v>0</v>
      </c>
      <c r="CJ14" s="14">
        <v>0</v>
      </c>
      <c r="CK14" s="55">
        <f>(BY14+CE14)/2</f>
        <v>0.5</v>
      </c>
      <c r="CL14" s="25">
        <f>CK14</f>
        <v>0.5</v>
      </c>
      <c r="CM14" s="109">
        <v>0.1</v>
      </c>
    </row>
    <row r="15" spans="1:91" s="60" customFormat="1" ht="45" x14ac:dyDescent="0.25">
      <c r="A15" s="165"/>
      <c r="B15" s="160"/>
      <c r="C15" s="160"/>
      <c r="D15" s="209"/>
      <c r="E15" s="191"/>
      <c r="F15" s="194"/>
      <c r="G15" s="201">
        <v>0.14280000000000001</v>
      </c>
      <c r="H15" s="153"/>
      <c r="I15" s="139" t="s">
        <v>131</v>
      </c>
      <c r="J15" s="162" t="s">
        <v>71</v>
      </c>
      <c r="K15" s="70" t="s">
        <v>132</v>
      </c>
      <c r="L15" s="50" t="s">
        <v>117</v>
      </c>
      <c r="M15" s="137">
        <v>1</v>
      </c>
      <c r="N15" s="51" t="s">
        <v>133</v>
      </c>
      <c r="O15" s="71">
        <v>0.2</v>
      </c>
      <c r="P15" s="51" t="s">
        <v>134</v>
      </c>
      <c r="Q15" s="50" t="s">
        <v>76</v>
      </c>
      <c r="R15" s="50" t="s">
        <v>76</v>
      </c>
      <c r="S15" s="51" t="s">
        <v>135</v>
      </c>
      <c r="T15" s="50" t="s">
        <v>86</v>
      </c>
      <c r="U15" s="51" t="s">
        <v>135</v>
      </c>
      <c r="V15" s="50" t="s">
        <v>30</v>
      </c>
      <c r="W15" s="63" t="s">
        <v>136</v>
      </c>
      <c r="X15" s="78" t="s">
        <v>76</v>
      </c>
      <c r="Y15" s="50" t="s">
        <v>76</v>
      </c>
      <c r="Z15" s="50" t="s">
        <v>76</v>
      </c>
      <c r="AA15" s="54" t="s">
        <v>137</v>
      </c>
      <c r="AB15" s="54"/>
      <c r="AC15" s="54"/>
      <c r="AD15" s="79">
        <v>1</v>
      </c>
      <c r="AE15" s="54"/>
      <c r="AF15" s="54"/>
      <c r="AG15" s="64"/>
      <c r="AH15" s="54"/>
      <c r="AI15" s="54"/>
      <c r="AJ15" s="55"/>
      <c r="AK15" s="54"/>
      <c r="AL15" s="54"/>
      <c r="AM15" s="64"/>
      <c r="AN15" s="79">
        <v>1</v>
      </c>
      <c r="AO15" s="67">
        <v>1</v>
      </c>
      <c r="AP15" s="14">
        <v>0.75</v>
      </c>
      <c r="AQ15" s="67">
        <v>25</v>
      </c>
      <c r="AR15" s="67">
        <v>25</v>
      </c>
      <c r="AS15" s="67">
        <v>0</v>
      </c>
      <c r="AT15" s="67">
        <v>25</v>
      </c>
      <c r="AU15" s="67"/>
      <c r="AV15" s="67"/>
      <c r="AW15" s="67"/>
      <c r="AX15" s="67"/>
      <c r="AY15" s="67"/>
      <c r="AZ15" s="67"/>
      <c r="BA15" s="67"/>
      <c r="BB15" s="56"/>
      <c r="BC15" s="67"/>
      <c r="BD15" s="67"/>
      <c r="BE15" s="67"/>
      <c r="BF15" s="67"/>
      <c r="BG15" s="80"/>
      <c r="BH15" s="80"/>
      <c r="BI15" s="80"/>
      <c r="BJ15" s="80"/>
      <c r="BK15" s="80"/>
      <c r="BL15" s="80"/>
      <c r="BM15" s="14">
        <f>1/1</f>
        <v>1</v>
      </c>
      <c r="BN15" s="56">
        <f>BO15+BP15+BQ15+BR15</f>
        <v>1</v>
      </c>
      <c r="BO15" s="56">
        <v>0.25</v>
      </c>
      <c r="BP15" s="56">
        <v>0.25</v>
      </c>
      <c r="BQ15" s="56">
        <v>0.25</v>
      </c>
      <c r="BR15" s="56">
        <v>0.25</v>
      </c>
      <c r="BS15" s="67"/>
      <c r="BT15" s="67"/>
      <c r="BU15" s="67"/>
      <c r="BV15" s="67"/>
      <c r="BW15" s="67"/>
      <c r="BX15" s="67"/>
      <c r="BY15" s="67"/>
      <c r="BZ15" s="67"/>
      <c r="CA15" s="67"/>
      <c r="CB15" s="67"/>
      <c r="CC15" s="67"/>
      <c r="CD15" s="67"/>
      <c r="CE15" s="80"/>
      <c r="CF15" s="80"/>
      <c r="CG15" s="67"/>
      <c r="CH15" s="67"/>
      <c r="CI15" s="67"/>
      <c r="CJ15" s="67"/>
      <c r="CK15" s="56">
        <f>1/1</f>
        <v>1</v>
      </c>
      <c r="CL15" s="56">
        <f t="shared" ref="CL15" si="5">CK15</f>
        <v>1</v>
      </c>
      <c r="CM15" s="19">
        <v>0.2</v>
      </c>
    </row>
    <row r="16" spans="1:91" s="60" customFormat="1" ht="45" x14ac:dyDescent="0.25">
      <c r="A16" s="165"/>
      <c r="B16" s="160"/>
      <c r="C16" s="160"/>
      <c r="D16" s="209"/>
      <c r="E16" s="191"/>
      <c r="F16" s="194"/>
      <c r="G16" s="196"/>
      <c r="H16" s="153"/>
      <c r="I16" s="153"/>
      <c r="J16" s="163"/>
      <c r="K16" s="70" t="s">
        <v>138</v>
      </c>
      <c r="L16" s="81" t="s">
        <v>117</v>
      </c>
      <c r="M16" s="152"/>
      <c r="N16" s="51" t="s">
        <v>139</v>
      </c>
      <c r="O16" s="71">
        <v>0.2</v>
      </c>
      <c r="P16" s="51" t="s">
        <v>140</v>
      </c>
      <c r="Q16" s="50" t="s">
        <v>76</v>
      </c>
      <c r="R16" s="50" t="s">
        <v>76</v>
      </c>
      <c r="S16" s="51" t="s">
        <v>141</v>
      </c>
      <c r="T16" s="50" t="s">
        <v>78</v>
      </c>
      <c r="U16" s="51" t="s">
        <v>142</v>
      </c>
      <c r="V16" s="50" t="s">
        <v>80</v>
      </c>
      <c r="W16" s="50" t="s">
        <v>94</v>
      </c>
      <c r="X16" s="78" t="s">
        <v>76</v>
      </c>
      <c r="Y16" s="50" t="s">
        <v>76</v>
      </c>
      <c r="Z16" s="50" t="s">
        <v>76</v>
      </c>
      <c r="AA16" s="54" t="s">
        <v>82</v>
      </c>
      <c r="AB16" s="54"/>
      <c r="AC16" s="54"/>
      <c r="AD16" s="55">
        <v>1</v>
      </c>
      <c r="AE16" s="54"/>
      <c r="AF16" s="54"/>
      <c r="AG16" s="55">
        <v>1</v>
      </c>
      <c r="AH16" s="54"/>
      <c r="AI16" s="54"/>
      <c r="AJ16" s="55">
        <v>1</v>
      </c>
      <c r="AK16" s="54"/>
      <c r="AL16" s="54"/>
      <c r="AM16" s="55">
        <v>1</v>
      </c>
      <c r="AN16" s="55">
        <v>1</v>
      </c>
      <c r="AO16" s="67"/>
      <c r="AP16" s="67"/>
      <c r="AQ16" s="67"/>
      <c r="AR16" s="67"/>
      <c r="AS16" s="67"/>
      <c r="AT16" s="67"/>
      <c r="AU16" s="67"/>
      <c r="AV16" s="67"/>
      <c r="AW16" s="67"/>
      <c r="AX16" s="67"/>
      <c r="AY16" s="67"/>
      <c r="AZ16" s="67"/>
      <c r="BA16" s="56">
        <v>1</v>
      </c>
      <c r="BB16" s="56">
        <v>1</v>
      </c>
      <c r="BC16" s="56">
        <v>0.25</v>
      </c>
      <c r="BD16" s="56">
        <v>0.25</v>
      </c>
      <c r="BE16" s="56">
        <v>0.25</v>
      </c>
      <c r="BF16" s="56">
        <v>0.25</v>
      </c>
      <c r="BG16" s="55">
        <v>1</v>
      </c>
      <c r="BH16" s="55">
        <v>1</v>
      </c>
      <c r="BI16" s="55">
        <v>0.25</v>
      </c>
      <c r="BJ16" s="55">
        <v>0.25</v>
      </c>
      <c r="BK16" s="55">
        <v>0.25</v>
      </c>
      <c r="BL16" s="55">
        <v>0.25</v>
      </c>
      <c r="BM16" s="67"/>
      <c r="BN16" s="67"/>
      <c r="BO16" s="67"/>
      <c r="BP16" s="67"/>
      <c r="BQ16" s="67"/>
      <c r="BR16" s="67"/>
      <c r="BS16" s="67"/>
      <c r="BT16" s="67"/>
      <c r="BU16" s="67"/>
      <c r="BV16" s="67"/>
      <c r="BW16" s="67"/>
      <c r="BX16" s="67"/>
      <c r="BY16" s="14">
        <f>246/246</f>
        <v>1</v>
      </c>
      <c r="BZ16" s="14">
        <f>CA16+CB16+CC16+CD16</f>
        <v>0.75</v>
      </c>
      <c r="CA16" s="56">
        <v>0</v>
      </c>
      <c r="CB16" s="56">
        <v>0.25</v>
      </c>
      <c r="CC16" s="56">
        <v>0.25</v>
      </c>
      <c r="CD16" s="56">
        <v>0.25</v>
      </c>
      <c r="CE16" s="14">
        <f>180/180</f>
        <v>1</v>
      </c>
      <c r="CF16" s="20">
        <f>CG16+CH16+CI16+CJ16</f>
        <v>1</v>
      </c>
      <c r="CG16" s="55">
        <v>0.25</v>
      </c>
      <c r="CH16" s="55">
        <v>0.25</v>
      </c>
      <c r="CI16" s="55">
        <v>0.25</v>
      </c>
      <c r="CJ16" s="55">
        <v>0.25</v>
      </c>
      <c r="CK16" s="56">
        <f>(BY16+CE16)/2</f>
        <v>1</v>
      </c>
      <c r="CL16" s="21">
        <f>CK16</f>
        <v>1</v>
      </c>
      <c r="CM16" s="19">
        <v>0.2</v>
      </c>
    </row>
    <row r="17" spans="1:91" s="60" customFormat="1" ht="45" x14ac:dyDescent="0.25">
      <c r="A17" s="165"/>
      <c r="B17" s="160"/>
      <c r="C17" s="160"/>
      <c r="D17" s="209"/>
      <c r="E17" s="191"/>
      <c r="F17" s="194"/>
      <c r="G17" s="196"/>
      <c r="H17" s="153"/>
      <c r="I17" s="153"/>
      <c r="J17" s="163"/>
      <c r="K17" s="70" t="s">
        <v>138</v>
      </c>
      <c r="L17" s="50" t="s">
        <v>73</v>
      </c>
      <c r="M17" s="152"/>
      <c r="N17" s="51" t="s">
        <v>143</v>
      </c>
      <c r="O17" s="71">
        <v>0.2</v>
      </c>
      <c r="P17" s="51" t="s">
        <v>144</v>
      </c>
      <c r="Q17" s="50" t="s">
        <v>76</v>
      </c>
      <c r="R17" s="50" t="s">
        <v>76</v>
      </c>
      <c r="S17" s="51" t="s">
        <v>145</v>
      </c>
      <c r="T17" s="50" t="s">
        <v>78</v>
      </c>
      <c r="U17" s="51" t="s">
        <v>146</v>
      </c>
      <c r="V17" s="50" t="s">
        <v>80</v>
      </c>
      <c r="W17" s="50" t="s">
        <v>94</v>
      </c>
      <c r="X17" s="50" t="s">
        <v>76</v>
      </c>
      <c r="Y17" s="50" t="s">
        <v>76</v>
      </c>
      <c r="Z17" s="50" t="s">
        <v>76</v>
      </c>
      <c r="AA17" s="54" t="s">
        <v>82</v>
      </c>
      <c r="AB17" s="54"/>
      <c r="AC17" s="54"/>
      <c r="AD17" s="55">
        <v>1</v>
      </c>
      <c r="AE17" s="54"/>
      <c r="AF17" s="54"/>
      <c r="AG17" s="55">
        <v>1</v>
      </c>
      <c r="AH17" s="54"/>
      <c r="AI17" s="54"/>
      <c r="AJ17" s="55">
        <v>1</v>
      </c>
      <c r="AK17" s="54"/>
      <c r="AL17" s="54"/>
      <c r="AM17" s="55">
        <v>1</v>
      </c>
      <c r="AN17" s="55">
        <v>1</v>
      </c>
      <c r="AO17" s="67"/>
      <c r="AP17" s="67"/>
      <c r="AQ17" s="67"/>
      <c r="AR17" s="67"/>
      <c r="AS17" s="67"/>
      <c r="AT17" s="67"/>
      <c r="AU17" s="67"/>
      <c r="AV17" s="67"/>
      <c r="AW17" s="67"/>
      <c r="AX17" s="67"/>
      <c r="AY17" s="67"/>
      <c r="AZ17" s="67"/>
      <c r="BA17" s="56">
        <v>1</v>
      </c>
      <c r="BB17" s="56">
        <v>1</v>
      </c>
      <c r="BC17" s="56">
        <v>0.25</v>
      </c>
      <c r="BD17" s="56">
        <v>0.25</v>
      </c>
      <c r="BE17" s="56">
        <v>0.25</v>
      </c>
      <c r="BF17" s="56">
        <v>0.25</v>
      </c>
      <c r="BG17" s="55">
        <v>1</v>
      </c>
      <c r="BH17" s="55">
        <v>1</v>
      </c>
      <c r="BI17" s="55">
        <v>0.25</v>
      </c>
      <c r="BJ17" s="55">
        <v>0.25</v>
      </c>
      <c r="BK17" s="55">
        <v>0.25</v>
      </c>
      <c r="BL17" s="55">
        <v>0.25</v>
      </c>
      <c r="BM17" s="67"/>
      <c r="BN17" s="67"/>
      <c r="BO17" s="67"/>
      <c r="BP17" s="67"/>
      <c r="BQ17" s="67"/>
      <c r="BR17" s="67"/>
      <c r="BS17" s="67"/>
      <c r="BT17" s="67"/>
      <c r="BU17" s="67"/>
      <c r="BV17" s="67"/>
      <c r="BW17" s="67"/>
      <c r="BX17" s="67"/>
      <c r="BY17" s="14">
        <f>9/9</f>
        <v>1</v>
      </c>
      <c r="BZ17" s="20">
        <f>CA17+CB17+CC17+CD17</f>
        <v>1</v>
      </c>
      <c r="CA17" s="56">
        <v>0.25</v>
      </c>
      <c r="CB17" s="56">
        <v>0.25</v>
      </c>
      <c r="CC17" s="56">
        <v>0.25</v>
      </c>
      <c r="CD17" s="56">
        <v>0.25</v>
      </c>
      <c r="CE17" s="14">
        <f>1/1</f>
        <v>1</v>
      </c>
      <c r="CF17" s="20">
        <f>CG17+CH17+CI17+CJ17</f>
        <v>1</v>
      </c>
      <c r="CG17" s="55">
        <v>0.25</v>
      </c>
      <c r="CH17" s="55">
        <v>0.25</v>
      </c>
      <c r="CI17" s="55">
        <v>0.25</v>
      </c>
      <c r="CJ17" s="55">
        <v>0.25</v>
      </c>
      <c r="CK17" s="56">
        <f>(BY17+CE17)/2</f>
        <v>1</v>
      </c>
      <c r="CL17" s="21">
        <f>CK17</f>
        <v>1</v>
      </c>
      <c r="CM17" s="19">
        <v>0.2</v>
      </c>
    </row>
    <row r="18" spans="1:91" s="60" customFormat="1" ht="60" x14ac:dyDescent="0.25">
      <c r="A18" s="165"/>
      <c r="B18" s="160"/>
      <c r="C18" s="160"/>
      <c r="D18" s="209"/>
      <c r="E18" s="191"/>
      <c r="F18" s="194"/>
      <c r="G18" s="196"/>
      <c r="H18" s="153"/>
      <c r="I18" s="153"/>
      <c r="J18" s="163"/>
      <c r="K18" s="70" t="s">
        <v>138</v>
      </c>
      <c r="L18" s="81" t="s">
        <v>117</v>
      </c>
      <c r="M18" s="152"/>
      <c r="N18" s="51" t="s">
        <v>147</v>
      </c>
      <c r="O18" s="71">
        <v>0.2</v>
      </c>
      <c r="P18" s="51" t="s">
        <v>148</v>
      </c>
      <c r="Q18" s="50" t="s">
        <v>76</v>
      </c>
      <c r="R18" s="50" t="s">
        <v>76</v>
      </c>
      <c r="S18" s="51" t="s">
        <v>149</v>
      </c>
      <c r="T18" s="50" t="s">
        <v>86</v>
      </c>
      <c r="U18" s="51" t="s">
        <v>150</v>
      </c>
      <c r="V18" s="50" t="s">
        <v>30</v>
      </c>
      <c r="W18" s="50" t="s">
        <v>94</v>
      </c>
      <c r="X18" s="50" t="s">
        <v>76</v>
      </c>
      <c r="Y18" s="50" t="s">
        <v>76</v>
      </c>
      <c r="Z18" s="50" t="s">
        <v>76</v>
      </c>
      <c r="AA18" s="73" t="s">
        <v>137</v>
      </c>
      <c r="AB18" s="54"/>
      <c r="AC18" s="54"/>
      <c r="AD18" s="55"/>
      <c r="AE18" s="54"/>
      <c r="AF18" s="54"/>
      <c r="AG18" s="55"/>
      <c r="AH18" s="54"/>
      <c r="AI18" s="54"/>
      <c r="AJ18" s="55"/>
      <c r="AK18" s="54"/>
      <c r="AL18" s="54"/>
      <c r="AM18" s="79">
        <v>1</v>
      </c>
      <c r="AN18" s="79">
        <v>1</v>
      </c>
      <c r="AO18" s="74"/>
      <c r="AP18" s="74"/>
      <c r="AQ18" s="74"/>
      <c r="AR18" s="74"/>
      <c r="AS18" s="74"/>
      <c r="AT18" s="74"/>
      <c r="AU18" s="74"/>
      <c r="AV18" s="74"/>
      <c r="AW18" s="74"/>
      <c r="AX18" s="74"/>
      <c r="AY18" s="74"/>
      <c r="AZ18" s="74"/>
      <c r="BA18" s="67"/>
      <c r="BB18" s="56"/>
      <c r="BC18" s="67"/>
      <c r="BD18" s="67"/>
      <c r="BE18" s="67"/>
      <c r="BF18" s="67"/>
      <c r="BG18" s="54">
        <v>1</v>
      </c>
      <c r="BH18" s="55">
        <v>1</v>
      </c>
      <c r="BI18" s="55">
        <v>0.25</v>
      </c>
      <c r="BJ18" s="55">
        <v>0.25</v>
      </c>
      <c r="BK18" s="55">
        <v>0.25</v>
      </c>
      <c r="BL18" s="55">
        <v>0.25</v>
      </c>
      <c r="BM18" s="74"/>
      <c r="BN18" s="74"/>
      <c r="BO18" s="74"/>
      <c r="BP18" s="74"/>
      <c r="BQ18" s="74"/>
      <c r="BR18" s="74"/>
      <c r="BS18" s="74"/>
      <c r="BT18" s="74"/>
      <c r="BU18" s="74"/>
      <c r="BV18" s="74"/>
      <c r="BW18" s="74"/>
      <c r="BX18" s="74"/>
      <c r="BY18" s="74"/>
      <c r="BZ18" s="74"/>
      <c r="CA18" s="74"/>
      <c r="CB18" s="74"/>
      <c r="CC18" s="74"/>
      <c r="CD18" s="74"/>
      <c r="CE18" s="54">
        <v>1</v>
      </c>
      <c r="CF18" s="55">
        <f>CG18+CH18+CI18+CJ18</f>
        <v>1</v>
      </c>
      <c r="CG18" s="55">
        <v>0.25</v>
      </c>
      <c r="CH18" s="55">
        <v>0.25</v>
      </c>
      <c r="CI18" s="55">
        <v>0.25</v>
      </c>
      <c r="CJ18" s="55">
        <v>0.25</v>
      </c>
      <c r="CK18" s="55">
        <f>1/1</f>
        <v>1</v>
      </c>
      <c r="CL18" s="82">
        <v>1</v>
      </c>
      <c r="CM18" s="27">
        <v>0.2</v>
      </c>
    </row>
    <row r="19" spans="1:91" s="60" customFormat="1" ht="90" x14ac:dyDescent="0.25">
      <c r="A19" s="165"/>
      <c r="B19" s="160"/>
      <c r="C19" s="160"/>
      <c r="D19" s="209"/>
      <c r="E19" s="191"/>
      <c r="F19" s="194"/>
      <c r="G19" s="197"/>
      <c r="H19" s="153"/>
      <c r="I19" s="140"/>
      <c r="J19" s="164"/>
      <c r="K19" s="70" t="s">
        <v>138</v>
      </c>
      <c r="L19" s="50" t="s">
        <v>73</v>
      </c>
      <c r="M19" s="138"/>
      <c r="N19" s="51" t="s">
        <v>151</v>
      </c>
      <c r="O19" s="71">
        <v>0.2</v>
      </c>
      <c r="P19" s="51" t="s">
        <v>152</v>
      </c>
      <c r="Q19" s="50" t="s">
        <v>76</v>
      </c>
      <c r="R19" s="50" t="s">
        <v>76</v>
      </c>
      <c r="S19" s="51" t="s">
        <v>153</v>
      </c>
      <c r="T19" s="50" t="s">
        <v>78</v>
      </c>
      <c r="U19" s="83" t="s">
        <v>154</v>
      </c>
      <c r="V19" s="50" t="s">
        <v>80</v>
      </c>
      <c r="W19" s="50" t="s">
        <v>94</v>
      </c>
      <c r="X19" s="50" t="s">
        <v>76</v>
      </c>
      <c r="Y19" s="50" t="s">
        <v>76</v>
      </c>
      <c r="Z19" s="50" t="s">
        <v>76</v>
      </c>
      <c r="AA19" s="54" t="s">
        <v>82</v>
      </c>
      <c r="AB19" s="73"/>
      <c r="AC19" s="54"/>
      <c r="AD19" s="55">
        <v>1</v>
      </c>
      <c r="AE19" s="54"/>
      <c r="AF19" s="54"/>
      <c r="AG19" s="55">
        <v>1</v>
      </c>
      <c r="AH19" s="54"/>
      <c r="AI19" s="54"/>
      <c r="AJ19" s="55">
        <v>1</v>
      </c>
      <c r="AK19" s="54"/>
      <c r="AL19" s="54"/>
      <c r="AM19" s="55">
        <v>1</v>
      </c>
      <c r="AN19" s="55">
        <v>1</v>
      </c>
      <c r="AO19" s="54"/>
      <c r="AP19" s="54"/>
      <c r="AQ19" s="54"/>
      <c r="AR19" s="54"/>
      <c r="AS19" s="54"/>
      <c r="AT19" s="54"/>
      <c r="AU19" s="54"/>
      <c r="AV19" s="54"/>
      <c r="AW19" s="54"/>
      <c r="AX19" s="54"/>
      <c r="AY19" s="54"/>
      <c r="AZ19" s="54"/>
      <c r="BA19" s="56">
        <v>1</v>
      </c>
      <c r="BB19" s="56">
        <v>1</v>
      </c>
      <c r="BC19" s="56">
        <v>0.25</v>
      </c>
      <c r="BD19" s="56">
        <v>0.25</v>
      </c>
      <c r="BE19" s="56">
        <v>0.25</v>
      </c>
      <c r="BF19" s="56">
        <v>0.25</v>
      </c>
      <c r="BG19" s="55">
        <v>1</v>
      </c>
      <c r="BH19" s="55">
        <v>1</v>
      </c>
      <c r="BI19" s="55">
        <v>0.25</v>
      </c>
      <c r="BJ19" s="55">
        <v>0.25</v>
      </c>
      <c r="BK19" s="55">
        <v>0.25</v>
      </c>
      <c r="BL19" s="55">
        <v>0.25</v>
      </c>
      <c r="BM19" s="54"/>
      <c r="BN19" s="54"/>
      <c r="BO19" s="54"/>
      <c r="BP19" s="54"/>
      <c r="BQ19" s="54"/>
      <c r="BR19" s="54"/>
      <c r="BS19" s="54"/>
      <c r="BT19" s="54"/>
      <c r="BU19" s="54"/>
      <c r="BV19" s="54"/>
      <c r="BW19" s="54"/>
      <c r="BX19" s="54"/>
      <c r="BY19" s="20">
        <f>11911/11911</f>
        <v>1</v>
      </c>
      <c r="BZ19" s="20">
        <f>CA19+CB19+CC19+CD19</f>
        <v>1</v>
      </c>
      <c r="CA19" s="56">
        <v>0.25</v>
      </c>
      <c r="CB19" s="56">
        <v>0.25</v>
      </c>
      <c r="CC19" s="56">
        <v>0.25</v>
      </c>
      <c r="CD19" s="56">
        <v>0.25</v>
      </c>
      <c r="CE19" s="55">
        <v>1</v>
      </c>
      <c r="CF19" s="20">
        <f>CG19+CH19+CI19+CJ19</f>
        <v>1</v>
      </c>
      <c r="CG19" s="55">
        <v>0.25</v>
      </c>
      <c r="CH19" s="55">
        <v>0.25</v>
      </c>
      <c r="CI19" s="55">
        <v>0.25</v>
      </c>
      <c r="CJ19" s="55">
        <v>0.25</v>
      </c>
      <c r="CK19" s="56">
        <f>(BY19+CE19)/2</f>
        <v>1</v>
      </c>
      <c r="CL19" s="21">
        <f>CK19</f>
        <v>1</v>
      </c>
      <c r="CM19" s="26">
        <v>0.2</v>
      </c>
    </row>
    <row r="20" spans="1:91" s="60" customFormat="1" ht="45" x14ac:dyDescent="0.25">
      <c r="A20" s="165"/>
      <c r="B20" s="160"/>
      <c r="C20" s="160"/>
      <c r="D20" s="209"/>
      <c r="E20" s="191"/>
      <c r="F20" s="194"/>
      <c r="G20" s="201">
        <v>0.14280000000000001</v>
      </c>
      <c r="H20" s="153"/>
      <c r="I20" s="139" t="s">
        <v>155</v>
      </c>
      <c r="J20" s="162" t="s">
        <v>71</v>
      </c>
      <c r="K20" s="81" t="s">
        <v>156</v>
      </c>
      <c r="L20" s="81" t="s">
        <v>117</v>
      </c>
      <c r="M20" s="199">
        <v>1</v>
      </c>
      <c r="N20" s="84" t="s">
        <v>157</v>
      </c>
      <c r="O20" s="85">
        <v>0.33329999999999999</v>
      </c>
      <c r="P20" s="51" t="s">
        <v>158</v>
      </c>
      <c r="Q20" s="50" t="s">
        <v>76</v>
      </c>
      <c r="R20" s="50" t="s">
        <v>76</v>
      </c>
      <c r="S20" s="51" t="s">
        <v>159</v>
      </c>
      <c r="T20" s="50" t="s">
        <v>86</v>
      </c>
      <c r="U20" s="51" t="s">
        <v>160</v>
      </c>
      <c r="V20" s="50" t="s">
        <v>30</v>
      </c>
      <c r="W20" s="50" t="s">
        <v>94</v>
      </c>
      <c r="X20" s="50" t="s">
        <v>76</v>
      </c>
      <c r="Y20" s="50" t="s">
        <v>76</v>
      </c>
      <c r="Z20" s="50" t="s">
        <v>76</v>
      </c>
      <c r="AA20" s="54" t="s">
        <v>137</v>
      </c>
      <c r="AB20" s="54"/>
      <c r="AC20" s="54"/>
      <c r="AD20" s="55"/>
      <c r="AE20" s="54"/>
      <c r="AF20" s="54"/>
      <c r="AG20" s="55"/>
      <c r="AH20" s="54"/>
      <c r="AI20" s="54"/>
      <c r="AJ20" s="79">
        <v>1</v>
      </c>
      <c r="AK20" s="54"/>
      <c r="AL20" s="54"/>
      <c r="AM20" s="86"/>
      <c r="AN20" s="79">
        <v>1</v>
      </c>
      <c r="AO20" s="67"/>
      <c r="AP20" s="67"/>
      <c r="AQ20" s="67"/>
      <c r="AR20" s="67"/>
      <c r="AS20" s="67"/>
      <c r="AT20" s="67"/>
      <c r="AU20" s="67"/>
      <c r="AV20" s="67"/>
      <c r="AW20" s="67"/>
      <c r="AX20" s="67"/>
      <c r="AY20" s="67"/>
      <c r="AZ20" s="67"/>
      <c r="BA20" s="67">
        <v>1</v>
      </c>
      <c r="BB20" s="56">
        <v>1</v>
      </c>
      <c r="BC20" s="56">
        <v>0.25</v>
      </c>
      <c r="BD20" s="56">
        <v>0.25</v>
      </c>
      <c r="BE20" s="56">
        <v>0.25</v>
      </c>
      <c r="BF20" s="56">
        <v>0.25</v>
      </c>
      <c r="BG20" s="80"/>
      <c r="BH20" s="80"/>
      <c r="BI20" s="80"/>
      <c r="BJ20" s="80"/>
      <c r="BK20" s="80"/>
      <c r="BL20" s="80"/>
      <c r="BM20" s="67"/>
      <c r="BN20" s="67"/>
      <c r="BO20" s="67"/>
      <c r="BP20" s="67"/>
      <c r="BQ20" s="67"/>
      <c r="BR20" s="67"/>
      <c r="BS20" s="67"/>
      <c r="BT20" s="67"/>
      <c r="BU20" s="67"/>
      <c r="BV20" s="67"/>
      <c r="BW20" s="67"/>
      <c r="BX20" s="67"/>
      <c r="BY20" s="67">
        <v>1</v>
      </c>
      <c r="BZ20" s="14">
        <f>CA20+CB20+CC20+CD20</f>
        <v>0.75</v>
      </c>
      <c r="CA20" s="56">
        <v>0.25</v>
      </c>
      <c r="CB20" s="56">
        <v>0.25</v>
      </c>
      <c r="CC20" s="56">
        <v>0</v>
      </c>
      <c r="CD20" s="56">
        <v>0.25</v>
      </c>
      <c r="CE20" s="80"/>
      <c r="CF20" s="80"/>
      <c r="CG20" s="67"/>
      <c r="CH20" s="67"/>
      <c r="CI20" s="67"/>
      <c r="CJ20" s="67"/>
      <c r="CK20" s="14">
        <f>1/1</f>
        <v>1</v>
      </c>
      <c r="CL20" s="87">
        <f>CK20</f>
        <v>1</v>
      </c>
      <c r="CM20" s="17">
        <v>0.33329999999999999</v>
      </c>
    </row>
    <row r="21" spans="1:91" s="60" customFormat="1" ht="60" x14ac:dyDescent="0.25">
      <c r="A21" s="165"/>
      <c r="B21" s="160"/>
      <c r="C21" s="160"/>
      <c r="D21" s="209"/>
      <c r="E21" s="191"/>
      <c r="F21" s="194"/>
      <c r="G21" s="196"/>
      <c r="H21" s="153"/>
      <c r="I21" s="153"/>
      <c r="J21" s="163"/>
      <c r="K21" s="50" t="s">
        <v>161</v>
      </c>
      <c r="L21" s="50" t="s">
        <v>73</v>
      </c>
      <c r="M21" s="200"/>
      <c r="N21" s="51" t="s">
        <v>162</v>
      </c>
      <c r="O21" s="85">
        <v>0.33329999999999999</v>
      </c>
      <c r="P21" s="51" t="s">
        <v>163</v>
      </c>
      <c r="Q21" s="50" t="s">
        <v>76</v>
      </c>
      <c r="R21" s="50" t="s">
        <v>76</v>
      </c>
      <c r="S21" s="51" t="s">
        <v>164</v>
      </c>
      <c r="T21" s="50" t="s">
        <v>78</v>
      </c>
      <c r="U21" s="51" t="s">
        <v>165</v>
      </c>
      <c r="V21" s="50" t="s">
        <v>80</v>
      </c>
      <c r="W21" s="50" t="s">
        <v>136</v>
      </c>
      <c r="X21" s="50" t="s">
        <v>76</v>
      </c>
      <c r="Y21" s="50" t="s">
        <v>76</v>
      </c>
      <c r="Z21" s="50" t="s">
        <v>76</v>
      </c>
      <c r="AA21" s="54" t="s">
        <v>82</v>
      </c>
      <c r="AB21" s="54"/>
      <c r="AC21" s="54"/>
      <c r="AD21" s="55">
        <v>1</v>
      </c>
      <c r="AE21" s="54"/>
      <c r="AF21" s="54"/>
      <c r="AG21" s="55">
        <v>1</v>
      </c>
      <c r="AH21" s="54"/>
      <c r="AI21" s="54"/>
      <c r="AJ21" s="55">
        <v>1</v>
      </c>
      <c r="AK21" s="54"/>
      <c r="AL21" s="54"/>
      <c r="AM21" s="55">
        <v>1</v>
      </c>
      <c r="AN21" s="55">
        <v>1</v>
      </c>
      <c r="AO21" s="14">
        <v>1</v>
      </c>
      <c r="AP21" s="14">
        <v>0.75</v>
      </c>
      <c r="AQ21" s="67">
        <v>25</v>
      </c>
      <c r="AR21" s="67">
        <v>25</v>
      </c>
      <c r="AS21" s="67">
        <v>0</v>
      </c>
      <c r="AT21" s="67">
        <v>25</v>
      </c>
      <c r="AU21" s="14">
        <f>17/17</f>
        <v>1</v>
      </c>
      <c r="AV21" s="56">
        <f>AW21+AX21+AY21+AZ21</f>
        <v>1</v>
      </c>
      <c r="AW21" s="14">
        <v>0.25</v>
      </c>
      <c r="AX21" s="14">
        <v>0.25</v>
      </c>
      <c r="AY21" s="14">
        <v>0.25</v>
      </c>
      <c r="AZ21" s="14">
        <v>0.25</v>
      </c>
      <c r="BA21" s="56">
        <v>1</v>
      </c>
      <c r="BB21" s="56">
        <v>1</v>
      </c>
      <c r="BC21" s="56">
        <v>0.25</v>
      </c>
      <c r="BD21" s="56">
        <v>0.25</v>
      </c>
      <c r="BE21" s="56">
        <v>0.25</v>
      </c>
      <c r="BF21" s="56">
        <v>0.25</v>
      </c>
      <c r="BG21" s="56">
        <v>1</v>
      </c>
      <c r="BH21" s="56">
        <v>0.75</v>
      </c>
      <c r="BI21" s="56">
        <v>0.25</v>
      </c>
      <c r="BJ21" s="56">
        <v>0.25</v>
      </c>
      <c r="BK21" s="56">
        <v>0</v>
      </c>
      <c r="BL21" s="56">
        <v>0.25</v>
      </c>
      <c r="BM21" s="14">
        <f>12/12</f>
        <v>1</v>
      </c>
      <c r="BN21" s="56">
        <f>BO21+BP21+BQ21+BR21</f>
        <v>0.5</v>
      </c>
      <c r="BO21" s="56">
        <v>0.25</v>
      </c>
      <c r="BP21" s="56">
        <v>0.25</v>
      </c>
      <c r="BQ21" s="56">
        <v>0</v>
      </c>
      <c r="BR21" s="56">
        <v>0</v>
      </c>
      <c r="BS21" s="14">
        <f>17/17</f>
        <v>1</v>
      </c>
      <c r="BT21" s="14">
        <f t="shared" ref="BT21" si="6">BU21+BV21+BW21+BX21</f>
        <v>1</v>
      </c>
      <c r="BU21" s="14">
        <v>0.25</v>
      </c>
      <c r="BV21" s="14">
        <v>0.25</v>
      </c>
      <c r="BW21" s="14">
        <v>0.25</v>
      </c>
      <c r="BX21" s="14">
        <v>0.25</v>
      </c>
      <c r="BY21" s="14">
        <f>22/22</f>
        <v>1</v>
      </c>
      <c r="BZ21" s="14">
        <f>CA21+CB21+CC21+CD21</f>
        <v>1</v>
      </c>
      <c r="CA21" s="56">
        <v>0.25</v>
      </c>
      <c r="CB21" s="56">
        <v>0.25</v>
      </c>
      <c r="CC21" s="56">
        <v>0.25</v>
      </c>
      <c r="CD21" s="56">
        <v>0.25</v>
      </c>
      <c r="CE21" s="14">
        <f>16/16</f>
        <v>1</v>
      </c>
      <c r="CF21" s="14">
        <f t="shared" ref="CF21:CF28" si="7">CG21+CH21+CI21+CJ21</f>
        <v>1</v>
      </c>
      <c r="CG21" s="56">
        <v>0.25</v>
      </c>
      <c r="CH21" s="56">
        <v>0.25</v>
      </c>
      <c r="CI21" s="56">
        <v>0.25</v>
      </c>
      <c r="CJ21" s="56">
        <v>0.25</v>
      </c>
      <c r="CK21" s="56">
        <f>(BM21+BS21+BY21+CE21)/4</f>
        <v>1</v>
      </c>
      <c r="CL21" s="56">
        <f>CK21</f>
        <v>1</v>
      </c>
      <c r="CM21" s="17">
        <v>0.3332</v>
      </c>
    </row>
    <row r="22" spans="1:91" s="60" customFormat="1" ht="60" x14ac:dyDescent="0.25">
      <c r="A22" s="165"/>
      <c r="B22" s="160"/>
      <c r="C22" s="160"/>
      <c r="D22" s="209"/>
      <c r="E22" s="191"/>
      <c r="F22" s="194"/>
      <c r="G22" s="197"/>
      <c r="H22" s="153"/>
      <c r="I22" s="140"/>
      <c r="J22" s="164"/>
      <c r="K22" s="81" t="s">
        <v>156</v>
      </c>
      <c r="L22" s="72" t="s">
        <v>117</v>
      </c>
      <c r="M22" s="198"/>
      <c r="N22" s="84" t="s">
        <v>166</v>
      </c>
      <c r="O22" s="85">
        <v>0.33329999999999999</v>
      </c>
      <c r="P22" s="51" t="s">
        <v>167</v>
      </c>
      <c r="Q22" s="50" t="s">
        <v>76</v>
      </c>
      <c r="R22" s="50" t="s">
        <v>76</v>
      </c>
      <c r="S22" s="51" t="s">
        <v>168</v>
      </c>
      <c r="T22" s="50" t="s">
        <v>78</v>
      </c>
      <c r="U22" s="77" t="s">
        <v>169</v>
      </c>
      <c r="V22" s="50" t="s">
        <v>80</v>
      </c>
      <c r="W22" s="50" t="s">
        <v>94</v>
      </c>
      <c r="X22" s="50" t="s">
        <v>76</v>
      </c>
      <c r="Y22" s="50" t="s">
        <v>76</v>
      </c>
      <c r="Z22" s="50" t="s">
        <v>76</v>
      </c>
      <c r="AA22" s="73" t="s">
        <v>137</v>
      </c>
      <c r="AB22" s="54"/>
      <c r="AC22" s="54"/>
      <c r="AD22" s="55"/>
      <c r="AE22" s="54"/>
      <c r="AF22" s="54"/>
      <c r="AG22" s="55"/>
      <c r="AH22" s="54"/>
      <c r="AI22" s="54"/>
      <c r="AJ22" s="55"/>
      <c r="AK22" s="54"/>
      <c r="AL22" s="54"/>
      <c r="AM22" s="55">
        <v>1</v>
      </c>
      <c r="AN22" s="55">
        <v>1</v>
      </c>
      <c r="AO22" s="67"/>
      <c r="AP22" s="67"/>
      <c r="AQ22" s="67"/>
      <c r="AR22" s="67"/>
      <c r="AS22" s="67"/>
      <c r="AT22" s="67"/>
      <c r="AU22" s="67"/>
      <c r="AV22" s="67"/>
      <c r="AW22" s="67"/>
      <c r="AX22" s="67"/>
      <c r="AY22" s="67"/>
      <c r="AZ22" s="67"/>
      <c r="BA22" s="67"/>
      <c r="BB22" s="67"/>
      <c r="BC22" s="67"/>
      <c r="BD22" s="67"/>
      <c r="BE22" s="67"/>
      <c r="BF22" s="67"/>
      <c r="BG22" s="55">
        <v>1</v>
      </c>
      <c r="BH22" s="55">
        <v>1</v>
      </c>
      <c r="BI22" s="55">
        <v>0.25</v>
      </c>
      <c r="BJ22" s="55">
        <v>0.25</v>
      </c>
      <c r="BK22" s="55">
        <v>0.25</v>
      </c>
      <c r="BL22" s="55">
        <v>0.25</v>
      </c>
      <c r="BM22" s="67"/>
      <c r="BN22" s="67"/>
      <c r="BO22" s="67"/>
      <c r="BP22" s="67"/>
      <c r="BQ22" s="67"/>
      <c r="BR22" s="67"/>
      <c r="BS22" s="67"/>
      <c r="BT22" s="67"/>
      <c r="BU22" s="67"/>
      <c r="BV22" s="67"/>
      <c r="BW22" s="67"/>
      <c r="BX22" s="67"/>
      <c r="BY22" s="67"/>
      <c r="BZ22" s="67"/>
      <c r="CA22" s="67"/>
      <c r="CB22" s="67"/>
      <c r="CC22" s="67"/>
      <c r="CD22" s="67"/>
      <c r="CE22" s="56">
        <v>1</v>
      </c>
      <c r="CF22" s="14">
        <f t="shared" si="7"/>
        <v>1</v>
      </c>
      <c r="CG22" s="55">
        <v>0.25</v>
      </c>
      <c r="CH22" s="55">
        <v>0.25</v>
      </c>
      <c r="CI22" s="55">
        <v>0.25</v>
      </c>
      <c r="CJ22" s="55">
        <v>0.25</v>
      </c>
      <c r="CK22" s="56">
        <v>1</v>
      </c>
      <c r="CL22" s="87">
        <f t="shared" ref="CL22:CL30" si="8">CK22</f>
        <v>1</v>
      </c>
      <c r="CM22" s="17">
        <v>0.33329999999999999</v>
      </c>
    </row>
    <row r="23" spans="1:91" s="60" customFormat="1" ht="60" x14ac:dyDescent="0.25">
      <c r="A23" s="165"/>
      <c r="B23" s="160"/>
      <c r="C23" s="160"/>
      <c r="D23" s="209"/>
      <c r="E23" s="191"/>
      <c r="F23" s="194"/>
      <c r="G23" s="179">
        <v>0.14280000000000001</v>
      </c>
      <c r="H23" s="153"/>
      <c r="I23" s="153" t="s">
        <v>170</v>
      </c>
      <c r="J23" s="154" t="s">
        <v>71</v>
      </c>
      <c r="K23" s="50" t="s">
        <v>171</v>
      </c>
      <c r="L23" s="50" t="s">
        <v>117</v>
      </c>
      <c r="M23" s="152">
        <v>1</v>
      </c>
      <c r="N23" s="84" t="s">
        <v>172</v>
      </c>
      <c r="O23" s="85">
        <v>0.33329999999999999</v>
      </c>
      <c r="P23" s="51" t="s">
        <v>173</v>
      </c>
      <c r="Q23" s="50" t="s">
        <v>76</v>
      </c>
      <c r="R23" s="50" t="s">
        <v>76</v>
      </c>
      <c r="S23" s="51" t="s">
        <v>174</v>
      </c>
      <c r="T23" s="50" t="s">
        <v>78</v>
      </c>
      <c r="U23" s="77" t="s">
        <v>175</v>
      </c>
      <c r="V23" s="50" t="s">
        <v>80</v>
      </c>
      <c r="W23" s="50" t="s">
        <v>94</v>
      </c>
      <c r="X23" s="50" t="s">
        <v>76</v>
      </c>
      <c r="Y23" s="50" t="s">
        <v>76</v>
      </c>
      <c r="Z23" s="50" t="s">
        <v>76</v>
      </c>
      <c r="AA23" s="54" t="s">
        <v>82</v>
      </c>
      <c r="AB23" s="54"/>
      <c r="AC23" s="54"/>
      <c r="AD23" s="55">
        <v>1</v>
      </c>
      <c r="AE23" s="55"/>
      <c r="AF23" s="54"/>
      <c r="AG23" s="55">
        <v>1</v>
      </c>
      <c r="AH23" s="54"/>
      <c r="AI23" s="55"/>
      <c r="AJ23" s="55">
        <v>1</v>
      </c>
      <c r="AK23" s="54"/>
      <c r="AL23" s="54"/>
      <c r="AM23" s="55">
        <v>1</v>
      </c>
      <c r="AN23" s="55">
        <v>1</v>
      </c>
      <c r="AO23" s="54"/>
      <c r="AP23" s="54"/>
      <c r="AQ23" s="54"/>
      <c r="AR23" s="54"/>
      <c r="AS23" s="54"/>
      <c r="AT23" s="54"/>
      <c r="AU23" s="54"/>
      <c r="AV23" s="54"/>
      <c r="AW23" s="54"/>
      <c r="AX23" s="54"/>
      <c r="AY23" s="54"/>
      <c r="AZ23" s="54"/>
      <c r="BA23" s="56">
        <v>1</v>
      </c>
      <c r="BB23" s="56">
        <v>1</v>
      </c>
      <c r="BC23" s="56">
        <v>0.25</v>
      </c>
      <c r="BD23" s="56">
        <v>0.25</v>
      </c>
      <c r="BE23" s="56">
        <v>0.25</v>
      </c>
      <c r="BF23" s="56">
        <v>0.25</v>
      </c>
      <c r="BG23" s="55">
        <v>1</v>
      </c>
      <c r="BH23" s="55">
        <v>1</v>
      </c>
      <c r="BI23" s="55">
        <v>0.25</v>
      </c>
      <c r="BJ23" s="55">
        <v>0.25</v>
      </c>
      <c r="BK23" s="55">
        <v>0.25</v>
      </c>
      <c r="BL23" s="55">
        <v>0.25</v>
      </c>
      <c r="BM23" s="54"/>
      <c r="BN23" s="54"/>
      <c r="BO23" s="54"/>
      <c r="BP23" s="54"/>
      <c r="BQ23" s="54"/>
      <c r="BR23" s="54"/>
      <c r="BS23" s="54"/>
      <c r="BT23" s="54"/>
      <c r="BU23" s="54"/>
      <c r="BV23" s="54"/>
      <c r="BW23" s="54"/>
      <c r="BX23" s="54"/>
      <c r="BY23" s="20">
        <f>19/19</f>
        <v>1</v>
      </c>
      <c r="BZ23" s="20">
        <f t="shared" ref="BZ23:BZ29" si="9">CA23+CB23+CC23+CD23</f>
        <v>1</v>
      </c>
      <c r="CA23" s="56">
        <v>0.25</v>
      </c>
      <c r="CB23" s="56">
        <v>0.25</v>
      </c>
      <c r="CC23" s="56">
        <v>0.25</v>
      </c>
      <c r="CD23" s="56">
        <v>0.25</v>
      </c>
      <c r="CE23" s="20">
        <f>104/104</f>
        <v>1</v>
      </c>
      <c r="CF23" s="20">
        <f t="shared" si="7"/>
        <v>1</v>
      </c>
      <c r="CG23" s="55">
        <v>0.25</v>
      </c>
      <c r="CH23" s="55">
        <v>0.25</v>
      </c>
      <c r="CI23" s="55">
        <v>0.25</v>
      </c>
      <c r="CJ23" s="55">
        <v>0.25</v>
      </c>
      <c r="CK23" s="56">
        <f t="shared" ref="CK23:CK28" si="10">(BY23+CE23)/2</f>
        <v>1</v>
      </c>
      <c r="CL23" s="21">
        <f t="shared" si="8"/>
        <v>1</v>
      </c>
      <c r="CM23" s="28">
        <v>0.3332</v>
      </c>
    </row>
    <row r="24" spans="1:91" s="60" customFormat="1" ht="45" x14ac:dyDescent="0.25">
      <c r="A24" s="165"/>
      <c r="B24" s="160"/>
      <c r="C24" s="160"/>
      <c r="D24" s="209"/>
      <c r="E24" s="191"/>
      <c r="F24" s="194"/>
      <c r="G24" s="180"/>
      <c r="H24" s="153"/>
      <c r="I24" s="153"/>
      <c r="J24" s="154"/>
      <c r="K24" s="50" t="s">
        <v>171</v>
      </c>
      <c r="L24" s="50" t="s">
        <v>73</v>
      </c>
      <c r="M24" s="152"/>
      <c r="N24" s="84" t="s">
        <v>176</v>
      </c>
      <c r="O24" s="85">
        <v>0.33329999999999999</v>
      </c>
      <c r="P24" s="51" t="s">
        <v>177</v>
      </c>
      <c r="Q24" s="50" t="s">
        <v>76</v>
      </c>
      <c r="R24" s="50" t="s">
        <v>76</v>
      </c>
      <c r="S24" s="51" t="s">
        <v>178</v>
      </c>
      <c r="T24" s="50" t="s">
        <v>78</v>
      </c>
      <c r="U24" s="51" t="s">
        <v>179</v>
      </c>
      <c r="V24" s="50" t="s">
        <v>80</v>
      </c>
      <c r="W24" s="50" t="s">
        <v>94</v>
      </c>
      <c r="X24" s="50" t="s">
        <v>76</v>
      </c>
      <c r="Y24" s="50" t="s">
        <v>76</v>
      </c>
      <c r="Z24" s="50" t="s">
        <v>76</v>
      </c>
      <c r="AA24" s="54" t="s">
        <v>82</v>
      </c>
      <c r="AB24" s="54"/>
      <c r="AC24" s="54"/>
      <c r="AD24" s="55">
        <v>1</v>
      </c>
      <c r="AE24" s="55"/>
      <c r="AF24" s="55"/>
      <c r="AG24" s="55">
        <v>1</v>
      </c>
      <c r="AH24" s="55"/>
      <c r="AI24" s="55"/>
      <c r="AJ24" s="55">
        <v>1</v>
      </c>
      <c r="AK24" s="54"/>
      <c r="AL24" s="54"/>
      <c r="AM24" s="55">
        <v>1</v>
      </c>
      <c r="AN24" s="55">
        <v>1</v>
      </c>
      <c r="AO24" s="54"/>
      <c r="AP24" s="54"/>
      <c r="AQ24" s="54"/>
      <c r="AR24" s="54"/>
      <c r="AS24" s="54"/>
      <c r="AT24" s="54"/>
      <c r="AU24" s="54"/>
      <c r="AV24" s="54"/>
      <c r="AW24" s="54"/>
      <c r="AX24" s="54"/>
      <c r="AY24" s="54"/>
      <c r="AZ24" s="54"/>
      <c r="BA24" s="55">
        <v>1</v>
      </c>
      <c r="BB24" s="55">
        <v>1</v>
      </c>
      <c r="BC24" s="56">
        <v>0.25</v>
      </c>
      <c r="BD24" s="56">
        <v>0.25</v>
      </c>
      <c r="BE24" s="56">
        <v>0.25</v>
      </c>
      <c r="BF24" s="56">
        <v>0.25</v>
      </c>
      <c r="BG24" s="55">
        <v>1</v>
      </c>
      <c r="BH24" s="55">
        <v>1</v>
      </c>
      <c r="BI24" s="55">
        <v>0.25</v>
      </c>
      <c r="BJ24" s="55">
        <v>0.25</v>
      </c>
      <c r="BK24" s="55">
        <v>0.25</v>
      </c>
      <c r="BL24" s="55">
        <v>0.25</v>
      </c>
      <c r="BM24" s="54"/>
      <c r="BN24" s="54"/>
      <c r="BO24" s="54"/>
      <c r="BP24" s="54"/>
      <c r="BQ24" s="54"/>
      <c r="BR24" s="54"/>
      <c r="BS24" s="54"/>
      <c r="BT24" s="54"/>
      <c r="BU24" s="54"/>
      <c r="BV24" s="54"/>
      <c r="BW24" s="54"/>
      <c r="BX24" s="54"/>
      <c r="BY24" s="20">
        <f>384/384</f>
        <v>1</v>
      </c>
      <c r="BZ24" s="20">
        <f t="shared" si="9"/>
        <v>1</v>
      </c>
      <c r="CA24" s="56">
        <v>0.25</v>
      </c>
      <c r="CB24" s="56">
        <v>0.25</v>
      </c>
      <c r="CC24" s="56">
        <v>0.25</v>
      </c>
      <c r="CD24" s="56">
        <v>0.25</v>
      </c>
      <c r="CE24" s="20">
        <f>278/278</f>
        <v>1</v>
      </c>
      <c r="CF24" s="20">
        <f t="shared" si="7"/>
        <v>1</v>
      </c>
      <c r="CG24" s="55">
        <v>0.25</v>
      </c>
      <c r="CH24" s="55">
        <v>0.25</v>
      </c>
      <c r="CI24" s="55">
        <v>0.25</v>
      </c>
      <c r="CJ24" s="55">
        <v>0.25</v>
      </c>
      <c r="CK24" s="56">
        <f t="shared" si="10"/>
        <v>1</v>
      </c>
      <c r="CL24" s="21">
        <f t="shared" si="8"/>
        <v>1</v>
      </c>
      <c r="CM24" s="28">
        <v>0.3332</v>
      </c>
    </row>
    <row r="25" spans="1:91" s="60" customFormat="1" ht="45" x14ac:dyDescent="0.25">
      <c r="A25" s="165"/>
      <c r="B25" s="160"/>
      <c r="C25" s="160"/>
      <c r="D25" s="209"/>
      <c r="E25" s="191"/>
      <c r="F25" s="194"/>
      <c r="G25" s="183"/>
      <c r="H25" s="153"/>
      <c r="I25" s="140"/>
      <c r="J25" s="142"/>
      <c r="K25" s="50" t="s">
        <v>171</v>
      </c>
      <c r="L25" s="50" t="s">
        <v>73</v>
      </c>
      <c r="M25" s="138"/>
      <c r="N25" s="84" t="s">
        <v>180</v>
      </c>
      <c r="O25" s="85">
        <v>0.33329999999999999</v>
      </c>
      <c r="P25" s="51" t="s">
        <v>181</v>
      </c>
      <c r="Q25" s="50" t="s">
        <v>76</v>
      </c>
      <c r="R25" s="50" t="s">
        <v>76</v>
      </c>
      <c r="S25" s="51" t="s">
        <v>182</v>
      </c>
      <c r="T25" s="50" t="s">
        <v>78</v>
      </c>
      <c r="U25" s="77" t="s">
        <v>183</v>
      </c>
      <c r="V25" s="50" t="s">
        <v>80</v>
      </c>
      <c r="W25" s="50" t="s">
        <v>94</v>
      </c>
      <c r="X25" s="50" t="s">
        <v>76</v>
      </c>
      <c r="Y25" s="50" t="s">
        <v>76</v>
      </c>
      <c r="Z25" s="50" t="s">
        <v>76</v>
      </c>
      <c r="AA25" s="54" t="s">
        <v>82</v>
      </c>
      <c r="AB25" s="54"/>
      <c r="AC25" s="54"/>
      <c r="AD25" s="55">
        <v>1</v>
      </c>
      <c r="AE25" s="54"/>
      <c r="AF25" s="54"/>
      <c r="AG25" s="55">
        <v>1</v>
      </c>
      <c r="AH25" s="54"/>
      <c r="AI25" s="54"/>
      <c r="AJ25" s="55">
        <v>1</v>
      </c>
      <c r="AK25" s="54"/>
      <c r="AL25" s="54"/>
      <c r="AM25" s="55">
        <v>1</v>
      </c>
      <c r="AN25" s="55">
        <v>1</v>
      </c>
      <c r="AO25" s="54"/>
      <c r="AP25" s="54"/>
      <c r="AQ25" s="54"/>
      <c r="AR25" s="54"/>
      <c r="AS25" s="54"/>
      <c r="AT25" s="54"/>
      <c r="AU25" s="54"/>
      <c r="AV25" s="54"/>
      <c r="AW25" s="54"/>
      <c r="AX25" s="54"/>
      <c r="AY25" s="54"/>
      <c r="AZ25" s="54"/>
      <c r="BA25" s="56">
        <v>1</v>
      </c>
      <c r="BB25" s="56">
        <v>1</v>
      </c>
      <c r="BC25" s="56">
        <v>0.25</v>
      </c>
      <c r="BD25" s="56">
        <v>0.25</v>
      </c>
      <c r="BE25" s="56">
        <v>0.25</v>
      </c>
      <c r="BF25" s="56">
        <v>0.25</v>
      </c>
      <c r="BG25" s="55">
        <v>1</v>
      </c>
      <c r="BH25" s="55">
        <v>1</v>
      </c>
      <c r="BI25" s="55">
        <v>0.25</v>
      </c>
      <c r="BJ25" s="55">
        <v>0.25</v>
      </c>
      <c r="BK25" s="55">
        <v>0.25</v>
      </c>
      <c r="BL25" s="55">
        <v>0.25</v>
      </c>
      <c r="BM25" s="54"/>
      <c r="BN25" s="54"/>
      <c r="BO25" s="54"/>
      <c r="BP25" s="54"/>
      <c r="BQ25" s="54"/>
      <c r="BR25" s="54"/>
      <c r="BS25" s="54"/>
      <c r="BT25" s="54"/>
      <c r="BU25" s="54"/>
      <c r="BV25" s="54"/>
      <c r="BW25" s="54"/>
      <c r="BX25" s="54"/>
      <c r="BY25" s="20">
        <f>7/7</f>
        <v>1</v>
      </c>
      <c r="BZ25" s="20">
        <f t="shared" si="9"/>
        <v>1</v>
      </c>
      <c r="CA25" s="55">
        <v>0.25</v>
      </c>
      <c r="CB25" s="55">
        <v>0.25</v>
      </c>
      <c r="CC25" s="55">
        <v>0.25</v>
      </c>
      <c r="CD25" s="55">
        <v>0.25</v>
      </c>
      <c r="CE25" s="20">
        <f>2/2</f>
        <v>1</v>
      </c>
      <c r="CF25" s="20">
        <f t="shared" si="7"/>
        <v>1</v>
      </c>
      <c r="CG25" s="55">
        <v>0.25</v>
      </c>
      <c r="CH25" s="55">
        <v>0.25</v>
      </c>
      <c r="CI25" s="55">
        <v>0.25</v>
      </c>
      <c r="CJ25" s="55">
        <v>0.25</v>
      </c>
      <c r="CK25" s="56">
        <f t="shared" si="10"/>
        <v>1</v>
      </c>
      <c r="CL25" s="21">
        <f t="shared" si="8"/>
        <v>1</v>
      </c>
      <c r="CM25" s="28">
        <v>0.3332</v>
      </c>
    </row>
    <row r="26" spans="1:91" s="60" customFormat="1" ht="45" x14ac:dyDescent="0.25">
      <c r="A26" s="165"/>
      <c r="B26" s="160"/>
      <c r="C26" s="160"/>
      <c r="D26" s="209"/>
      <c r="E26" s="191"/>
      <c r="F26" s="194"/>
      <c r="G26" s="88">
        <v>0.14280000000000001</v>
      </c>
      <c r="H26" s="153"/>
      <c r="I26" s="51" t="s">
        <v>184</v>
      </c>
      <c r="J26" s="81" t="s">
        <v>71</v>
      </c>
      <c r="K26" s="81" t="s">
        <v>185</v>
      </c>
      <c r="L26" s="81" t="s">
        <v>73</v>
      </c>
      <c r="M26" s="57">
        <v>1</v>
      </c>
      <c r="N26" s="84" t="s">
        <v>186</v>
      </c>
      <c r="O26" s="52">
        <v>1</v>
      </c>
      <c r="P26" s="51" t="s">
        <v>187</v>
      </c>
      <c r="Q26" s="50" t="s">
        <v>76</v>
      </c>
      <c r="R26" s="50" t="s">
        <v>76</v>
      </c>
      <c r="S26" s="51" t="s">
        <v>188</v>
      </c>
      <c r="T26" s="50" t="s">
        <v>78</v>
      </c>
      <c r="U26" s="51" t="s">
        <v>189</v>
      </c>
      <c r="V26" s="50" t="s">
        <v>80</v>
      </c>
      <c r="W26" s="50" t="s">
        <v>94</v>
      </c>
      <c r="X26" s="50" t="s">
        <v>76</v>
      </c>
      <c r="Y26" s="50" t="s">
        <v>76</v>
      </c>
      <c r="Z26" s="50" t="s">
        <v>76</v>
      </c>
      <c r="AA26" s="54" t="s">
        <v>82</v>
      </c>
      <c r="AB26" s="54"/>
      <c r="AC26" s="54"/>
      <c r="AD26" s="55">
        <v>1</v>
      </c>
      <c r="AE26" s="55"/>
      <c r="AF26" s="54"/>
      <c r="AG26" s="55">
        <v>1</v>
      </c>
      <c r="AH26" s="54"/>
      <c r="AI26" s="55"/>
      <c r="AJ26" s="55">
        <v>1</v>
      </c>
      <c r="AK26" s="54"/>
      <c r="AL26" s="54"/>
      <c r="AM26" s="55">
        <v>1</v>
      </c>
      <c r="AN26" s="55">
        <v>1</v>
      </c>
      <c r="AO26" s="54"/>
      <c r="AP26" s="54"/>
      <c r="AQ26" s="54"/>
      <c r="AR26" s="54"/>
      <c r="AS26" s="54"/>
      <c r="AT26" s="54"/>
      <c r="AU26" s="54"/>
      <c r="AV26" s="54"/>
      <c r="AW26" s="54"/>
      <c r="AX26" s="54"/>
      <c r="AY26" s="54"/>
      <c r="AZ26" s="54"/>
      <c r="BA26" s="56">
        <v>1</v>
      </c>
      <c r="BB26" s="56">
        <v>1</v>
      </c>
      <c r="BC26" s="56">
        <v>0.25</v>
      </c>
      <c r="BD26" s="56">
        <v>0.25</v>
      </c>
      <c r="BE26" s="56">
        <v>0.25</v>
      </c>
      <c r="BF26" s="56">
        <v>0.25</v>
      </c>
      <c r="BG26" s="55">
        <v>1</v>
      </c>
      <c r="BH26" s="55">
        <v>1</v>
      </c>
      <c r="BI26" s="55">
        <v>0.25</v>
      </c>
      <c r="BJ26" s="55">
        <v>0.25</v>
      </c>
      <c r="BK26" s="55">
        <v>0.25</v>
      </c>
      <c r="BL26" s="55">
        <v>0.25</v>
      </c>
      <c r="BM26" s="54"/>
      <c r="BN26" s="54"/>
      <c r="BO26" s="54"/>
      <c r="BP26" s="54"/>
      <c r="BQ26" s="54"/>
      <c r="BR26" s="54"/>
      <c r="BS26" s="54"/>
      <c r="BT26" s="54"/>
      <c r="BU26" s="54"/>
      <c r="BV26" s="54"/>
      <c r="BW26" s="54"/>
      <c r="BX26" s="54"/>
      <c r="BY26" s="55">
        <v>1</v>
      </c>
      <c r="BZ26" s="20">
        <f t="shared" si="9"/>
        <v>1</v>
      </c>
      <c r="CA26" s="55">
        <v>0.25</v>
      </c>
      <c r="CB26" s="55">
        <v>0.25</v>
      </c>
      <c r="CC26" s="55">
        <v>0.25</v>
      </c>
      <c r="CD26" s="55">
        <v>0.25</v>
      </c>
      <c r="CE26" s="55">
        <v>1</v>
      </c>
      <c r="CF26" s="20">
        <f t="shared" si="7"/>
        <v>1</v>
      </c>
      <c r="CG26" s="55">
        <v>0.25</v>
      </c>
      <c r="CH26" s="55">
        <v>0.25</v>
      </c>
      <c r="CI26" s="55">
        <v>0.25</v>
      </c>
      <c r="CJ26" s="55">
        <v>0.25</v>
      </c>
      <c r="CK26" s="56">
        <f t="shared" si="10"/>
        <v>1</v>
      </c>
      <c r="CL26" s="21">
        <f t="shared" si="8"/>
        <v>1</v>
      </c>
      <c r="CM26" s="26">
        <v>1</v>
      </c>
    </row>
    <row r="27" spans="1:91" s="60" customFormat="1" ht="45" x14ac:dyDescent="0.25">
      <c r="A27" s="165"/>
      <c r="B27" s="160"/>
      <c r="C27" s="160"/>
      <c r="D27" s="209"/>
      <c r="E27" s="191"/>
      <c r="F27" s="194"/>
      <c r="G27" s="196">
        <v>0.14280000000000001</v>
      </c>
      <c r="H27" s="153"/>
      <c r="I27" s="139" t="s">
        <v>190</v>
      </c>
      <c r="J27" s="141" t="s">
        <v>71</v>
      </c>
      <c r="K27" s="50" t="s">
        <v>191</v>
      </c>
      <c r="L27" s="50" t="s">
        <v>117</v>
      </c>
      <c r="M27" s="152">
        <v>1</v>
      </c>
      <c r="N27" s="84" t="s">
        <v>192</v>
      </c>
      <c r="O27" s="52">
        <v>0.2</v>
      </c>
      <c r="P27" s="51" t="s">
        <v>193</v>
      </c>
      <c r="Q27" s="50" t="s">
        <v>76</v>
      </c>
      <c r="R27" s="50" t="s">
        <v>76</v>
      </c>
      <c r="S27" s="51" t="s">
        <v>194</v>
      </c>
      <c r="T27" s="89" t="s">
        <v>78</v>
      </c>
      <c r="U27" s="51" t="s">
        <v>195</v>
      </c>
      <c r="V27" s="50" t="s">
        <v>80</v>
      </c>
      <c r="W27" s="50" t="s">
        <v>94</v>
      </c>
      <c r="X27" s="50" t="s">
        <v>76</v>
      </c>
      <c r="Y27" s="50" t="s">
        <v>76</v>
      </c>
      <c r="Z27" s="50" t="s">
        <v>76</v>
      </c>
      <c r="AA27" s="54" t="s">
        <v>82</v>
      </c>
      <c r="AB27" s="54"/>
      <c r="AC27" s="54"/>
      <c r="AD27" s="55">
        <v>1</v>
      </c>
      <c r="AE27" s="54"/>
      <c r="AF27" s="54"/>
      <c r="AG27" s="55">
        <v>1</v>
      </c>
      <c r="AH27" s="54"/>
      <c r="AI27" s="54"/>
      <c r="AJ27" s="55">
        <v>1</v>
      </c>
      <c r="AK27" s="54"/>
      <c r="AL27" s="54"/>
      <c r="AM27" s="55">
        <v>1</v>
      </c>
      <c r="AN27" s="55">
        <v>1</v>
      </c>
      <c r="AO27" s="54"/>
      <c r="AP27" s="54"/>
      <c r="AQ27" s="54"/>
      <c r="AR27" s="54"/>
      <c r="AS27" s="54"/>
      <c r="AT27" s="54"/>
      <c r="AU27" s="54"/>
      <c r="AV27" s="54"/>
      <c r="AW27" s="54"/>
      <c r="AX27" s="54"/>
      <c r="AY27" s="54"/>
      <c r="AZ27" s="54"/>
      <c r="BA27" s="56">
        <v>1</v>
      </c>
      <c r="BB27" s="56">
        <v>1</v>
      </c>
      <c r="BC27" s="56">
        <v>0.25</v>
      </c>
      <c r="BD27" s="56">
        <v>0.25</v>
      </c>
      <c r="BE27" s="56">
        <v>0.25</v>
      </c>
      <c r="BF27" s="56">
        <v>0.25</v>
      </c>
      <c r="BG27" s="55">
        <v>1</v>
      </c>
      <c r="BH27" s="55">
        <v>1</v>
      </c>
      <c r="BI27" s="55">
        <v>0.25</v>
      </c>
      <c r="BJ27" s="55">
        <v>0.25</v>
      </c>
      <c r="BK27" s="55">
        <v>0.25</v>
      </c>
      <c r="BL27" s="55">
        <v>0.25</v>
      </c>
      <c r="BM27" s="54"/>
      <c r="BN27" s="54"/>
      <c r="BO27" s="54"/>
      <c r="BP27" s="54"/>
      <c r="BQ27" s="54"/>
      <c r="BR27" s="54"/>
      <c r="BS27" s="54"/>
      <c r="BT27" s="54"/>
      <c r="BU27" s="54"/>
      <c r="BV27" s="54"/>
      <c r="BW27" s="54"/>
      <c r="BX27" s="54"/>
      <c r="BY27" s="20">
        <f>8/8</f>
        <v>1</v>
      </c>
      <c r="BZ27" s="20">
        <f t="shared" si="9"/>
        <v>1</v>
      </c>
      <c r="CA27" s="56">
        <v>0.25</v>
      </c>
      <c r="CB27" s="56">
        <v>0.25</v>
      </c>
      <c r="CC27" s="56">
        <v>0.25</v>
      </c>
      <c r="CD27" s="56">
        <v>0.25</v>
      </c>
      <c r="CE27" s="20">
        <f>7/7</f>
        <v>1</v>
      </c>
      <c r="CF27" s="20">
        <f t="shared" si="7"/>
        <v>1</v>
      </c>
      <c r="CG27" s="55">
        <v>0.25</v>
      </c>
      <c r="CH27" s="55">
        <v>0.25</v>
      </c>
      <c r="CI27" s="55">
        <v>0.25</v>
      </c>
      <c r="CJ27" s="55">
        <v>0.25</v>
      </c>
      <c r="CK27" s="56">
        <f t="shared" si="10"/>
        <v>1</v>
      </c>
      <c r="CL27" s="21">
        <f t="shared" si="8"/>
        <v>1</v>
      </c>
      <c r="CM27" s="26">
        <v>0.25</v>
      </c>
    </row>
    <row r="28" spans="1:91" s="60" customFormat="1" ht="60" x14ac:dyDescent="0.25">
      <c r="A28" s="165"/>
      <c r="B28" s="160"/>
      <c r="C28" s="160"/>
      <c r="D28" s="209"/>
      <c r="E28" s="191"/>
      <c r="F28" s="194"/>
      <c r="G28" s="196"/>
      <c r="H28" s="153"/>
      <c r="I28" s="153"/>
      <c r="J28" s="154"/>
      <c r="K28" s="50" t="s">
        <v>191</v>
      </c>
      <c r="L28" s="50" t="s">
        <v>117</v>
      </c>
      <c r="M28" s="152"/>
      <c r="N28" s="84" t="s">
        <v>196</v>
      </c>
      <c r="O28" s="52">
        <v>0.2</v>
      </c>
      <c r="P28" s="51" t="s">
        <v>197</v>
      </c>
      <c r="Q28" s="50" t="s">
        <v>76</v>
      </c>
      <c r="R28" s="50" t="s">
        <v>76</v>
      </c>
      <c r="S28" s="51" t="s">
        <v>198</v>
      </c>
      <c r="T28" s="89" t="s">
        <v>78</v>
      </c>
      <c r="U28" s="51" t="s">
        <v>199</v>
      </c>
      <c r="V28" s="50" t="s">
        <v>80</v>
      </c>
      <c r="W28" s="50" t="s">
        <v>94</v>
      </c>
      <c r="X28" s="50" t="s">
        <v>76</v>
      </c>
      <c r="Y28" s="50" t="s">
        <v>76</v>
      </c>
      <c r="Z28" s="50" t="s">
        <v>76</v>
      </c>
      <c r="AA28" s="54" t="s">
        <v>82</v>
      </c>
      <c r="AB28" s="54"/>
      <c r="AC28" s="54"/>
      <c r="AD28" s="55">
        <v>1</v>
      </c>
      <c r="AE28" s="54"/>
      <c r="AF28" s="54"/>
      <c r="AG28" s="55">
        <v>1</v>
      </c>
      <c r="AH28" s="54"/>
      <c r="AI28" s="54"/>
      <c r="AJ28" s="55">
        <v>1</v>
      </c>
      <c r="AK28" s="54"/>
      <c r="AL28" s="54"/>
      <c r="AM28" s="55">
        <v>1</v>
      </c>
      <c r="AN28" s="55">
        <v>1</v>
      </c>
      <c r="AO28" s="74"/>
      <c r="AP28" s="74"/>
      <c r="AQ28" s="74"/>
      <c r="AR28" s="74"/>
      <c r="AS28" s="74"/>
      <c r="AT28" s="74"/>
      <c r="AU28" s="74"/>
      <c r="AV28" s="74"/>
      <c r="AW28" s="74"/>
      <c r="AX28" s="74"/>
      <c r="AY28" s="74"/>
      <c r="AZ28" s="74"/>
      <c r="BA28" s="55">
        <v>1</v>
      </c>
      <c r="BB28" s="55">
        <v>1</v>
      </c>
      <c r="BC28" s="56">
        <v>0.25</v>
      </c>
      <c r="BD28" s="56">
        <v>0.25</v>
      </c>
      <c r="BE28" s="56">
        <v>0.25</v>
      </c>
      <c r="BF28" s="56">
        <v>0.25</v>
      </c>
      <c r="BG28" s="55">
        <v>1</v>
      </c>
      <c r="BH28" s="55">
        <v>1</v>
      </c>
      <c r="BI28" s="55">
        <v>0.25</v>
      </c>
      <c r="BJ28" s="55">
        <v>0.25</v>
      </c>
      <c r="BK28" s="55">
        <v>0.25</v>
      </c>
      <c r="BL28" s="55">
        <v>0.25</v>
      </c>
      <c r="BM28" s="74"/>
      <c r="BN28" s="74"/>
      <c r="BO28" s="74"/>
      <c r="BP28" s="74"/>
      <c r="BQ28" s="74"/>
      <c r="BR28" s="74"/>
      <c r="BS28" s="74"/>
      <c r="BT28" s="74"/>
      <c r="BU28" s="74"/>
      <c r="BV28" s="74"/>
      <c r="BW28" s="74"/>
      <c r="BX28" s="74"/>
      <c r="BY28" s="20">
        <f>54/54</f>
        <v>1</v>
      </c>
      <c r="BZ28" s="20">
        <f t="shared" si="9"/>
        <v>1</v>
      </c>
      <c r="CA28" s="56">
        <v>0.25</v>
      </c>
      <c r="CB28" s="56">
        <v>0.25</v>
      </c>
      <c r="CC28" s="56">
        <v>0.25</v>
      </c>
      <c r="CD28" s="56">
        <v>0.25</v>
      </c>
      <c r="CE28" s="20">
        <f>42/42</f>
        <v>1</v>
      </c>
      <c r="CF28" s="20">
        <f t="shared" si="7"/>
        <v>1</v>
      </c>
      <c r="CG28" s="55">
        <v>0.25</v>
      </c>
      <c r="CH28" s="55">
        <v>0.25</v>
      </c>
      <c r="CI28" s="55">
        <v>0.25</v>
      </c>
      <c r="CJ28" s="55">
        <v>0.25</v>
      </c>
      <c r="CK28" s="56">
        <f t="shared" si="10"/>
        <v>1</v>
      </c>
      <c r="CL28" s="21">
        <f t="shared" si="8"/>
        <v>1</v>
      </c>
      <c r="CM28" s="27">
        <v>0.25</v>
      </c>
    </row>
    <row r="29" spans="1:91" s="60" customFormat="1" ht="45" x14ac:dyDescent="0.25">
      <c r="A29" s="165"/>
      <c r="B29" s="160"/>
      <c r="C29" s="160"/>
      <c r="D29" s="209"/>
      <c r="E29" s="191"/>
      <c r="F29" s="194"/>
      <c r="G29" s="196"/>
      <c r="H29" s="153"/>
      <c r="I29" s="153"/>
      <c r="J29" s="154"/>
      <c r="K29" s="50" t="s">
        <v>191</v>
      </c>
      <c r="L29" s="50" t="s">
        <v>117</v>
      </c>
      <c r="M29" s="152"/>
      <c r="N29" s="84" t="s">
        <v>200</v>
      </c>
      <c r="O29" s="52">
        <v>0.2</v>
      </c>
      <c r="P29" s="51" t="s">
        <v>201</v>
      </c>
      <c r="Q29" s="50" t="s">
        <v>76</v>
      </c>
      <c r="R29" s="50" t="s">
        <v>76</v>
      </c>
      <c r="S29" s="51" t="s">
        <v>201</v>
      </c>
      <c r="T29" s="50" t="s">
        <v>30</v>
      </c>
      <c r="U29" s="51" t="s">
        <v>202</v>
      </c>
      <c r="V29" s="50" t="s">
        <v>30</v>
      </c>
      <c r="W29" s="50" t="s">
        <v>94</v>
      </c>
      <c r="X29" s="50" t="s">
        <v>76</v>
      </c>
      <c r="Y29" s="50" t="s">
        <v>76</v>
      </c>
      <c r="Z29" s="50" t="s">
        <v>76</v>
      </c>
      <c r="AA29" s="54" t="s">
        <v>137</v>
      </c>
      <c r="AB29" s="54"/>
      <c r="AC29" s="54"/>
      <c r="AD29" s="55"/>
      <c r="AE29" s="54"/>
      <c r="AF29" s="54"/>
      <c r="AG29" s="55"/>
      <c r="AH29" s="54"/>
      <c r="AI29" s="54"/>
      <c r="AJ29" s="79">
        <v>1</v>
      </c>
      <c r="AK29" s="54"/>
      <c r="AL29" s="54"/>
      <c r="AM29" s="55"/>
      <c r="AN29" s="79">
        <v>1</v>
      </c>
      <c r="AO29" s="54"/>
      <c r="AP29" s="54"/>
      <c r="AQ29" s="54"/>
      <c r="AR29" s="54"/>
      <c r="AS29" s="54"/>
      <c r="AT29" s="54"/>
      <c r="AU29" s="54"/>
      <c r="AV29" s="54"/>
      <c r="AW29" s="54"/>
      <c r="AX29" s="54"/>
      <c r="AY29" s="54"/>
      <c r="AZ29" s="54"/>
      <c r="BA29" s="67">
        <v>1</v>
      </c>
      <c r="BB29" s="56">
        <v>1</v>
      </c>
      <c r="BC29" s="56">
        <v>0.25</v>
      </c>
      <c r="BD29" s="56">
        <v>0.25</v>
      </c>
      <c r="BE29" s="56">
        <v>0.25</v>
      </c>
      <c r="BF29" s="56">
        <v>0.25</v>
      </c>
      <c r="BG29" s="67"/>
      <c r="BH29" s="86"/>
      <c r="BI29" s="86"/>
      <c r="BJ29" s="86"/>
      <c r="BK29" s="86"/>
      <c r="BL29" s="86"/>
      <c r="BM29" s="54"/>
      <c r="BN29" s="54"/>
      <c r="BO29" s="54"/>
      <c r="BP29" s="54"/>
      <c r="BQ29" s="54"/>
      <c r="BR29" s="54"/>
      <c r="BS29" s="54"/>
      <c r="BT29" s="54"/>
      <c r="BU29" s="54"/>
      <c r="BV29" s="54"/>
      <c r="BW29" s="54"/>
      <c r="BX29" s="54"/>
      <c r="BY29" s="54">
        <v>1</v>
      </c>
      <c r="BZ29" s="14">
        <f t="shared" si="9"/>
        <v>0.75</v>
      </c>
      <c r="CA29" s="56">
        <v>0.25</v>
      </c>
      <c r="CB29" s="56">
        <v>0.25</v>
      </c>
      <c r="CC29" s="56">
        <v>0</v>
      </c>
      <c r="CD29" s="56">
        <v>0.25</v>
      </c>
      <c r="CE29" s="86"/>
      <c r="CF29" s="86"/>
      <c r="CG29" s="54"/>
      <c r="CH29" s="54"/>
      <c r="CI29" s="54"/>
      <c r="CJ29" s="54"/>
      <c r="CK29" s="14">
        <f>100%</f>
        <v>1</v>
      </c>
      <c r="CL29" s="87">
        <f t="shared" si="8"/>
        <v>1</v>
      </c>
      <c r="CM29" s="26">
        <v>0.25</v>
      </c>
    </row>
    <row r="30" spans="1:91" s="60" customFormat="1" ht="45" x14ac:dyDescent="0.25">
      <c r="A30" s="165"/>
      <c r="B30" s="160"/>
      <c r="C30" s="160"/>
      <c r="D30" s="209"/>
      <c r="E30" s="191"/>
      <c r="F30" s="194"/>
      <c r="G30" s="197"/>
      <c r="H30" s="153"/>
      <c r="I30" s="140"/>
      <c r="J30" s="142"/>
      <c r="K30" s="50" t="s">
        <v>203</v>
      </c>
      <c r="L30" s="50" t="s">
        <v>117</v>
      </c>
      <c r="M30" s="138"/>
      <c r="N30" s="51" t="s">
        <v>204</v>
      </c>
      <c r="O30" s="52">
        <v>0.2</v>
      </c>
      <c r="P30" s="51" t="s">
        <v>205</v>
      </c>
      <c r="Q30" s="50" t="s">
        <v>76</v>
      </c>
      <c r="R30" s="50" t="s">
        <v>76</v>
      </c>
      <c r="S30" s="51" t="s">
        <v>206</v>
      </c>
      <c r="T30" s="63" t="s">
        <v>86</v>
      </c>
      <c r="U30" s="51" t="s">
        <v>206</v>
      </c>
      <c r="V30" s="50" t="s">
        <v>30</v>
      </c>
      <c r="W30" s="50" t="s">
        <v>136</v>
      </c>
      <c r="X30" s="50" t="s">
        <v>76</v>
      </c>
      <c r="Y30" s="50" t="s">
        <v>76</v>
      </c>
      <c r="Z30" s="50" t="s">
        <v>76</v>
      </c>
      <c r="AA30" s="73" t="s">
        <v>137</v>
      </c>
      <c r="AB30" s="90"/>
      <c r="AC30" s="90"/>
      <c r="AD30" s="79"/>
      <c r="AE30" s="90"/>
      <c r="AF30" s="90"/>
      <c r="AG30" s="79"/>
      <c r="AH30" s="90"/>
      <c r="AI30" s="90"/>
      <c r="AJ30" s="90"/>
      <c r="AK30" s="90"/>
      <c r="AL30" s="90"/>
      <c r="AM30" s="79">
        <v>1</v>
      </c>
      <c r="AN30" s="79">
        <v>1</v>
      </c>
      <c r="AO30" s="54"/>
      <c r="AP30" s="54"/>
      <c r="AQ30" s="54"/>
      <c r="AR30" s="54"/>
      <c r="AS30" s="54"/>
      <c r="AT30" s="54"/>
      <c r="AU30" s="54"/>
      <c r="AV30" s="54"/>
      <c r="AW30" s="54"/>
      <c r="AX30" s="54"/>
      <c r="AY30" s="54"/>
      <c r="AZ30" s="54"/>
      <c r="BA30" s="54"/>
      <c r="BB30" s="54"/>
      <c r="BC30" s="54"/>
      <c r="BD30" s="54"/>
      <c r="BE30" s="54"/>
      <c r="BF30" s="54"/>
      <c r="BG30" s="54">
        <v>1</v>
      </c>
      <c r="BH30" s="55">
        <v>1</v>
      </c>
      <c r="BI30" s="56">
        <v>0.25</v>
      </c>
      <c r="BJ30" s="56">
        <v>0.25</v>
      </c>
      <c r="BK30" s="56">
        <v>0.25</v>
      </c>
      <c r="BL30" s="56">
        <v>0.25</v>
      </c>
      <c r="BM30" s="54"/>
      <c r="BN30" s="54"/>
      <c r="BO30" s="54"/>
      <c r="BP30" s="54"/>
      <c r="BQ30" s="54"/>
      <c r="BR30" s="54"/>
      <c r="BS30" s="54"/>
      <c r="BT30" s="54"/>
      <c r="BU30" s="54"/>
      <c r="BV30" s="54"/>
      <c r="BW30" s="54"/>
      <c r="BX30" s="54"/>
      <c r="BY30" s="54"/>
      <c r="BZ30" s="54"/>
      <c r="CA30" s="54"/>
      <c r="CB30" s="54"/>
      <c r="CC30" s="54"/>
      <c r="CD30" s="54"/>
      <c r="CE30" s="54">
        <v>1</v>
      </c>
      <c r="CF30" s="20">
        <f>CG30+CH30+CI30+CJ30</f>
        <v>0.75</v>
      </c>
      <c r="CG30" s="56">
        <v>0.25</v>
      </c>
      <c r="CH30" s="56">
        <v>0.25</v>
      </c>
      <c r="CI30" s="56">
        <v>0</v>
      </c>
      <c r="CJ30" s="56">
        <v>0.25</v>
      </c>
      <c r="CK30" s="56">
        <v>1</v>
      </c>
      <c r="CL30" s="56">
        <f t="shared" si="8"/>
        <v>1</v>
      </c>
      <c r="CM30" s="26">
        <v>0.25</v>
      </c>
    </row>
    <row r="31" spans="1:91" s="60" customFormat="1" ht="105" x14ac:dyDescent="0.25">
      <c r="A31" s="155"/>
      <c r="B31" s="153"/>
      <c r="C31" s="153"/>
      <c r="D31" s="189"/>
      <c r="E31" s="192"/>
      <c r="F31" s="194"/>
      <c r="G31" s="179">
        <v>0.14280000000000001</v>
      </c>
      <c r="H31" s="153"/>
      <c r="I31" s="139" t="s">
        <v>207</v>
      </c>
      <c r="J31" s="141" t="s">
        <v>71</v>
      </c>
      <c r="K31" s="50" t="s">
        <v>208</v>
      </c>
      <c r="L31" s="50" t="s">
        <v>73</v>
      </c>
      <c r="M31" s="137">
        <v>1</v>
      </c>
      <c r="N31" s="84" t="s">
        <v>209</v>
      </c>
      <c r="O31" s="52">
        <v>0.5</v>
      </c>
      <c r="P31" s="51" t="s">
        <v>210</v>
      </c>
      <c r="Q31" s="50" t="s">
        <v>76</v>
      </c>
      <c r="R31" s="50" t="s">
        <v>76</v>
      </c>
      <c r="S31" s="51" t="s">
        <v>211</v>
      </c>
      <c r="T31" s="50" t="s">
        <v>78</v>
      </c>
      <c r="U31" s="51" t="s">
        <v>212</v>
      </c>
      <c r="V31" s="50" t="s">
        <v>80</v>
      </c>
      <c r="W31" s="91" t="s">
        <v>213</v>
      </c>
      <c r="X31" s="50" t="s">
        <v>76</v>
      </c>
      <c r="Y31" s="50" t="s">
        <v>76</v>
      </c>
      <c r="Z31" s="50" t="s">
        <v>76</v>
      </c>
      <c r="AA31" s="54" t="s">
        <v>82</v>
      </c>
      <c r="AB31" s="54"/>
      <c r="AC31" s="54"/>
      <c r="AD31" s="55">
        <v>1</v>
      </c>
      <c r="AE31" s="55"/>
      <c r="AF31" s="54"/>
      <c r="AG31" s="55">
        <v>1</v>
      </c>
      <c r="AH31" s="54"/>
      <c r="AI31" s="55"/>
      <c r="AJ31" s="55">
        <v>1</v>
      </c>
      <c r="AK31" s="54"/>
      <c r="AL31" s="54"/>
      <c r="AM31" s="55">
        <v>1</v>
      </c>
      <c r="AN31" s="55">
        <v>1</v>
      </c>
      <c r="AO31" s="54"/>
      <c r="AP31" s="54"/>
      <c r="AQ31" s="54"/>
      <c r="AR31" s="54"/>
      <c r="AS31" s="54"/>
      <c r="AT31" s="54"/>
      <c r="AU31" s="54"/>
      <c r="AV31" s="54"/>
      <c r="AW31" s="54"/>
      <c r="AX31" s="54"/>
      <c r="AY31" s="54"/>
      <c r="AZ31" s="54"/>
      <c r="BA31" s="55">
        <v>0</v>
      </c>
      <c r="BB31" s="55">
        <v>0</v>
      </c>
      <c r="BC31" s="55">
        <v>0</v>
      </c>
      <c r="BD31" s="55">
        <v>0</v>
      </c>
      <c r="BE31" s="55">
        <v>0</v>
      </c>
      <c r="BF31" s="55">
        <v>0</v>
      </c>
      <c r="BG31" s="20">
        <v>1</v>
      </c>
      <c r="BH31" s="20">
        <v>1</v>
      </c>
      <c r="BI31" s="20">
        <v>0.25</v>
      </c>
      <c r="BJ31" s="20">
        <v>0.25</v>
      </c>
      <c r="BK31" s="20">
        <v>0.25</v>
      </c>
      <c r="BL31" s="20">
        <v>0.25</v>
      </c>
      <c r="BM31" s="54"/>
      <c r="BN31" s="54"/>
      <c r="BO31" s="54"/>
      <c r="BP31" s="54"/>
      <c r="BQ31" s="54"/>
      <c r="BR31" s="54"/>
      <c r="BS31" s="54"/>
      <c r="BT31" s="54"/>
      <c r="BU31" s="54"/>
      <c r="BV31" s="54"/>
      <c r="BW31" s="54"/>
      <c r="BX31" s="54"/>
      <c r="BY31" s="55">
        <v>1</v>
      </c>
      <c r="BZ31" s="20">
        <v>0.75</v>
      </c>
      <c r="CA31" s="55">
        <v>0.25</v>
      </c>
      <c r="CB31" s="55">
        <v>0.25</v>
      </c>
      <c r="CC31" s="55">
        <v>0</v>
      </c>
      <c r="CD31" s="55">
        <v>0.25</v>
      </c>
      <c r="CE31" s="55">
        <v>1</v>
      </c>
      <c r="CF31" s="20">
        <f t="shared" ref="CF31:CF62" si="11">CG31+CH31+CI31+CJ31</f>
        <v>1</v>
      </c>
      <c r="CG31" s="20">
        <v>0.25</v>
      </c>
      <c r="CH31" s="20">
        <v>0.25</v>
      </c>
      <c r="CI31" s="20">
        <v>0.25</v>
      </c>
      <c r="CJ31" s="20">
        <v>0.25</v>
      </c>
      <c r="CK31" s="55">
        <f>BY31</f>
        <v>1</v>
      </c>
      <c r="CL31" s="82">
        <f>CK31</f>
        <v>1</v>
      </c>
      <c r="CM31" s="26">
        <v>0.5</v>
      </c>
    </row>
    <row r="32" spans="1:91" s="60" customFormat="1" ht="90" x14ac:dyDescent="0.25">
      <c r="A32" s="165"/>
      <c r="B32" s="161"/>
      <c r="C32" s="161"/>
      <c r="D32" s="210"/>
      <c r="E32" s="211"/>
      <c r="F32" s="195"/>
      <c r="G32" s="197"/>
      <c r="H32" s="140"/>
      <c r="I32" s="140"/>
      <c r="J32" s="164"/>
      <c r="K32" s="81" t="s">
        <v>214</v>
      </c>
      <c r="L32" s="81" t="s">
        <v>73</v>
      </c>
      <c r="M32" s="198"/>
      <c r="N32" s="84" t="s">
        <v>215</v>
      </c>
      <c r="O32" s="52">
        <v>0.5</v>
      </c>
      <c r="P32" s="51" t="s">
        <v>216</v>
      </c>
      <c r="Q32" s="50" t="s">
        <v>76</v>
      </c>
      <c r="R32" s="50" t="s">
        <v>76</v>
      </c>
      <c r="S32" s="51" t="s">
        <v>217</v>
      </c>
      <c r="T32" s="50" t="s">
        <v>78</v>
      </c>
      <c r="U32" s="51" t="s">
        <v>218</v>
      </c>
      <c r="V32" s="50" t="s">
        <v>80</v>
      </c>
      <c r="W32" s="50" t="s">
        <v>94</v>
      </c>
      <c r="X32" s="50" t="s">
        <v>76</v>
      </c>
      <c r="Y32" s="50" t="s">
        <v>76</v>
      </c>
      <c r="Z32" s="50" t="s">
        <v>76</v>
      </c>
      <c r="AA32" s="54" t="s">
        <v>82</v>
      </c>
      <c r="AB32" s="54"/>
      <c r="AC32" s="54"/>
      <c r="AD32" s="55">
        <v>1</v>
      </c>
      <c r="AE32" s="55"/>
      <c r="AF32" s="54"/>
      <c r="AG32" s="55">
        <v>1</v>
      </c>
      <c r="AH32" s="54"/>
      <c r="AI32" s="55"/>
      <c r="AJ32" s="55">
        <v>1</v>
      </c>
      <c r="AK32" s="54"/>
      <c r="AL32" s="54"/>
      <c r="AM32" s="55">
        <v>1</v>
      </c>
      <c r="AN32" s="55">
        <v>1</v>
      </c>
      <c r="AO32" s="54"/>
      <c r="AP32" s="54"/>
      <c r="AQ32" s="54"/>
      <c r="AR32" s="54"/>
      <c r="AS32" s="54"/>
      <c r="AT32" s="54"/>
      <c r="AU32" s="54"/>
      <c r="AV32" s="54"/>
      <c r="AW32" s="54"/>
      <c r="AX32" s="54"/>
      <c r="AY32" s="54"/>
      <c r="AZ32" s="54"/>
      <c r="BA32" s="56">
        <v>1</v>
      </c>
      <c r="BB32" s="56">
        <v>1</v>
      </c>
      <c r="BC32" s="56">
        <v>0.25</v>
      </c>
      <c r="BD32" s="56">
        <v>0.25</v>
      </c>
      <c r="BE32" s="56">
        <v>0.25</v>
      </c>
      <c r="BF32" s="56">
        <v>0.25</v>
      </c>
      <c r="BG32" s="55">
        <v>1</v>
      </c>
      <c r="BH32" s="55">
        <v>1</v>
      </c>
      <c r="BI32" s="55">
        <v>0.25</v>
      </c>
      <c r="BJ32" s="55">
        <v>0.25</v>
      </c>
      <c r="BK32" s="55">
        <v>0.25</v>
      </c>
      <c r="BL32" s="55">
        <v>0.25</v>
      </c>
      <c r="BM32" s="54"/>
      <c r="BN32" s="54"/>
      <c r="BO32" s="54"/>
      <c r="BP32" s="54"/>
      <c r="BQ32" s="54"/>
      <c r="BR32" s="54"/>
      <c r="BS32" s="54"/>
      <c r="BT32" s="54"/>
      <c r="BU32" s="54"/>
      <c r="BV32" s="54"/>
      <c r="BW32" s="54"/>
      <c r="BX32" s="54"/>
      <c r="BY32" s="20">
        <f>1/1</f>
        <v>1</v>
      </c>
      <c r="BZ32" s="20">
        <f t="shared" ref="BZ32:BZ37" si="12">CA32+CB32+CC32+CD32</f>
        <v>0.75</v>
      </c>
      <c r="CA32" s="56">
        <v>0</v>
      </c>
      <c r="CB32" s="56">
        <v>0.25</v>
      </c>
      <c r="CC32" s="56">
        <v>0.25</v>
      </c>
      <c r="CD32" s="56">
        <v>0.25</v>
      </c>
      <c r="CE32" s="55">
        <v>1</v>
      </c>
      <c r="CF32" s="20">
        <f t="shared" si="11"/>
        <v>1</v>
      </c>
      <c r="CG32" s="55">
        <v>0.25</v>
      </c>
      <c r="CH32" s="55">
        <v>0.25</v>
      </c>
      <c r="CI32" s="55">
        <v>0.25</v>
      </c>
      <c r="CJ32" s="55">
        <v>0.25</v>
      </c>
      <c r="CK32" s="56">
        <f>(BY32+CE32)/2</f>
        <v>1</v>
      </c>
      <c r="CL32" s="21">
        <f>CK32</f>
        <v>1</v>
      </c>
      <c r="CM32" s="26">
        <v>0.5</v>
      </c>
    </row>
    <row r="33" spans="1:91" s="60" customFormat="1" ht="30" x14ac:dyDescent="0.25">
      <c r="A33" s="184" t="s">
        <v>219</v>
      </c>
      <c r="B33" s="139" t="s">
        <v>220</v>
      </c>
      <c r="C33" s="139" t="s">
        <v>221</v>
      </c>
      <c r="D33" s="188" t="s">
        <v>222</v>
      </c>
      <c r="E33" s="190" t="s">
        <v>67</v>
      </c>
      <c r="F33" s="193" t="s">
        <v>223</v>
      </c>
      <c r="G33" s="175">
        <v>0.33329999999999999</v>
      </c>
      <c r="H33" s="139" t="s">
        <v>69</v>
      </c>
      <c r="I33" s="139" t="s">
        <v>224</v>
      </c>
      <c r="J33" s="178" t="s">
        <v>71</v>
      </c>
      <c r="K33" s="81" t="s">
        <v>225</v>
      </c>
      <c r="L33" s="29" t="s">
        <v>117</v>
      </c>
      <c r="M33" s="158">
        <v>1</v>
      </c>
      <c r="N33" s="92" t="s">
        <v>226</v>
      </c>
      <c r="O33" s="93">
        <v>0.125</v>
      </c>
      <c r="P33" s="92" t="s">
        <v>227</v>
      </c>
      <c r="Q33" s="72" t="s">
        <v>76</v>
      </c>
      <c r="R33" s="72" t="s">
        <v>76</v>
      </c>
      <c r="S33" s="92" t="s">
        <v>228</v>
      </c>
      <c r="T33" s="50" t="s">
        <v>78</v>
      </c>
      <c r="U33" s="92" t="s">
        <v>229</v>
      </c>
      <c r="V33" s="81" t="s">
        <v>80</v>
      </c>
      <c r="W33" s="78" t="s">
        <v>230</v>
      </c>
      <c r="X33" s="50" t="s">
        <v>76</v>
      </c>
      <c r="Y33" s="50" t="s">
        <v>76</v>
      </c>
      <c r="Z33" s="50" t="s">
        <v>76</v>
      </c>
      <c r="AA33" s="67" t="s">
        <v>111</v>
      </c>
      <c r="AB33" s="20">
        <v>1</v>
      </c>
      <c r="AC33" s="20">
        <v>1</v>
      </c>
      <c r="AD33" s="20">
        <v>1</v>
      </c>
      <c r="AE33" s="20">
        <v>1</v>
      </c>
      <c r="AF33" s="20">
        <v>1</v>
      </c>
      <c r="AG33" s="20">
        <v>1</v>
      </c>
      <c r="AH33" s="20">
        <v>1</v>
      </c>
      <c r="AI33" s="20">
        <v>1</v>
      </c>
      <c r="AJ33" s="20">
        <v>1</v>
      </c>
      <c r="AK33" s="20">
        <v>1</v>
      </c>
      <c r="AL33" s="20">
        <v>1</v>
      </c>
      <c r="AM33" s="20">
        <v>1</v>
      </c>
      <c r="AN33" s="20">
        <v>1</v>
      </c>
      <c r="AO33" s="13">
        <f>((3+7+7.9)/(3+7+8))</f>
        <v>0.99444444444444435</v>
      </c>
      <c r="AP33" s="56">
        <v>0.75</v>
      </c>
      <c r="AQ33" s="56">
        <f>(25%+25%)</f>
        <v>0.5</v>
      </c>
      <c r="AR33" s="56">
        <f>(25%+25%)</f>
        <v>0.5</v>
      </c>
      <c r="AS33" s="56">
        <f>(0%+25%)</f>
        <v>0.25</v>
      </c>
      <c r="AT33" s="56">
        <f>(25%+25%)</f>
        <v>0.5</v>
      </c>
      <c r="AU33" s="13">
        <f>(6.78+40.55+26.02)/(7+45+27)</f>
        <v>0.9284810126582278</v>
      </c>
      <c r="AV33" s="56">
        <v>1</v>
      </c>
      <c r="AW33" s="56">
        <f>(25%+25%+25%)/3</f>
        <v>0.25</v>
      </c>
      <c r="AX33" s="56">
        <f t="shared" ref="AX33:AZ33" si="13">(25%+25%+25%)/3</f>
        <v>0.25</v>
      </c>
      <c r="AY33" s="56">
        <f t="shared" si="13"/>
        <v>0.25</v>
      </c>
      <c r="AZ33" s="56">
        <f t="shared" si="13"/>
        <v>0.25</v>
      </c>
      <c r="BA33" s="13">
        <f>(19.74+18.61+17.6)/(24+25+23)</f>
        <v>0.77708333333333324</v>
      </c>
      <c r="BB33" s="14">
        <v>1</v>
      </c>
      <c r="BC33" s="14">
        <f>(25%+25%+25%)/3</f>
        <v>0.25</v>
      </c>
      <c r="BD33" s="14">
        <f t="shared" ref="BD33:BF33" si="14">(25%+25%+25%)/3</f>
        <v>0.25</v>
      </c>
      <c r="BE33" s="14">
        <f t="shared" si="14"/>
        <v>0.25</v>
      </c>
      <c r="BF33" s="14">
        <f t="shared" si="14"/>
        <v>0.25</v>
      </c>
      <c r="BG33" s="13">
        <f>(18.09+14.46)/(21+16)</f>
        <v>0.87972972972972963</v>
      </c>
      <c r="BH33" s="14">
        <v>0.75</v>
      </c>
      <c r="BI33" s="14">
        <f>(25%+25%)/2</f>
        <v>0.25</v>
      </c>
      <c r="BJ33" s="14">
        <f>(25%+25%)/2</f>
        <v>0.25</v>
      </c>
      <c r="BK33" s="14">
        <f>(0%+25%)</f>
        <v>0.25</v>
      </c>
      <c r="BL33" s="14">
        <f>(25%+25%)/2</f>
        <v>0.25</v>
      </c>
      <c r="BM33" s="13">
        <f>((3+7+7.9)/(3+7+8))</f>
        <v>0.99444444444444435</v>
      </c>
      <c r="BN33" s="13">
        <f>(BO33+BP33+BQ33+BR33)</f>
        <v>0.66666666666666663</v>
      </c>
      <c r="BO33" s="14">
        <f>(25%+25%+25%)/3</f>
        <v>0.25</v>
      </c>
      <c r="BP33" s="14">
        <f>(25%+0%+0%)/3</f>
        <v>8.3333333333333329E-2</v>
      </c>
      <c r="BQ33" s="14">
        <f>(0%+25%+0%)/3</f>
        <v>8.3333333333333329E-2</v>
      </c>
      <c r="BR33" s="14">
        <f>(25%+25%+25%)/3</f>
        <v>0.25</v>
      </c>
      <c r="BS33" s="13">
        <f>(6.78+40.55+26.02)/(7+45+27)</f>
        <v>0.9284810126582278</v>
      </c>
      <c r="BT33" s="14">
        <f t="shared" ref="BT33:BT40" si="15">BU33+BV33+BW33+BX33</f>
        <v>1</v>
      </c>
      <c r="BU33" s="14">
        <f>(25%+25%+25%)/3</f>
        <v>0.25</v>
      </c>
      <c r="BV33" s="14">
        <f t="shared" ref="BV33:BX33" si="16">(25%+25%+25%)/3</f>
        <v>0.25</v>
      </c>
      <c r="BW33" s="14">
        <f t="shared" si="16"/>
        <v>0.25</v>
      </c>
      <c r="BX33" s="14">
        <f t="shared" si="16"/>
        <v>0.25</v>
      </c>
      <c r="BY33" s="13">
        <f>(19.74+18.61+17.6)/(24+25+23)</f>
        <v>0.77708333333333324</v>
      </c>
      <c r="BZ33" s="56">
        <f t="shared" si="12"/>
        <v>1</v>
      </c>
      <c r="CA33" s="14">
        <f t="shared" ref="CA33:CD33" si="17">(25%+25%+25%)/3</f>
        <v>0.25</v>
      </c>
      <c r="CB33" s="14">
        <f t="shared" si="17"/>
        <v>0.25</v>
      </c>
      <c r="CC33" s="14">
        <f t="shared" si="17"/>
        <v>0.25</v>
      </c>
      <c r="CD33" s="14">
        <f t="shared" si="17"/>
        <v>0.25</v>
      </c>
      <c r="CE33" s="13">
        <f>(18.09+14.46)/(21+16)</f>
        <v>0.87972972972972963</v>
      </c>
      <c r="CF33" s="56">
        <f t="shared" si="11"/>
        <v>1</v>
      </c>
      <c r="CG33" s="14">
        <f>(25%+25%)/2</f>
        <v>0.25</v>
      </c>
      <c r="CH33" s="14">
        <f>(25%+25%)/2</f>
        <v>0.25</v>
      </c>
      <c r="CI33" s="14">
        <f>(0%+25%)</f>
        <v>0.25</v>
      </c>
      <c r="CJ33" s="14">
        <f>(25%+25%)/2</f>
        <v>0.25</v>
      </c>
      <c r="CK33" s="59">
        <f>(BM33+BS33+BY33+CE33)/4</f>
        <v>0.89493463004143381</v>
      </c>
      <c r="CL33" s="59">
        <f>CK33/4</f>
        <v>0.22373365751035845</v>
      </c>
      <c r="CM33" s="17">
        <v>0.11204581568118752</v>
      </c>
    </row>
    <row r="34" spans="1:91" s="60" customFormat="1" ht="45" x14ac:dyDescent="0.25">
      <c r="A34" s="185"/>
      <c r="B34" s="153"/>
      <c r="C34" s="153"/>
      <c r="D34" s="189"/>
      <c r="E34" s="191"/>
      <c r="F34" s="194"/>
      <c r="G34" s="175"/>
      <c r="H34" s="153"/>
      <c r="I34" s="153"/>
      <c r="J34" s="178"/>
      <c r="K34" s="50" t="s">
        <v>231</v>
      </c>
      <c r="L34" s="50" t="s">
        <v>73</v>
      </c>
      <c r="M34" s="158"/>
      <c r="N34" s="77" t="s">
        <v>232</v>
      </c>
      <c r="O34" s="93">
        <v>0.125</v>
      </c>
      <c r="P34" s="77" t="s">
        <v>233</v>
      </c>
      <c r="Q34" s="50" t="s">
        <v>76</v>
      </c>
      <c r="R34" s="50" t="s">
        <v>76</v>
      </c>
      <c r="S34" s="77" t="s">
        <v>234</v>
      </c>
      <c r="T34" s="50" t="s">
        <v>86</v>
      </c>
      <c r="U34" s="77" t="s">
        <v>235</v>
      </c>
      <c r="V34" s="50" t="s">
        <v>236</v>
      </c>
      <c r="W34" s="63" t="s">
        <v>110</v>
      </c>
      <c r="X34" s="50" t="s">
        <v>76</v>
      </c>
      <c r="Y34" s="50" t="s">
        <v>76</v>
      </c>
      <c r="Z34" s="50" t="s">
        <v>76</v>
      </c>
      <c r="AA34" s="54" t="s">
        <v>111</v>
      </c>
      <c r="AB34" s="64">
        <v>65</v>
      </c>
      <c r="AC34" s="64">
        <v>65</v>
      </c>
      <c r="AD34" s="64">
        <v>65</v>
      </c>
      <c r="AE34" s="64">
        <v>65</v>
      </c>
      <c r="AF34" s="64">
        <v>65</v>
      </c>
      <c r="AG34" s="64">
        <v>65</v>
      </c>
      <c r="AH34" s="64">
        <v>65</v>
      </c>
      <c r="AI34" s="64">
        <v>65</v>
      </c>
      <c r="AJ34" s="64">
        <v>65</v>
      </c>
      <c r="AK34" s="64">
        <v>65</v>
      </c>
      <c r="AL34" s="64">
        <v>65</v>
      </c>
      <c r="AM34" s="64">
        <v>65</v>
      </c>
      <c r="AN34" s="64">
        <v>65</v>
      </c>
      <c r="AO34" s="94">
        <f>((40733+43249+49513)/(529+661+739))</f>
        <v>69.204250907205804</v>
      </c>
      <c r="AP34" s="14">
        <v>1</v>
      </c>
      <c r="AQ34" s="14">
        <v>0.25</v>
      </c>
      <c r="AR34" s="14">
        <v>0.25</v>
      </c>
      <c r="AS34" s="14">
        <v>0.25</v>
      </c>
      <c r="AT34" s="14">
        <v>0.25</v>
      </c>
      <c r="AU34" s="94">
        <f>(54428.36+52930+56259)/(812+790+893)</f>
        <v>65.578100200400797</v>
      </c>
      <c r="AV34" s="56">
        <v>1</v>
      </c>
      <c r="AW34" s="56">
        <v>0.25</v>
      </c>
      <c r="AX34" s="56">
        <v>0.25</v>
      </c>
      <c r="AY34" s="56">
        <v>0.25</v>
      </c>
      <c r="AZ34" s="56">
        <v>0.25</v>
      </c>
      <c r="BA34" s="30">
        <f>(66.81+65.58+61.53)/3</f>
        <v>64.64</v>
      </c>
      <c r="BB34" s="14">
        <v>1</v>
      </c>
      <c r="BC34" s="14">
        <f t="shared" ref="BC34:BF35" si="18">(25%+25%+25%)/3</f>
        <v>0.25</v>
      </c>
      <c r="BD34" s="14">
        <f t="shared" si="18"/>
        <v>0.25</v>
      </c>
      <c r="BE34" s="14">
        <f t="shared" si="18"/>
        <v>0.25</v>
      </c>
      <c r="BF34" s="14">
        <f t="shared" si="18"/>
        <v>0.25</v>
      </c>
      <c r="BG34" s="94">
        <f>(57563+59984+79835.9)/(782+920+1135)</f>
        <v>69.574515333098347</v>
      </c>
      <c r="BH34" s="14">
        <v>1</v>
      </c>
      <c r="BI34" s="14">
        <f>(25%+25%+25%)/3</f>
        <v>0.25</v>
      </c>
      <c r="BJ34" s="14">
        <f t="shared" ref="BJ34:BL35" si="19">(25%+25%+25%)/3</f>
        <v>0.25</v>
      </c>
      <c r="BK34" s="14">
        <f t="shared" si="19"/>
        <v>0.25</v>
      </c>
      <c r="BL34" s="14">
        <f t="shared" si="19"/>
        <v>0.25</v>
      </c>
      <c r="BM34" s="94">
        <f>((40733+43249+49513)/(529+661+739))</f>
        <v>69.204250907205804</v>
      </c>
      <c r="BN34" s="56">
        <f>BO34+BP34+BQ34+BR34</f>
        <v>1</v>
      </c>
      <c r="BO34" s="56">
        <f>(25%+25%+25%)/3</f>
        <v>0.25</v>
      </c>
      <c r="BP34" s="56">
        <f>(25%+25%+25%)/3</f>
        <v>0.25</v>
      </c>
      <c r="BQ34" s="56">
        <f>(25%+25%+25%)/3</f>
        <v>0.25</v>
      </c>
      <c r="BR34" s="56">
        <f>(25%+25%+25%)/3</f>
        <v>0.25</v>
      </c>
      <c r="BS34" s="94">
        <f>(54428.36+52930+56259)/(812+790+893)</f>
        <v>65.578100200400797</v>
      </c>
      <c r="BT34" s="56">
        <f t="shared" si="15"/>
        <v>1</v>
      </c>
      <c r="BU34" s="56">
        <f>(25%+25%+25%)/3</f>
        <v>0.25</v>
      </c>
      <c r="BV34" s="56">
        <f>(25%+25%+25%)/3</f>
        <v>0.25</v>
      </c>
      <c r="BW34" s="56">
        <f>(25%+25%+25%)/3</f>
        <v>0.25</v>
      </c>
      <c r="BX34" s="56">
        <f>(25%+25%+25%)/3</f>
        <v>0.25</v>
      </c>
      <c r="BY34" s="94">
        <f>(47636+46759+37902.48)/(713+713+616)</f>
        <v>64.788188050930472</v>
      </c>
      <c r="BZ34" s="14">
        <f t="shared" si="12"/>
        <v>1</v>
      </c>
      <c r="CA34" s="56">
        <f>(25%+25%+25%)/3</f>
        <v>0.25</v>
      </c>
      <c r="CB34" s="56">
        <f>(25%+25%+25%)/3</f>
        <v>0.25</v>
      </c>
      <c r="CC34" s="56">
        <f>(25%+25%+25%)/3</f>
        <v>0.25</v>
      </c>
      <c r="CD34" s="56">
        <f>(25%+25%+25%)/3</f>
        <v>0.25</v>
      </c>
      <c r="CE34" s="94">
        <f>(57563+59984+79835.9)/(782+920+1135)</f>
        <v>69.574515333098347</v>
      </c>
      <c r="CF34" s="14">
        <f t="shared" si="11"/>
        <v>1</v>
      </c>
      <c r="CG34" s="14">
        <f t="shared" ref="CG34:CJ35" si="20">(25%+25%+25%)/3</f>
        <v>0.25</v>
      </c>
      <c r="CH34" s="14">
        <f t="shared" si="20"/>
        <v>0.25</v>
      </c>
      <c r="CI34" s="14">
        <f t="shared" si="20"/>
        <v>0.25</v>
      </c>
      <c r="CJ34" s="14">
        <f t="shared" si="20"/>
        <v>0.25</v>
      </c>
      <c r="CK34" s="59">
        <v>0.99219999999999997</v>
      </c>
      <c r="CL34" s="59">
        <v>0.99219999999999997</v>
      </c>
      <c r="CM34" s="17">
        <v>0.12422344</v>
      </c>
    </row>
    <row r="35" spans="1:91" s="60" customFormat="1" ht="45" x14ac:dyDescent="0.25">
      <c r="A35" s="185"/>
      <c r="B35" s="153"/>
      <c r="C35" s="153"/>
      <c r="D35" s="189"/>
      <c r="E35" s="191"/>
      <c r="F35" s="194"/>
      <c r="G35" s="175"/>
      <c r="H35" s="153"/>
      <c r="I35" s="153"/>
      <c r="J35" s="178"/>
      <c r="K35" s="50" t="s">
        <v>237</v>
      </c>
      <c r="L35" s="50" t="s">
        <v>73</v>
      </c>
      <c r="M35" s="158"/>
      <c r="N35" s="77" t="s">
        <v>238</v>
      </c>
      <c r="O35" s="93">
        <v>0.125</v>
      </c>
      <c r="P35" s="77" t="s">
        <v>239</v>
      </c>
      <c r="Q35" s="50" t="s">
        <v>76</v>
      </c>
      <c r="R35" s="50" t="s">
        <v>76</v>
      </c>
      <c r="S35" s="77" t="s">
        <v>240</v>
      </c>
      <c r="T35" s="63" t="s">
        <v>86</v>
      </c>
      <c r="U35" s="77" t="s">
        <v>241</v>
      </c>
      <c r="V35" s="50" t="s">
        <v>236</v>
      </c>
      <c r="W35" s="50" t="s">
        <v>122</v>
      </c>
      <c r="X35" s="50" t="s">
        <v>76</v>
      </c>
      <c r="Y35" s="50" t="s">
        <v>76</v>
      </c>
      <c r="Z35" s="50" t="s">
        <v>76</v>
      </c>
      <c r="AA35" s="54" t="s">
        <v>111</v>
      </c>
      <c r="AB35" s="31">
        <v>65</v>
      </c>
      <c r="AC35" s="31">
        <v>65</v>
      </c>
      <c r="AD35" s="31">
        <v>65</v>
      </c>
      <c r="AE35" s="31">
        <v>65</v>
      </c>
      <c r="AF35" s="31">
        <v>65</v>
      </c>
      <c r="AG35" s="31">
        <v>65</v>
      </c>
      <c r="AH35" s="31">
        <v>65</v>
      </c>
      <c r="AI35" s="31">
        <v>65</v>
      </c>
      <c r="AJ35" s="31">
        <v>65</v>
      </c>
      <c r="AK35" s="31">
        <v>65</v>
      </c>
      <c r="AL35" s="31">
        <v>65</v>
      </c>
      <c r="AM35" s="31">
        <v>65</v>
      </c>
      <c r="AN35" s="31">
        <v>65</v>
      </c>
      <c r="AO35" s="95">
        <f>(316.22+418.03+295)/3</f>
        <v>343.08333333333331</v>
      </c>
      <c r="AP35" s="56">
        <f>(AQ35+AR35+AS35+AT35)/3</f>
        <v>1</v>
      </c>
      <c r="AQ35" s="56">
        <f>(25%+25%+25%)</f>
        <v>0.75</v>
      </c>
      <c r="AR35" s="56">
        <f t="shared" ref="AR35:AT35" si="21">(25%+25%+25%)</f>
        <v>0.75</v>
      </c>
      <c r="AS35" s="56">
        <f t="shared" si="21"/>
        <v>0.75</v>
      </c>
      <c r="AT35" s="56">
        <f t="shared" si="21"/>
        <v>0.75</v>
      </c>
      <c r="AU35" s="94">
        <f>(29703+22183+18441)/(93+84+104)</f>
        <v>250.27402135231316</v>
      </c>
      <c r="AV35" s="56">
        <v>1</v>
      </c>
      <c r="AW35" s="56">
        <v>0.25</v>
      </c>
      <c r="AX35" s="56">
        <v>0.25</v>
      </c>
      <c r="AY35" s="56">
        <v>0.25</v>
      </c>
      <c r="AZ35" s="56">
        <v>0.25</v>
      </c>
      <c r="BA35" s="110">
        <f>(173+218.88+164.15)/3</f>
        <v>185.34333333333333</v>
      </c>
      <c r="BB35" s="14">
        <v>1</v>
      </c>
      <c r="BC35" s="14">
        <f>(25%+25%+25%)/3</f>
        <v>0.25</v>
      </c>
      <c r="BD35" s="14">
        <f t="shared" si="18"/>
        <v>0.25</v>
      </c>
      <c r="BE35" s="14">
        <f t="shared" si="18"/>
        <v>0.25</v>
      </c>
      <c r="BF35" s="14">
        <f t="shared" si="18"/>
        <v>0.25</v>
      </c>
      <c r="BG35" s="94">
        <f>(25888+31977+2484)/(97+89+38)</f>
        <v>269.41517857142856</v>
      </c>
      <c r="BH35" s="14">
        <v>1</v>
      </c>
      <c r="BI35" s="14">
        <f>(25%+25%+25%)/3</f>
        <v>0.25</v>
      </c>
      <c r="BJ35" s="14">
        <f t="shared" si="19"/>
        <v>0.25</v>
      </c>
      <c r="BK35" s="14">
        <f t="shared" si="19"/>
        <v>0.25</v>
      </c>
      <c r="BL35" s="14">
        <f t="shared" si="19"/>
        <v>0.25</v>
      </c>
      <c r="BM35" s="94">
        <f>((6957+13377+30109)/(22+32+102))</f>
        <v>323.35256410256409</v>
      </c>
      <c r="BN35" s="56">
        <f>(BO35+BP35+BQ35+BR35)/3</f>
        <v>1</v>
      </c>
      <c r="BO35" s="56">
        <f>(25%+25%+25%)</f>
        <v>0.75</v>
      </c>
      <c r="BP35" s="56">
        <f t="shared" ref="BP35:BR35" si="22">(25%+25%+25%)</f>
        <v>0.75</v>
      </c>
      <c r="BQ35" s="56">
        <f t="shared" si="22"/>
        <v>0.75</v>
      </c>
      <c r="BR35" s="56">
        <f t="shared" si="22"/>
        <v>0.75</v>
      </c>
      <c r="BS35" s="94">
        <f>(29703+22183+18441)/(93+84+104)</f>
        <v>250.27402135231316</v>
      </c>
      <c r="BT35" s="56">
        <f t="shared" si="15"/>
        <v>1</v>
      </c>
      <c r="BU35" s="56">
        <f t="shared" ref="BU35:BX35" si="23">(25%+25%+25%)/3</f>
        <v>0.25</v>
      </c>
      <c r="BV35" s="56">
        <f t="shared" si="23"/>
        <v>0.25</v>
      </c>
      <c r="BW35" s="56">
        <f t="shared" si="23"/>
        <v>0.25</v>
      </c>
      <c r="BX35" s="56">
        <f t="shared" si="23"/>
        <v>0.25</v>
      </c>
      <c r="BY35" s="94">
        <f>(12827+20575+7223)/(74+94+44)</f>
        <v>191.62735849056602</v>
      </c>
      <c r="BZ35" s="14">
        <f t="shared" si="12"/>
        <v>1</v>
      </c>
      <c r="CA35" s="56">
        <f t="shared" ref="CA35:CD35" si="24">(25%+25%+25%)/3</f>
        <v>0.25</v>
      </c>
      <c r="CB35" s="56">
        <f t="shared" si="24"/>
        <v>0.25</v>
      </c>
      <c r="CC35" s="56">
        <f t="shared" si="24"/>
        <v>0.25</v>
      </c>
      <c r="CD35" s="56">
        <f t="shared" si="24"/>
        <v>0.25</v>
      </c>
      <c r="CE35" s="94">
        <f>(25888+31977+2484)/(97+89+38)</f>
        <v>269.41517857142856</v>
      </c>
      <c r="CF35" s="14">
        <f t="shared" si="11"/>
        <v>1</v>
      </c>
      <c r="CG35" s="14">
        <f t="shared" si="20"/>
        <v>0.25</v>
      </c>
      <c r="CH35" s="14">
        <f t="shared" si="20"/>
        <v>0.25</v>
      </c>
      <c r="CI35" s="14">
        <f t="shared" si="20"/>
        <v>0.25</v>
      </c>
      <c r="CJ35" s="14">
        <f t="shared" si="20"/>
        <v>0.25</v>
      </c>
      <c r="CK35" s="56">
        <v>0</v>
      </c>
      <c r="CL35" s="56">
        <f t="shared" ref="CL35" si="25">CK35</f>
        <v>0</v>
      </c>
      <c r="CM35" s="19">
        <v>0</v>
      </c>
    </row>
    <row r="36" spans="1:91" s="60" customFormat="1" ht="90" x14ac:dyDescent="0.25">
      <c r="A36" s="185"/>
      <c r="B36" s="153"/>
      <c r="C36" s="153"/>
      <c r="D36" s="189"/>
      <c r="E36" s="191"/>
      <c r="F36" s="194"/>
      <c r="G36" s="175"/>
      <c r="H36" s="153"/>
      <c r="I36" s="153"/>
      <c r="J36" s="178"/>
      <c r="K36" s="50" t="s">
        <v>242</v>
      </c>
      <c r="L36" s="50" t="s">
        <v>73</v>
      </c>
      <c r="M36" s="158"/>
      <c r="N36" s="77" t="s">
        <v>243</v>
      </c>
      <c r="O36" s="93">
        <v>0.125</v>
      </c>
      <c r="P36" s="77" t="s">
        <v>244</v>
      </c>
      <c r="Q36" s="96" t="s">
        <v>76</v>
      </c>
      <c r="R36" s="50" t="s">
        <v>245</v>
      </c>
      <c r="S36" s="77" t="s">
        <v>246</v>
      </c>
      <c r="T36" s="50" t="s">
        <v>78</v>
      </c>
      <c r="U36" s="77" t="s">
        <v>247</v>
      </c>
      <c r="V36" s="50" t="s">
        <v>236</v>
      </c>
      <c r="W36" s="50" t="s">
        <v>248</v>
      </c>
      <c r="X36" s="50" t="s">
        <v>76</v>
      </c>
      <c r="Y36" s="96" t="s">
        <v>76</v>
      </c>
      <c r="Z36" s="96" t="s">
        <v>76</v>
      </c>
      <c r="AA36" s="54" t="s">
        <v>82</v>
      </c>
      <c r="AB36" s="31"/>
      <c r="AC36" s="31"/>
      <c r="AD36" s="20">
        <v>1</v>
      </c>
      <c r="AE36" s="31"/>
      <c r="AF36" s="31"/>
      <c r="AG36" s="20">
        <v>1</v>
      </c>
      <c r="AH36" s="31"/>
      <c r="AI36" s="31"/>
      <c r="AJ36" s="20">
        <v>1</v>
      </c>
      <c r="AK36" s="31"/>
      <c r="AL36" s="31"/>
      <c r="AM36" s="20">
        <v>1</v>
      </c>
      <c r="AN36" s="20">
        <v>1</v>
      </c>
      <c r="AO36" s="13">
        <f>22/33</f>
        <v>0.66666666666666663</v>
      </c>
      <c r="AP36" s="14">
        <v>1</v>
      </c>
      <c r="AQ36" s="14">
        <v>0.25</v>
      </c>
      <c r="AR36" s="14">
        <v>0.25</v>
      </c>
      <c r="AS36" s="14">
        <v>0.25</v>
      </c>
      <c r="AT36" s="14">
        <v>0.25</v>
      </c>
      <c r="AU36" s="13">
        <f>14/16</f>
        <v>0.875</v>
      </c>
      <c r="AV36" s="56">
        <v>1</v>
      </c>
      <c r="AW36" s="56">
        <v>0.25</v>
      </c>
      <c r="AX36" s="56">
        <v>0.25</v>
      </c>
      <c r="AY36" s="56">
        <v>0.25</v>
      </c>
      <c r="AZ36" s="56">
        <v>0.25</v>
      </c>
      <c r="BA36" s="59">
        <v>0.79169999999999996</v>
      </c>
      <c r="BB36" s="14">
        <v>1</v>
      </c>
      <c r="BC36" s="56">
        <v>0.25</v>
      </c>
      <c r="BD36" s="56">
        <v>0.25</v>
      </c>
      <c r="BE36" s="56">
        <v>0.25</v>
      </c>
      <c r="BF36" s="56">
        <v>0.25</v>
      </c>
      <c r="BG36" s="13">
        <f>19/23</f>
        <v>0.82608695652173914</v>
      </c>
      <c r="BH36" s="14">
        <v>1</v>
      </c>
      <c r="BI36" s="14">
        <v>0.25</v>
      </c>
      <c r="BJ36" s="14">
        <v>0.25</v>
      </c>
      <c r="BK36" s="14">
        <v>0.25</v>
      </c>
      <c r="BL36" s="14">
        <v>0.25</v>
      </c>
      <c r="BM36" s="59">
        <f>22/33</f>
        <v>0.66666666666666663</v>
      </c>
      <c r="BN36" s="14">
        <f>BO36+BP36+BQ36+BR36</f>
        <v>1</v>
      </c>
      <c r="BO36" s="56">
        <v>0.25</v>
      </c>
      <c r="BP36" s="56">
        <v>0.25</v>
      </c>
      <c r="BQ36" s="56">
        <v>0.25</v>
      </c>
      <c r="BR36" s="56">
        <v>0.25</v>
      </c>
      <c r="BS36" s="13">
        <f>14/16</f>
        <v>0.875</v>
      </c>
      <c r="BT36" s="14">
        <f t="shared" si="15"/>
        <v>1</v>
      </c>
      <c r="BU36" s="56">
        <v>0.25</v>
      </c>
      <c r="BV36" s="56">
        <v>0.25</v>
      </c>
      <c r="BW36" s="56">
        <v>0.25</v>
      </c>
      <c r="BX36" s="56">
        <v>0.25</v>
      </c>
      <c r="BY36" s="13">
        <f>19/24</f>
        <v>0.79166666666666663</v>
      </c>
      <c r="BZ36" s="14">
        <f t="shared" si="12"/>
        <v>1</v>
      </c>
      <c r="CA36" s="55">
        <v>0.25</v>
      </c>
      <c r="CB36" s="55">
        <v>0.25</v>
      </c>
      <c r="CC36" s="55">
        <v>0.25</v>
      </c>
      <c r="CD36" s="55">
        <v>0.25</v>
      </c>
      <c r="CE36" s="13">
        <f>19/23</f>
        <v>0.82608695652173914</v>
      </c>
      <c r="CF36" s="14">
        <f t="shared" si="11"/>
        <v>1</v>
      </c>
      <c r="CG36" s="14">
        <v>0.25</v>
      </c>
      <c r="CH36" s="14">
        <v>0.25</v>
      </c>
      <c r="CI36" s="14">
        <v>0.25</v>
      </c>
      <c r="CJ36" s="14">
        <v>0.25</v>
      </c>
      <c r="CK36" s="59">
        <f>(BM36+BS36+BY36+CE36)/4</f>
        <v>0.78985507246376807</v>
      </c>
      <c r="CL36" s="59">
        <f>CK36/3</f>
        <v>0.26328502415458938</v>
      </c>
      <c r="CM36" s="17">
        <v>9.888985507246377E-2</v>
      </c>
    </row>
    <row r="37" spans="1:91" s="60" customFormat="1" ht="120" x14ac:dyDescent="0.25">
      <c r="A37" s="185"/>
      <c r="B37" s="153"/>
      <c r="C37" s="153"/>
      <c r="D37" s="189"/>
      <c r="E37" s="191"/>
      <c r="F37" s="194"/>
      <c r="G37" s="175"/>
      <c r="H37" s="153"/>
      <c r="I37" s="153"/>
      <c r="J37" s="178"/>
      <c r="K37" s="50" t="s">
        <v>242</v>
      </c>
      <c r="L37" s="50" t="s">
        <v>73</v>
      </c>
      <c r="M37" s="158"/>
      <c r="N37" s="77" t="s">
        <v>249</v>
      </c>
      <c r="O37" s="93">
        <v>0.125</v>
      </c>
      <c r="P37" s="51" t="s">
        <v>250</v>
      </c>
      <c r="Q37" s="96" t="s">
        <v>76</v>
      </c>
      <c r="R37" s="50" t="s">
        <v>251</v>
      </c>
      <c r="S37" s="51" t="s">
        <v>252</v>
      </c>
      <c r="T37" s="50" t="s">
        <v>78</v>
      </c>
      <c r="U37" s="51" t="s">
        <v>253</v>
      </c>
      <c r="V37" s="50" t="s">
        <v>236</v>
      </c>
      <c r="W37" s="50" t="s">
        <v>248</v>
      </c>
      <c r="X37" s="50" t="s">
        <v>76</v>
      </c>
      <c r="Y37" s="96" t="s">
        <v>76</v>
      </c>
      <c r="Z37" s="96" t="s">
        <v>76</v>
      </c>
      <c r="AA37" s="54" t="s">
        <v>82</v>
      </c>
      <c r="AB37" s="31"/>
      <c r="AC37" s="31"/>
      <c r="AD37" s="20">
        <v>1</v>
      </c>
      <c r="AE37" s="31"/>
      <c r="AF37" s="31"/>
      <c r="AG37" s="20">
        <v>1</v>
      </c>
      <c r="AH37" s="31"/>
      <c r="AI37" s="31"/>
      <c r="AJ37" s="20">
        <v>1</v>
      </c>
      <c r="AK37" s="31"/>
      <c r="AL37" s="31"/>
      <c r="AM37" s="20">
        <v>1</v>
      </c>
      <c r="AN37" s="20">
        <v>1</v>
      </c>
      <c r="AO37" s="56">
        <v>1</v>
      </c>
      <c r="AP37" s="14">
        <v>1</v>
      </c>
      <c r="AQ37" s="14">
        <v>0.25</v>
      </c>
      <c r="AR37" s="14">
        <v>0.25</v>
      </c>
      <c r="AS37" s="14">
        <v>0.25</v>
      </c>
      <c r="AT37" s="14">
        <v>0.25</v>
      </c>
      <c r="AU37" s="56">
        <v>1</v>
      </c>
      <c r="AV37" s="56">
        <v>1</v>
      </c>
      <c r="AW37" s="56">
        <v>0.25</v>
      </c>
      <c r="AX37" s="56">
        <v>0.25</v>
      </c>
      <c r="AY37" s="56">
        <v>0.25</v>
      </c>
      <c r="AZ37" s="56">
        <v>0.25</v>
      </c>
      <c r="BA37" s="14">
        <v>1</v>
      </c>
      <c r="BB37" s="14">
        <v>1</v>
      </c>
      <c r="BC37" s="56">
        <v>0.25</v>
      </c>
      <c r="BD37" s="56">
        <v>0.25</v>
      </c>
      <c r="BE37" s="56">
        <v>0.25</v>
      </c>
      <c r="BF37" s="56">
        <v>0.25</v>
      </c>
      <c r="BG37" s="14">
        <f>0/3</f>
        <v>0</v>
      </c>
      <c r="BH37" s="14">
        <v>1</v>
      </c>
      <c r="BI37" s="14">
        <v>0.25</v>
      </c>
      <c r="BJ37" s="14">
        <v>0.25</v>
      </c>
      <c r="BK37" s="14">
        <v>0.25</v>
      </c>
      <c r="BL37" s="14">
        <v>0.25</v>
      </c>
      <c r="BM37" s="56">
        <f>AO37</f>
        <v>1</v>
      </c>
      <c r="BN37" s="14">
        <f>BO37+BP37+BQ37+BR37</f>
        <v>1</v>
      </c>
      <c r="BO37" s="56">
        <v>0.25</v>
      </c>
      <c r="BP37" s="56">
        <v>0.25</v>
      </c>
      <c r="BQ37" s="56">
        <v>0.25</v>
      </c>
      <c r="BR37" s="56">
        <v>0.25</v>
      </c>
      <c r="BS37" s="14">
        <f>100%</f>
        <v>1</v>
      </c>
      <c r="BT37" s="14">
        <f t="shared" si="15"/>
        <v>1</v>
      </c>
      <c r="BU37" s="56">
        <v>0.25</v>
      </c>
      <c r="BV37" s="56">
        <v>0.25</v>
      </c>
      <c r="BW37" s="56">
        <v>0.25</v>
      </c>
      <c r="BX37" s="56">
        <v>0.25</v>
      </c>
      <c r="BY37" s="56">
        <v>1</v>
      </c>
      <c r="BZ37" s="14">
        <f t="shared" si="12"/>
        <v>1</v>
      </c>
      <c r="CA37" s="55">
        <v>0.25</v>
      </c>
      <c r="CB37" s="55">
        <v>0.25</v>
      </c>
      <c r="CC37" s="55">
        <v>0.25</v>
      </c>
      <c r="CD37" s="55">
        <v>0.25</v>
      </c>
      <c r="CE37" s="14">
        <f>0/3</f>
        <v>0</v>
      </c>
      <c r="CF37" s="14">
        <f t="shared" si="11"/>
        <v>1</v>
      </c>
      <c r="CG37" s="14">
        <v>0.25</v>
      </c>
      <c r="CH37" s="14">
        <v>0.25</v>
      </c>
      <c r="CI37" s="14">
        <v>0.25</v>
      </c>
      <c r="CJ37" s="14">
        <v>0.25</v>
      </c>
      <c r="CK37" s="56">
        <f>(BM37+BS37+BY37+CE37)/4</f>
        <v>0.75</v>
      </c>
      <c r="CL37" s="56">
        <v>0.75</v>
      </c>
      <c r="CM37" s="17">
        <v>9.3900000000000011E-2</v>
      </c>
    </row>
    <row r="38" spans="1:91" s="60" customFormat="1" ht="120" x14ac:dyDescent="0.25">
      <c r="A38" s="185"/>
      <c r="B38" s="153"/>
      <c r="C38" s="153"/>
      <c r="D38" s="189"/>
      <c r="E38" s="191"/>
      <c r="F38" s="194"/>
      <c r="G38" s="175"/>
      <c r="H38" s="153"/>
      <c r="I38" s="153"/>
      <c r="J38" s="178"/>
      <c r="K38" s="50" t="s">
        <v>242</v>
      </c>
      <c r="L38" s="50" t="s">
        <v>73</v>
      </c>
      <c r="M38" s="158"/>
      <c r="N38" s="77" t="s">
        <v>254</v>
      </c>
      <c r="O38" s="93">
        <v>0.125</v>
      </c>
      <c r="P38" s="51" t="s">
        <v>250</v>
      </c>
      <c r="Q38" s="96" t="s">
        <v>76</v>
      </c>
      <c r="R38" s="50" t="s">
        <v>251</v>
      </c>
      <c r="S38" s="51" t="s">
        <v>255</v>
      </c>
      <c r="T38" s="50" t="s">
        <v>78</v>
      </c>
      <c r="U38" s="51" t="s">
        <v>256</v>
      </c>
      <c r="V38" s="50" t="s">
        <v>236</v>
      </c>
      <c r="W38" s="50" t="s">
        <v>248</v>
      </c>
      <c r="X38" s="50" t="s">
        <v>76</v>
      </c>
      <c r="Y38" s="96" t="s">
        <v>76</v>
      </c>
      <c r="Z38" s="96" t="s">
        <v>76</v>
      </c>
      <c r="AA38" s="54" t="s">
        <v>88</v>
      </c>
      <c r="AB38" s="54"/>
      <c r="AC38" s="54"/>
      <c r="AD38" s="55"/>
      <c r="AE38" s="54"/>
      <c r="AF38" s="54"/>
      <c r="AG38" s="55">
        <v>1</v>
      </c>
      <c r="AH38" s="54"/>
      <c r="AI38" s="54"/>
      <c r="AJ38" s="55"/>
      <c r="AK38" s="54"/>
      <c r="AL38" s="54"/>
      <c r="AM38" s="55">
        <v>1</v>
      </c>
      <c r="AN38" s="55">
        <v>1</v>
      </c>
      <c r="AO38" s="67"/>
      <c r="AP38" s="67"/>
      <c r="AQ38" s="67"/>
      <c r="AR38" s="67"/>
      <c r="AS38" s="67"/>
      <c r="AT38" s="67"/>
      <c r="AU38" s="13">
        <v>0.73780487804878048</v>
      </c>
      <c r="AV38" s="56">
        <v>1</v>
      </c>
      <c r="AW38" s="56">
        <v>0.25</v>
      </c>
      <c r="AX38" s="56">
        <v>0.25</v>
      </c>
      <c r="AY38" s="56">
        <v>0.25</v>
      </c>
      <c r="AZ38" s="56">
        <v>0.25</v>
      </c>
      <c r="BA38" s="67"/>
      <c r="BB38" s="67"/>
      <c r="BC38" s="67"/>
      <c r="BD38" s="67"/>
      <c r="BE38" s="67"/>
      <c r="BF38" s="67"/>
      <c r="BG38" s="13">
        <v>0.72511848341232232</v>
      </c>
      <c r="BH38" s="14">
        <v>1</v>
      </c>
      <c r="BI38" s="56">
        <v>0.25</v>
      </c>
      <c r="BJ38" s="56">
        <v>0.25</v>
      </c>
      <c r="BK38" s="56">
        <v>0.25</v>
      </c>
      <c r="BL38" s="56">
        <v>0.25</v>
      </c>
      <c r="BM38" s="67"/>
      <c r="BN38" s="67"/>
      <c r="BO38" s="67"/>
      <c r="BP38" s="67"/>
      <c r="BQ38" s="67"/>
      <c r="BR38" s="67"/>
      <c r="BS38" s="13">
        <f>121/164</f>
        <v>0.73780487804878048</v>
      </c>
      <c r="BT38" s="14">
        <f t="shared" si="15"/>
        <v>1</v>
      </c>
      <c r="BU38" s="56">
        <v>0.25</v>
      </c>
      <c r="BV38" s="56">
        <v>0.25</v>
      </c>
      <c r="BW38" s="56">
        <v>0.25</v>
      </c>
      <c r="BX38" s="56">
        <v>0.25</v>
      </c>
      <c r="BY38" s="67"/>
      <c r="BZ38" s="67"/>
      <c r="CA38" s="67"/>
      <c r="CB38" s="67"/>
      <c r="CC38" s="67"/>
      <c r="CD38" s="67"/>
      <c r="CE38" s="13">
        <f>153/211</f>
        <v>0.72511848341232232</v>
      </c>
      <c r="CF38" s="14">
        <f t="shared" si="11"/>
        <v>1</v>
      </c>
      <c r="CG38" s="56">
        <v>0.25</v>
      </c>
      <c r="CH38" s="56">
        <v>0.25</v>
      </c>
      <c r="CI38" s="56">
        <v>0.25</v>
      </c>
      <c r="CJ38" s="56">
        <v>0.25</v>
      </c>
      <c r="CK38" s="59">
        <f>(BS38+CE38)/2</f>
        <v>0.7314616807305514</v>
      </c>
      <c r="CL38" s="59">
        <f>CK38</f>
        <v>0.7314616807305514</v>
      </c>
      <c r="CM38" s="17">
        <v>9.1579002427465042E-2</v>
      </c>
    </row>
    <row r="39" spans="1:91" s="60" customFormat="1" ht="105" x14ac:dyDescent="0.25">
      <c r="A39" s="185"/>
      <c r="B39" s="153"/>
      <c r="C39" s="153"/>
      <c r="D39" s="189"/>
      <c r="E39" s="191"/>
      <c r="F39" s="194"/>
      <c r="G39" s="175"/>
      <c r="H39" s="153"/>
      <c r="I39" s="153"/>
      <c r="J39" s="178"/>
      <c r="K39" s="50" t="s">
        <v>242</v>
      </c>
      <c r="L39" s="50" t="s">
        <v>73</v>
      </c>
      <c r="M39" s="158"/>
      <c r="N39" s="77" t="s">
        <v>257</v>
      </c>
      <c r="O39" s="93">
        <v>0.125</v>
      </c>
      <c r="P39" s="77" t="s">
        <v>258</v>
      </c>
      <c r="Q39" s="96" t="s">
        <v>76</v>
      </c>
      <c r="R39" s="50" t="s">
        <v>245</v>
      </c>
      <c r="S39" s="77" t="s">
        <v>259</v>
      </c>
      <c r="T39" s="50" t="s">
        <v>78</v>
      </c>
      <c r="U39" s="77" t="s">
        <v>260</v>
      </c>
      <c r="V39" s="50" t="s">
        <v>236</v>
      </c>
      <c r="W39" s="50" t="s">
        <v>248</v>
      </c>
      <c r="X39" s="50" t="s">
        <v>76</v>
      </c>
      <c r="Y39" s="96" t="s">
        <v>76</v>
      </c>
      <c r="Z39" s="96" t="s">
        <v>76</v>
      </c>
      <c r="AA39" s="54" t="s">
        <v>111</v>
      </c>
      <c r="AB39" s="20">
        <v>1</v>
      </c>
      <c r="AC39" s="20">
        <v>1</v>
      </c>
      <c r="AD39" s="20">
        <v>1</v>
      </c>
      <c r="AE39" s="20">
        <v>1</v>
      </c>
      <c r="AF39" s="20">
        <v>1</v>
      </c>
      <c r="AG39" s="20">
        <v>1</v>
      </c>
      <c r="AH39" s="20">
        <v>1</v>
      </c>
      <c r="AI39" s="20">
        <v>1</v>
      </c>
      <c r="AJ39" s="20">
        <v>1</v>
      </c>
      <c r="AK39" s="20">
        <v>1</v>
      </c>
      <c r="AL39" s="20">
        <v>1</v>
      </c>
      <c r="AM39" s="20">
        <v>1</v>
      </c>
      <c r="AN39" s="20">
        <v>1</v>
      </c>
      <c r="AO39" s="13">
        <f>((197+151+228)/(235+180+295))</f>
        <v>0.81126760563380285</v>
      </c>
      <c r="AP39" s="14">
        <f>(+AQ39+AR39+AS39+AT39)</f>
        <v>1</v>
      </c>
      <c r="AQ39" s="56">
        <f>(25%+25%+25%)/3</f>
        <v>0.25</v>
      </c>
      <c r="AR39" s="56">
        <f t="shared" ref="AR39:AT39" si="26">(25%+25%+25%)/3</f>
        <v>0.25</v>
      </c>
      <c r="AS39" s="56">
        <f t="shared" si="26"/>
        <v>0.25</v>
      </c>
      <c r="AT39" s="56">
        <f t="shared" si="26"/>
        <v>0.25</v>
      </c>
      <c r="AU39" s="13">
        <f>(129+231+259)/(144+259+295)</f>
        <v>0.88681948424068768</v>
      </c>
      <c r="AV39" s="56">
        <v>1</v>
      </c>
      <c r="AW39" s="56">
        <v>0.25</v>
      </c>
      <c r="AX39" s="56">
        <v>0.25</v>
      </c>
      <c r="AY39" s="56">
        <v>0.25</v>
      </c>
      <c r="AZ39" s="56">
        <v>0.25</v>
      </c>
      <c r="BA39" s="13">
        <f>(120+247+185)/(135+287+218)</f>
        <v>0.86250000000000004</v>
      </c>
      <c r="BB39" s="56">
        <v>1</v>
      </c>
      <c r="BC39" s="56">
        <f>(25%+25%+25%)/3</f>
        <v>0.25</v>
      </c>
      <c r="BD39" s="56">
        <f>(25%+25%+25%)/3</f>
        <v>0.25</v>
      </c>
      <c r="BE39" s="56">
        <f>(25%+25%+25%)/3</f>
        <v>0.25</v>
      </c>
      <c r="BF39" s="56">
        <f>(25%+25%+25%)/3</f>
        <v>0.25</v>
      </c>
      <c r="BG39" s="13">
        <f>(327+149+174)/(365+184+215)</f>
        <v>0.85078534031413611</v>
      </c>
      <c r="BH39" s="14">
        <v>1</v>
      </c>
      <c r="BI39" s="14">
        <f>(25%+25%+25%)/3</f>
        <v>0.25</v>
      </c>
      <c r="BJ39" s="14">
        <f t="shared" ref="BJ39:BL39" si="27">(25%+25%+25%)/3</f>
        <v>0.25</v>
      </c>
      <c r="BK39" s="14">
        <f t="shared" si="27"/>
        <v>0.25</v>
      </c>
      <c r="BL39" s="14">
        <f t="shared" si="27"/>
        <v>0.25</v>
      </c>
      <c r="BM39" s="13">
        <f>((197+151+228)/(235+180+295))</f>
        <v>0.81126760563380285</v>
      </c>
      <c r="BN39" s="14">
        <f>(BO39+BP39+BQ39+BR39)/3</f>
        <v>1</v>
      </c>
      <c r="BO39" s="56">
        <f>(25%+25%+25%)</f>
        <v>0.75</v>
      </c>
      <c r="BP39" s="56">
        <f>(25%+25%+25%)</f>
        <v>0.75</v>
      </c>
      <c r="BQ39" s="56">
        <f>(25%+25%+25%)</f>
        <v>0.75</v>
      </c>
      <c r="BR39" s="56">
        <f>(25%+25%+25%)</f>
        <v>0.75</v>
      </c>
      <c r="BS39" s="13">
        <f>(129+231+259)/(144+259+295)</f>
        <v>0.88681948424068768</v>
      </c>
      <c r="BT39" s="56">
        <f t="shared" si="15"/>
        <v>1</v>
      </c>
      <c r="BU39" s="56">
        <f>(25%+25%+25%)/3</f>
        <v>0.25</v>
      </c>
      <c r="BV39" s="56">
        <f t="shared" ref="BV39:BX39" si="28">(25%+25%+25%)/3</f>
        <v>0.25</v>
      </c>
      <c r="BW39" s="56">
        <f t="shared" si="28"/>
        <v>0.25</v>
      </c>
      <c r="BX39" s="56">
        <f t="shared" si="28"/>
        <v>0.25</v>
      </c>
      <c r="BY39" s="13">
        <f>(120+247+185)/(135+287+218)</f>
        <v>0.86250000000000004</v>
      </c>
      <c r="BZ39" s="14">
        <f t="shared" ref="BZ39:BZ44" si="29">CA39+CB39+CC39+CD39</f>
        <v>1</v>
      </c>
      <c r="CA39" s="56">
        <f t="shared" ref="CA39:CD40" si="30">(25%+25%+25%)/3</f>
        <v>0.25</v>
      </c>
      <c r="CB39" s="56">
        <f t="shared" si="30"/>
        <v>0.25</v>
      </c>
      <c r="CC39" s="56">
        <f t="shared" si="30"/>
        <v>0.25</v>
      </c>
      <c r="CD39" s="56">
        <f t="shared" si="30"/>
        <v>0.25</v>
      </c>
      <c r="CE39" s="13">
        <f>(327+149+174)/(365+184+215)</f>
        <v>0.85078534031413611</v>
      </c>
      <c r="CF39" s="14">
        <f t="shared" si="11"/>
        <v>1</v>
      </c>
      <c r="CG39" s="14">
        <f t="shared" ref="CG39:CJ40" si="31">(25%+25%+25%)/3</f>
        <v>0.25</v>
      </c>
      <c r="CH39" s="14">
        <f t="shared" si="31"/>
        <v>0.25</v>
      </c>
      <c r="CI39" s="14">
        <f t="shared" si="31"/>
        <v>0.25</v>
      </c>
      <c r="CJ39" s="14">
        <f t="shared" si="31"/>
        <v>0.25</v>
      </c>
      <c r="CK39" s="59">
        <f>(BM39+BS39+BY39+CE39)/4</f>
        <v>0.85284310754715675</v>
      </c>
      <c r="CL39" s="59">
        <f>CK39/4</f>
        <v>0.21321077688678919</v>
      </c>
      <c r="CM39" s="17">
        <v>0.10677595706490403</v>
      </c>
    </row>
    <row r="40" spans="1:91" s="60" customFormat="1" ht="75" x14ac:dyDescent="0.25">
      <c r="A40" s="185"/>
      <c r="B40" s="153"/>
      <c r="C40" s="153"/>
      <c r="D40" s="189"/>
      <c r="E40" s="191"/>
      <c r="F40" s="194"/>
      <c r="G40" s="175"/>
      <c r="H40" s="153"/>
      <c r="I40" s="153"/>
      <c r="J40" s="178"/>
      <c r="K40" s="50" t="s">
        <v>237</v>
      </c>
      <c r="L40" s="50" t="s">
        <v>73</v>
      </c>
      <c r="M40" s="158"/>
      <c r="N40" s="77" t="s">
        <v>261</v>
      </c>
      <c r="O40" s="93">
        <v>0.125</v>
      </c>
      <c r="P40" s="77" t="s">
        <v>262</v>
      </c>
      <c r="Q40" s="50" t="s">
        <v>76</v>
      </c>
      <c r="R40" s="50" t="s">
        <v>76</v>
      </c>
      <c r="S40" s="77" t="s">
        <v>263</v>
      </c>
      <c r="T40" s="50" t="s">
        <v>78</v>
      </c>
      <c r="U40" s="77" t="s">
        <v>264</v>
      </c>
      <c r="V40" s="50" t="s">
        <v>236</v>
      </c>
      <c r="W40" s="50" t="s">
        <v>122</v>
      </c>
      <c r="X40" s="50" t="s">
        <v>76</v>
      </c>
      <c r="Y40" s="50" t="s">
        <v>76</v>
      </c>
      <c r="Z40" s="50" t="s">
        <v>76</v>
      </c>
      <c r="AA40" s="54" t="s">
        <v>111</v>
      </c>
      <c r="AB40" s="20">
        <v>1</v>
      </c>
      <c r="AC40" s="20">
        <v>1</v>
      </c>
      <c r="AD40" s="20">
        <v>1</v>
      </c>
      <c r="AE40" s="20">
        <v>1</v>
      </c>
      <c r="AF40" s="20">
        <v>1</v>
      </c>
      <c r="AG40" s="20">
        <v>1</v>
      </c>
      <c r="AH40" s="20">
        <v>1</v>
      </c>
      <c r="AI40" s="20">
        <v>1</v>
      </c>
      <c r="AJ40" s="20">
        <v>1</v>
      </c>
      <c r="AK40" s="20">
        <v>1</v>
      </c>
      <c r="AL40" s="20">
        <v>1</v>
      </c>
      <c r="AM40" s="20">
        <v>1</v>
      </c>
      <c r="AN40" s="20">
        <v>1</v>
      </c>
      <c r="AO40" s="93">
        <f>((17+15+13)/(30+31+36))</f>
        <v>0.46391752577319589</v>
      </c>
      <c r="AP40" s="56">
        <f>(AQ40+AR40+AS40+AT40)/3</f>
        <v>1</v>
      </c>
      <c r="AQ40" s="56">
        <f t="shared" ref="AQ40:AT40" si="32">(25%+25%+25%)</f>
        <v>0.75</v>
      </c>
      <c r="AR40" s="56">
        <f t="shared" si="32"/>
        <v>0.75</v>
      </c>
      <c r="AS40" s="56">
        <f t="shared" si="32"/>
        <v>0.75</v>
      </c>
      <c r="AT40" s="56">
        <f t="shared" si="32"/>
        <v>0.75</v>
      </c>
      <c r="AU40" s="59">
        <f>(23.07%+41.17%+42.85%)/3</f>
        <v>0.35696666666666665</v>
      </c>
      <c r="AV40" s="56">
        <v>1</v>
      </c>
      <c r="AW40" s="56">
        <f t="shared" ref="AW40:AZ40" si="33">(25%+25%+25%)/3</f>
        <v>0.25</v>
      </c>
      <c r="AX40" s="56">
        <f t="shared" si="33"/>
        <v>0.25</v>
      </c>
      <c r="AY40" s="56">
        <f t="shared" si="33"/>
        <v>0.25</v>
      </c>
      <c r="AZ40" s="56">
        <f t="shared" si="33"/>
        <v>0.25</v>
      </c>
      <c r="BA40" s="59">
        <f>(48.38%+64%+39.13%)/3</f>
        <v>0.50503333333333333</v>
      </c>
      <c r="BB40" s="56">
        <v>1</v>
      </c>
      <c r="BC40" s="14">
        <f t="shared" ref="BC40:BF40" si="34">(25%+25%+25%)/3</f>
        <v>0.25</v>
      </c>
      <c r="BD40" s="14">
        <f t="shared" si="34"/>
        <v>0.25</v>
      </c>
      <c r="BE40" s="14">
        <f t="shared" si="34"/>
        <v>0.25</v>
      </c>
      <c r="BF40" s="14">
        <f t="shared" si="34"/>
        <v>0.25</v>
      </c>
      <c r="BG40" s="13">
        <f>(12+11+25)/(37+22+60)</f>
        <v>0.40336134453781514</v>
      </c>
      <c r="BH40" s="56">
        <v>1</v>
      </c>
      <c r="BI40" s="14">
        <f t="shared" ref="BI40:BL40" si="35">(25%+25%+25%)/3</f>
        <v>0.25</v>
      </c>
      <c r="BJ40" s="14">
        <f t="shared" si="35"/>
        <v>0.25</v>
      </c>
      <c r="BK40" s="14">
        <f t="shared" si="35"/>
        <v>0.25</v>
      </c>
      <c r="BL40" s="14">
        <f t="shared" si="35"/>
        <v>0.25</v>
      </c>
      <c r="BM40" s="93">
        <f>((17+15+13)/(30+31+36))</f>
        <v>0.46391752577319589</v>
      </c>
      <c r="BN40" s="56">
        <f>(BO40+BP40+BQ40+BR40)/3</f>
        <v>1</v>
      </c>
      <c r="BO40" s="56">
        <f t="shared" ref="BO40:BR40" si="36">(25%+25%+25%)</f>
        <v>0.75</v>
      </c>
      <c r="BP40" s="56">
        <f t="shared" si="36"/>
        <v>0.75</v>
      </c>
      <c r="BQ40" s="56">
        <f t="shared" si="36"/>
        <v>0.75</v>
      </c>
      <c r="BR40" s="56">
        <f t="shared" si="36"/>
        <v>0.75</v>
      </c>
      <c r="BS40" s="13">
        <f>(9+7+9)/(39+17+21)</f>
        <v>0.32467532467532467</v>
      </c>
      <c r="BT40" s="56">
        <f t="shared" si="15"/>
        <v>1</v>
      </c>
      <c r="BU40" s="56">
        <f t="shared" ref="BU40:BX40" si="37">(25%+25%+25%)/3</f>
        <v>0.25</v>
      </c>
      <c r="BV40" s="56">
        <f t="shared" si="37"/>
        <v>0.25</v>
      </c>
      <c r="BW40" s="56">
        <f t="shared" si="37"/>
        <v>0.25</v>
      </c>
      <c r="BX40" s="56">
        <f t="shared" si="37"/>
        <v>0.25</v>
      </c>
      <c r="BY40" s="13">
        <f>(15+15+18)/(31+25+46)</f>
        <v>0.47058823529411764</v>
      </c>
      <c r="BZ40" s="14">
        <f t="shared" si="29"/>
        <v>1</v>
      </c>
      <c r="CA40" s="56">
        <f t="shared" si="30"/>
        <v>0.25</v>
      </c>
      <c r="CB40" s="56">
        <f t="shared" si="30"/>
        <v>0.25</v>
      </c>
      <c r="CC40" s="56">
        <f t="shared" si="30"/>
        <v>0.25</v>
      </c>
      <c r="CD40" s="56">
        <f t="shared" si="30"/>
        <v>0.25</v>
      </c>
      <c r="CE40" s="13">
        <f>(12+11+25)/(37+22+60)</f>
        <v>0.40336134453781514</v>
      </c>
      <c r="CF40" s="14">
        <f t="shared" si="11"/>
        <v>1</v>
      </c>
      <c r="CG40" s="14">
        <f t="shared" si="31"/>
        <v>0.25</v>
      </c>
      <c r="CH40" s="14">
        <f t="shared" si="31"/>
        <v>0.25</v>
      </c>
      <c r="CI40" s="14">
        <f t="shared" si="31"/>
        <v>0.25</v>
      </c>
      <c r="CJ40" s="14">
        <f t="shared" si="31"/>
        <v>0.25</v>
      </c>
      <c r="CK40" s="59">
        <f>(BM40+BS40+BY40+CE40)/4</f>
        <v>0.41563560757011331</v>
      </c>
      <c r="CL40" s="59">
        <f>CK40</f>
        <v>0.41563560757011331</v>
      </c>
      <c r="CM40" s="17">
        <v>5.2037578067778187E-2</v>
      </c>
    </row>
    <row r="41" spans="1:91" s="60" customFormat="1" ht="105" x14ac:dyDescent="0.25">
      <c r="A41" s="185"/>
      <c r="B41" s="153"/>
      <c r="C41" s="153"/>
      <c r="D41" s="189"/>
      <c r="E41" s="191"/>
      <c r="F41" s="194"/>
      <c r="G41" s="179">
        <v>0.33329999999999999</v>
      </c>
      <c r="H41" s="153"/>
      <c r="I41" s="139" t="s">
        <v>265</v>
      </c>
      <c r="J41" s="163" t="s">
        <v>71</v>
      </c>
      <c r="K41" s="50" t="s">
        <v>266</v>
      </c>
      <c r="L41" s="50" t="s">
        <v>73</v>
      </c>
      <c r="M41" s="181">
        <v>1</v>
      </c>
      <c r="N41" s="77" t="s">
        <v>267</v>
      </c>
      <c r="O41" s="85">
        <v>0.125</v>
      </c>
      <c r="P41" s="77" t="s">
        <v>268</v>
      </c>
      <c r="Q41" s="50" t="s">
        <v>76</v>
      </c>
      <c r="R41" s="50" t="s">
        <v>76</v>
      </c>
      <c r="S41" s="77" t="s">
        <v>269</v>
      </c>
      <c r="T41" s="63" t="s">
        <v>78</v>
      </c>
      <c r="U41" s="51" t="s">
        <v>270</v>
      </c>
      <c r="V41" s="50" t="s">
        <v>236</v>
      </c>
      <c r="W41" s="50" t="s">
        <v>94</v>
      </c>
      <c r="X41" s="50" t="s">
        <v>76</v>
      </c>
      <c r="Y41" s="50" t="s">
        <v>76</v>
      </c>
      <c r="Z41" s="50" t="s">
        <v>76</v>
      </c>
      <c r="AA41" s="54" t="s">
        <v>82</v>
      </c>
      <c r="AB41" s="55"/>
      <c r="AC41" s="55"/>
      <c r="AD41" s="20">
        <v>1</v>
      </c>
      <c r="AE41" s="55"/>
      <c r="AF41" s="20"/>
      <c r="AG41" s="20">
        <v>1</v>
      </c>
      <c r="AH41" s="55"/>
      <c r="AI41" s="55"/>
      <c r="AJ41" s="20">
        <v>1</v>
      </c>
      <c r="AK41" s="55"/>
      <c r="AL41" s="55"/>
      <c r="AM41" s="20">
        <v>1</v>
      </c>
      <c r="AN41" s="20">
        <v>1</v>
      </c>
      <c r="AO41" s="74"/>
      <c r="AP41" s="74"/>
      <c r="AQ41" s="74"/>
      <c r="AR41" s="74"/>
      <c r="AS41" s="74"/>
      <c r="AT41" s="74"/>
      <c r="AU41" s="74"/>
      <c r="AV41" s="74"/>
      <c r="AW41" s="74"/>
      <c r="AX41" s="74"/>
      <c r="AY41" s="74"/>
      <c r="AZ41" s="74"/>
      <c r="BA41" s="56">
        <v>1</v>
      </c>
      <c r="BB41" s="56">
        <v>1</v>
      </c>
      <c r="BC41" s="56">
        <v>0.25</v>
      </c>
      <c r="BD41" s="56">
        <v>0.25</v>
      </c>
      <c r="BE41" s="56">
        <v>0.25</v>
      </c>
      <c r="BF41" s="56">
        <v>0.25</v>
      </c>
      <c r="BG41" s="55">
        <v>1</v>
      </c>
      <c r="BH41" s="55">
        <v>1</v>
      </c>
      <c r="BI41" s="55">
        <v>0.25</v>
      </c>
      <c r="BJ41" s="55">
        <v>0.25</v>
      </c>
      <c r="BK41" s="55">
        <v>0.25</v>
      </c>
      <c r="BL41" s="55">
        <v>0.25</v>
      </c>
      <c r="BM41" s="74"/>
      <c r="BN41" s="74"/>
      <c r="BO41" s="74"/>
      <c r="BP41" s="74"/>
      <c r="BQ41" s="74"/>
      <c r="BR41" s="74"/>
      <c r="BS41" s="74"/>
      <c r="BT41" s="74"/>
      <c r="BU41" s="74"/>
      <c r="BV41" s="74"/>
      <c r="BW41" s="74"/>
      <c r="BX41" s="74"/>
      <c r="BY41" s="20">
        <v>1</v>
      </c>
      <c r="BZ41" s="20">
        <f t="shared" si="29"/>
        <v>1</v>
      </c>
      <c r="CA41" s="56">
        <v>0.25</v>
      </c>
      <c r="CB41" s="56">
        <v>0.25</v>
      </c>
      <c r="CC41" s="56">
        <v>0.25</v>
      </c>
      <c r="CD41" s="56">
        <v>0.25</v>
      </c>
      <c r="CE41" s="55">
        <v>1</v>
      </c>
      <c r="CF41" s="20">
        <f t="shared" si="11"/>
        <v>1</v>
      </c>
      <c r="CG41" s="55">
        <v>0.25</v>
      </c>
      <c r="CH41" s="55">
        <v>0.25</v>
      </c>
      <c r="CI41" s="55">
        <v>0.25</v>
      </c>
      <c r="CJ41" s="55">
        <v>0.25</v>
      </c>
      <c r="CK41" s="56">
        <f>(BY41+CE41)/2</f>
        <v>1</v>
      </c>
      <c r="CL41" s="21">
        <f>CK41</f>
        <v>1</v>
      </c>
      <c r="CM41" s="24">
        <v>0.12520000000000001</v>
      </c>
    </row>
    <row r="42" spans="1:91" s="60" customFormat="1" ht="90" x14ac:dyDescent="0.25">
      <c r="A42" s="185"/>
      <c r="B42" s="153"/>
      <c r="C42" s="153"/>
      <c r="D42" s="189"/>
      <c r="E42" s="191"/>
      <c r="F42" s="194"/>
      <c r="G42" s="180"/>
      <c r="H42" s="153"/>
      <c r="I42" s="153"/>
      <c r="J42" s="163"/>
      <c r="K42" s="50" t="s">
        <v>266</v>
      </c>
      <c r="L42" s="50" t="s">
        <v>73</v>
      </c>
      <c r="M42" s="182"/>
      <c r="N42" s="77" t="s">
        <v>271</v>
      </c>
      <c r="O42" s="85">
        <v>0.125</v>
      </c>
      <c r="P42" s="77" t="s">
        <v>272</v>
      </c>
      <c r="Q42" s="50" t="s">
        <v>76</v>
      </c>
      <c r="R42" s="50" t="s">
        <v>76</v>
      </c>
      <c r="S42" s="77" t="s">
        <v>273</v>
      </c>
      <c r="T42" s="63" t="s">
        <v>78</v>
      </c>
      <c r="U42" s="77" t="s">
        <v>274</v>
      </c>
      <c r="V42" s="50" t="s">
        <v>236</v>
      </c>
      <c r="W42" s="50" t="s">
        <v>94</v>
      </c>
      <c r="X42" s="50" t="s">
        <v>76</v>
      </c>
      <c r="Y42" s="50" t="s">
        <v>76</v>
      </c>
      <c r="Z42" s="50" t="s">
        <v>76</v>
      </c>
      <c r="AA42" s="54" t="s">
        <v>82</v>
      </c>
      <c r="AB42" s="55"/>
      <c r="AC42" s="55"/>
      <c r="AD42" s="20">
        <v>1</v>
      </c>
      <c r="AE42" s="55"/>
      <c r="AF42" s="55"/>
      <c r="AG42" s="55">
        <v>1</v>
      </c>
      <c r="AH42" s="55"/>
      <c r="AI42" s="55"/>
      <c r="AJ42" s="20">
        <v>1</v>
      </c>
      <c r="AK42" s="55"/>
      <c r="AL42" s="55"/>
      <c r="AM42" s="20">
        <v>1</v>
      </c>
      <c r="AN42" s="20">
        <v>1</v>
      </c>
      <c r="AO42" s="54"/>
      <c r="AP42" s="54"/>
      <c r="AQ42" s="54"/>
      <c r="AR42" s="54"/>
      <c r="AS42" s="54"/>
      <c r="AT42" s="54"/>
      <c r="AU42" s="54"/>
      <c r="AV42" s="54"/>
      <c r="AW42" s="54"/>
      <c r="AX42" s="54"/>
      <c r="AY42" s="54"/>
      <c r="AZ42" s="54"/>
      <c r="BA42" s="56">
        <v>1</v>
      </c>
      <c r="BB42" s="56">
        <v>1</v>
      </c>
      <c r="BC42" s="56">
        <v>0.25</v>
      </c>
      <c r="BD42" s="56">
        <v>0.25</v>
      </c>
      <c r="BE42" s="56">
        <v>0.25</v>
      </c>
      <c r="BF42" s="56">
        <v>0.25</v>
      </c>
      <c r="BG42" s="55">
        <v>1</v>
      </c>
      <c r="BH42" s="55">
        <v>1</v>
      </c>
      <c r="BI42" s="55">
        <v>0.25</v>
      </c>
      <c r="BJ42" s="55">
        <v>0.25</v>
      </c>
      <c r="BK42" s="55">
        <v>0.25</v>
      </c>
      <c r="BL42" s="55">
        <v>0.25</v>
      </c>
      <c r="BM42" s="54"/>
      <c r="BN42" s="54"/>
      <c r="BO42" s="54"/>
      <c r="BP42" s="54"/>
      <c r="BQ42" s="54"/>
      <c r="BR42" s="54"/>
      <c r="BS42" s="54"/>
      <c r="BT42" s="54"/>
      <c r="BU42" s="54"/>
      <c r="BV42" s="54"/>
      <c r="BW42" s="54"/>
      <c r="BX42" s="54"/>
      <c r="BY42" s="20">
        <f>19/19</f>
        <v>1</v>
      </c>
      <c r="BZ42" s="20">
        <f t="shared" si="29"/>
        <v>0.75</v>
      </c>
      <c r="CA42" s="56">
        <v>0</v>
      </c>
      <c r="CB42" s="56">
        <v>0.25</v>
      </c>
      <c r="CC42" s="56">
        <v>0.25</v>
      </c>
      <c r="CD42" s="56">
        <v>0.25</v>
      </c>
      <c r="CE42" s="55">
        <v>1</v>
      </c>
      <c r="CF42" s="20">
        <f t="shared" si="11"/>
        <v>1</v>
      </c>
      <c r="CG42" s="55">
        <v>0.25</v>
      </c>
      <c r="CH42" s="55">
        <v>0.25</v>
      </c>
      <c r="CI42" s="55">
        <v>0.25</v>
      </c>
      <c r="CJ42" s="55">
        <v>0.25</v>
      </c>
      <c r="CK42" s="56">
        <f>(BY42+CE42)/2</f>
        <v>1</v>
      </c>
      <c r="CL42" s="21">
        <f>CK42</f>
        <v>1</v>
      </c>
      <c r="CM42" s="28">
        <v>0.12520000000000001</v>
      </c>
    </row>
    <row r="43" spans="1:91" s="60" customFormat="1" ht="60" x14ac:dyDescent="0.25">
      <c r="A43" s="185"/>
      <c r="B43" s="153"/>
      <c r="C43" s="153"/>
      <c r="D43" s="189"/>
      <c r="E43" s="191"/>
      <c r="F43" s="194"/>
      <c r="G43" s="180"/>
      <c r="H43" s="153"/>
      <c r="I43" s="153"/>
      <c r="J43" s="163"/>
      <c r="K43" s="50" t="s">
        <v>275</v>
      </c>
      <c r="L43" s="50" t="s">
        <v>73</v>
      </c>
      <c r="M43" s="182"/>
      <c r="N43" s="77" t="s">
        <v>276</v>
      </c>
      <c r="O43" s="85">
        <v>0.125</v>
      </c>
      <c r="P43" s="77" t="s">
        <v>277</v>
      </c>
      <c r="Q43" s="50" t="s">
        <v>76</v>
      </c>
      <c r="R43" s="50" t="s">
        <v>76</v>
      </c>
      <c r="S43" s="77" t="s">
        <v>278</v>
      </c>
      <c r="T43" s="50" t="s">
        <v>78</v>
      </c>
      <c r="U43" s="77" t="s">
        <v>279</v>
      </c>
      <c r="V43" s="50" t="s">
        <v>236</v>
      </c>
      <c r="W43" s="50" t="s">
        <v>248</v>
      </c>
      <c r="X43" s="50" t="s">
        <v>76</v>
      </c>
      <c r="Y43" s="50" t="s">
        <v>76</v>
      </c>
      <c r="Z43" s="50" t="s">
        <v>76</v>
      </c>
      <c r="AA43" s="54" t="s">
        <v>82</v>
      </c>
      <c r="AB43" s="31"/>
      <c r="AC43" s="31"/>
      <c r="AD43" s="20">
        <v>1</v>
      </c>
      <c r="AE43" s="31"/>
      <c r="AF43" s="31"/>
      <c r="AG43" s="20">
        <v>1</v>
      </c>
      <c r="AH43" s="31"/>
      <c r="AI43" s="31"/>
      <c r="AJ43" s="20">
        <v>1</v>
      </c>
      <c r="AK43" s="31"/>
      <c r="AL43" s="31"/>
      <c r="AM43" s="20">
        <v>1</v>
      </c>
      <c r="AN43" s="20">
        <v>1</v>
      </c>
      <c r="AO43" s="13">
        <f>32/36</f>
        <v>0.88888888888888884</v>
      </c>
      <c r="AP43" s="14">
        <v>1</v>
      </c>
      <c r="AQ43" s="14">
        <v>0.25</v>
      </c>
      <c r="AR43" s="14">
        <v>0.25</v>
      </c>
      <c r="AS43" s="14">
        <v>0.25</v>
      </c>
      <c r="AT43" s="14">
        <v>0.25</v>
      </c>
      <c r="AU43" s="59">
        <f>15/19</f>
        <v>0.78947368421052633</v>
      </c>
      <c r="AV43" s="56">
        <v>1</v>
      </c>
      <c r="AW43" s="56">
        <v>0.25</v>
      </c>
      <c r="AX43" s="56">
        <v>0.25</v>
      </c>
      <c r="AY43" s="56">
        <v>0.25</v>
      </c>
      <c r="AZ43" s="56">
        <v>0.25</v>
      </c>
      <c r="BA43" s="13">
        <v>0.83870967741935487</v>
      </c>
      <c r="BB43" s="14">
        <v>1</v>
      </c>
      <c r="BC43" s="56">
        <v>0.25</v>
      </c>
      <c r="BD43" s="56">
        <v>0.25</v>
      </c>
      <c r="BE43" s="56">
        <v>0.25</v>
      </c>
      <c r="BF43" s="56">
        <v>0.25</v>
      </c>
      <c r="BG43" s="13">
        <v>0.83783783783783783</v>
      </c>
      <c r="BH43" s="14">
        <v>1</v>
      </c>
      <c r="BI43" s="14">
        <v>0.25</v>
      </c>
      <c r="BJ43" s="14">
        <v>0.25</v>
      </c>
      <c r="BK43" s="14">
        <v>0.25</v>
      </c>
      <c r="BL43" s="14">
        <v>0.25</v>
      </c>
      <c r="BM43" s="13">
        <f>32/36</f>
        <v>0.88888888888888884</v>
      </c>
      <c r="BN43" s="14">
        <f>BO43+BP43+BQ43+BR43</f>
        <v>1</v>
      </c>
      <c r="BO43" s="56">
        <v>0.25</v>
      </c>
      <c r="BP43" s="56">
        <v>0.25</v>
      </c>
      <c r="BQ43" s="56">
        <v>0.25</v>
      </c>
      <c r="BR43" s="56">
        <v>0.25</v>
      </c>
      <c r="BS43" s="13">
        <f>15/19</f>
        <v>0.78947368421052633</v>
      </c>
      <c r="BT43" s="14">
        <f t="shared" ref="BT43" si="38">BU43+BV43+BW43+BX43</f>
        <v>1</v>
      </c>
      <c r="BU43" s="56">
        <v>0.25</v>
      </c>
      <c r="BV43" s="56">
        <v>0.25</v>
      </c>
      <c r="BW43" s="56">
        <v>0.25</v>
      </c>
      <c r="BX43" s="56">
        <v>0.25</v>
      </c>
      <c r="BY43" s="13">
        <f>26/31</f>
        <v>0.83870967741935487</v>
      </c>
      <c r="BZ43" s="14">
        <f t="shared" si="29"/>
        <v>1</v>
      </c>
      <c r="CA43" s="55">
        <v>0.25</v>
      </c>
      <c r="CB43" s="55">
        <v>0.25</v>
      </c>
      <c r="CC43" s="55">
        <v>0.25</v>
      </c>
      <c r="CD43" s="55">
        <v>0.25</v>
      </c>
      <c r="CE43" s="13">
        <f>31/37</f>
        <v>0.83783783783783783</v>
      </c>
      <c r="CF43" s="14">
        <f t="shared" si="11"/>
        <v>1</v>
      </c>
      <c r="CG43" s="14">
        <v>0.25</v>
      </c>
      <c r="CH43" s="14">
        <v>0.25</v>
      </c>
      <c r="CI43" s="14">
        <v>0.25</v>
      </c>
      <c r="CJ43" s="14">
        <v>0.25</v>
      </c>
      <c r="CK43" s="59">
        <f>(BM43+BS43+BY43+CE43)/4</f>
        <v>0.83872752208915191</v>
      </c>
      <c r="CL43" s="59">
        <f>CK43/3</f>
        <v>0.27957584069638397</v>
      </c>
      <c r="CM43" s="17">
        <v>0.10500868576556183</v>
      </c>
    </row>
    <row r="44" spans="1:91" s="60" customFormat="1" ht="60" x14ac:dyDescent="0.25">
      <c r="A44" s="185"/>
      <c r="B44" s="153"/>
      <c r="C44" s="153"/>
      <c r="D44" s="189"/>
      <c r="E44" s="191"/>
      <c r="F44" s="194"/>
      <c r="G44" s="180"/>
      <c r="H44" s="153"/>
      <c r="I44" s="153"/>
      <c r="J44" s="163"/>
      <c r="K44" s="50" t="s">
        <v>275</v>
      </c>
      <c r="L44" s="50" t="s">
        <v>73</v>
      </c>
      <c r="M44" s="182"/>
      <c r="N44" s="77" t="s">
        <v>280</v>
      </c>
      <c r="O44" s="85">
        <v>0.125</v>
      </c>
      <c r="P44" s="77" t="s">
        <v>281</v>
      </c>
      <c r="Q44" s="50" t="s">
        <v>76</v>
      </c>
      <c r="R44" s="50" t="s">
        <v>76</v>
      </c>
      <c r="S44" s="77" t="s">
        <v>282</v>
      </c>
      <c r="T44" s="50" t="s">
        <v>78</v>
      </c>
      <c r="U44" s="77" t="s">
        <v>283</v>
      </c>
      <c r="V44" s="50" t="s">
        <v>80</v>
      </c>
      <c r="W44" s="50" t="s">
        <v>248</v>
      </c>
      <c r="X44" s="50" t="s">
        <v>76</v>
      </c>
      <c r="Y44" s="50" t="s">
        <v>76</v>
      </c>
      <c r="Z44" s="50" t="s">
        <v>76</v>
      </c>
      <c r="AA44" s="54" t="s">
        <v>82</v>
      </c>
      <c r="AB44" s="32"/>
      <c r="AC44" s="32"/>
      <c r="AD44" s="20">
        <v>1</v>
      </c>
      <c r="AE44" s="32"/>
      <c r="AF44" s="32"/>
      <c r="AG44" s="20">
        <v>1</v>
      </c>
      <c r="AH44" s="32"/>
      <c r="AI44" s="32"/>
      <c r="AJ44" s="20">
        <v>1</v>
      </c>
      <c r="AK44" s="32"/>
      <c r="AL44" s="32"/>
      <c r="AM44" s="20">
        <v>1</v>
      </c>
      <c r="AN44" s="20">
        <v>1</v>
      </c>
      <c r="AO44" s="54"/>
      <c r="AP44" s="54"/>
      <c r="AQ44" s="54"/>
      <c r="AR44" s="54"/>
      <c r="AS44" s="54"/>
      <c r="AT44" s="54"/>
      <c r="AU44" s="54"/>
      <c r="AV44" s="54"/>
      <c r="AW44" s="54"/>
      <c r="AX44" s="54"/>
      <c r="AY44" s="54"/>
      <c r="AZ44" s="54"/>
      <c r="BA44" s="14">
        <v>1</v>
      </c>
      <c r="BB44" s="14">
        <v>1</v>
      </c>
      <c r="BC44" s="56">
        <v>0.25</v>
      </c>
      <c r="BD44" s="56">
        <v>0.25</v>
      </c>
      <c r="BE44" s="56">
        <v>0.25</v>
      </c>
      <c r="BF44" s="56">
        <v>0.25</v>
      </c>
      <c r="BG44" s="14">
        <f>764/764</f>
        <v>1</v>
      </c>
      <c r="BH44" s="14">
        <v>1</v>
      </c>
      <c r="BI44" s="14">
        <v>0.25</v>
      </c>
      <c r="BJ44" s="14">
        <v>0.25</v>
      </c>
      <c r="BK44" s="14">
        <v>0.25</v>
      </c>
      <c r="BL44" s="14">
        <v>0.25</v>
      </c>
      <c r="BM44" s="54"/>
      <c r="BN44" s="54"/>
      <c r="BO44" s="54"/>
      <c r="BP44" s="54"/>
      <c r="BQ44" s="54"/>
      <c r="BR44" s="54"/>
      <c r="BS44" s="54"/>
      <c r="BT44" s="54"/>
      <c r="BU44" s="54"/>
      <c r="BV44" s="54"/>
      <c r="BW44" s="54"/>
      <c r="BX44" s="54"/>
      <c r="BY44" s="20">
        <f>640/640</f>
        <v>1</v>
      </c>
      <c r="BZ44" s="20">
        <f t="shared" si="29"/>
        <v>1</v>
      </c>
      <c r="CA44" s="55">
        <v>0.25</v>
      </c>
      <c r="CB44" s="55">
        <v>0.25</v>
      </c>
      <c r="CC44" s="55">
        <v>0.25</v>
      </c>
      <c r="CD44" s="55">
        <v>0.25</v>
      </c>
      <c r="CE44" s="14">
        <f>764/764</f>
        <v>1</v>
      </c>
      <c r="CF44" s="14">
        <f t="shared" si="11"/>
        <v>1</v>
      </c>
      <c r="CG44" s="14">
        <v>0.25</v>
      </c>
      <c r="CH44" s="14">
        <v>0.25</v>
      </c>
      <c r="CI44" s="14">
        <v>0.25</v>
      </c>
      <c r="CJ44" s="14">
        <v>0.25</v>
      </c>
      <c r="CK44" s="55">
        <f>(BY44+CE44)/2</f>
        <v>1</v>
      </c>
      <c r="CL44" s="25">
        <f>CK44</f>
        <v>1</v>
      </c>
      <c r="CM44" s="28">
        <v>0.12520000000000001</v>
      </c>
    </row>
    <row r="45" spans="1:91" s="60" customFormat="1" ht="45" x14ac:dyDescent="0.25">
      <c r="A45" s="185"/>
      <c r="B45" s="153"/>
      <c r="C45" s="153"/>
      <c r="D45" s="189"/>
      <c r="E45" s="191"/>
      <c r="F45" s="194"/>
      <c r="G45" s="180"/>
      <c r="H45" s="153"/>
      <c r="I45" s="153"/>
      <c r="J45" s="163"/>
      <c r="K45" s="50" t="s">
        <v>284</v>
      </c>
      <c r="L45" s="50" t="s">
        <v>73</v>
      </c>
      <c r="M45" s="182"/>
      <c r="N45" s="77" t="s">
        <v>285</v>
      </c>
      <c r="O45" s="85">
        <v>0.125</v>
      </c>
      <c r="P45" s="77" t="s">
        <v>286</v>
      </c>
      <c r="Q45" s="50" t="s">
        <v>76</v>
      </c>
      <c r="R45" s="50" t="s">
        <v>76</v>
      </c>
      <c r="S45" s="77" t="s">
        <v>287</v>
      </c>
      <c r="T45" s="50" t="s">
        <v>78</v>
      </c>
      <c r="U45" s="77" t="s">
        <v>288</v>
      </c>
      <c r="V45" s="50" t="s">
        <v>80</v>
      </c>
      <c r="W45" s="50" t="s">
        <v>122</v>
      </c>
      <c r="X45" s="50" t="s">
        <v>76</v>
      </c>
      <c r="Y45" s="50" t="s">
        <v>76</v>
      </c>
      <c r="Z45" s="50" t="s">
        <v>76</v>
      </c>
      <c r="AA45" s="54" t="s">
        <v>82</v>
      </c>
      <c r="AB45" s="32"/>
      <c r="AC45" s="32"/>
      <c r="AD45" s="20">
        <v>1</v>
      </c>
      <c r="AE45" s="32"/>
      <c r="AF45" s="32"/>
      <c r="AG45" s="20">
        <v>1</v>
      </c>
      <c r="AH45" s="32"/>
      <c r="AI45" s="32"/>
      <c r="AJ45" s="20">
        <v>1</v>
      </c>
      <c r="AK45" s="32"/>
      <c r="AL45" s="32"/>
      <c r="AM45" s="20">
        <v>1</v>
      </c>
      <c r="AN45" s="20">
        <v>1</v>
      </c>
      <c r="AO45" s="54"/>
      <c r="AP45" s="54"/>
      <c r="AQ45" s="54"/>
      <c r="AR45" s="54"/>
      <c r="AS45" s="54"/>
      <c r="AT45" s="54"/>
      <c r="AU45" s="54"/>
      <c r="AV45" s="54"/>
      <c r="AW45" s="54"/>
      <c r="AX45" s="54"/>
      <c r="AY45" s="54"/>
      <c r="AZ45" s="54"/>
      <c r="BA45" s="56">
        <v>1</v>
      </c>
      <c r="BB45" s="56">
        <v>1</v>
      </c>
      <c r="BC45" s="56">
        <v>0.25</v>
      </c>
      <c r="BD45" s="56">
        <v>0.25</v>
      </c>
      <c r="BE45" s="56">
        <v>0.25</v>
      </c>
      <c r="BF45" s="56">
        <v>0.25</v>
      </c>
      <c r="BG45" s="56">
        <v>1</v>
      </c>
      <c r="BH45" s="56">
        <v>1</v>
      </c>
      <c r="BI45" s="56">
        <v>0.25</v>
      </c>
      <c r="BJ45" s="56">
        <v>0.25</v>
      </c>
      <c r="BK45" s="56">
        <v>0.25</v>
      </c>
      <c r="BL45" s="56">
        <v>0.25</v>
      </c>
      <c r="BM45" s="54"/>
      <c r="BN45" s="54"/>
      <c r="BO45" s="54"/>
      <c r="BP45" s="54"/>
      <c r="BQ45" s="54"/>
      <c r="BR45" s="54"/>
      <c r="BS45" s="54"/>
      <c r="BT45" s="54"/>
      <c r="BU45" s="54"/>
      <c r="BV45" s="54"/>
      <c r="BW45" s="54"/>
      <c r="BX45" s="54"/>
      <c r="BY45" s="20">
        <f>56/56</f>
        <v>1</v>
      </c>
      <c r="BZ45" s="20">
        <f>CA45+CB45+CC45+CD45</f>
        <v>1</v>
      </c>
      <c r="CA45" s="56">
        <v>0.25</v>
      </c>
      <c r="CB45" s="56">
        <v>0.25</v>
      </c>
      <c r="CC45" s="56">
        <v>0.25</v>
      </c>
      <c r="CD45" s="56">
        <v>0.25</v>
      </c>
      <c r="CE45" s="20">
        <f>52/52</f>
        <v>1</v>
      </c>
      <c r="CF45" s="20">
        <f t="shared" si="11"/>
        <v>1</v>
      </c>
      <c r="CG45" s="55">
        <v>0.25</v>
      </c>
      <c r="CH45" s="55">
        <v>0.25</v>
      </c>
      <c r="CI45" s="55">
        <v>0.25</v>
      </c>
      <c r="CJ45" s="55">
        <v>0.25</v>
      </c>
      <c r="CK45" s="55">
        <f>(BY45+CE45)/2</f>
        <v>1</v>
      </c>
      <c r="CL45" s="25">
        <f>CK45</f>
        <v>1</v>
      </c>
      <c r="CM45" s="28">
        <v>0.12520000000000001</v>
      </c>
    </row>
    <row r="46" spans="1:91" s="60" customFormat="1" ht="75" x14ac:dyDescent="0.25">
      <c r="A46" s="185"/>
      <c r="B46" s="153"/>
      <c r="C46" s="153"/>
      <c r="D46" s="189"/>
      <c r="E46" s="191"/>
      <c r="F46" s="194"/>
      <c r="G46" s="180"/>
      <c r="H46" s="153"/>
      <c r="I46" s="153"/>
      <c r="J46" s="163"/>
      <c r="K46" s="50" t="s">
        <v>289</v>
      </c>
      <c r="L46" s="50" t="s">
        <v>117</v>
      </c>
      <c r="M46" s="182"/>
      <c r="N46" s="77" t="s">
        <v>290</v>
      </c>
      <c r="O46" s="85">
        <v>0.125</v>
      </c>
      <c r="P46" s="77" t="s">
        <v>291</v>
      </c>
      <c r="Q46" s="50" t="s">
        <v>76</v>
      </c>
      <c r="R46" s="50" t="s">
        <v>76</v>
      </c>
      <c r="S46" s="77" t="s">
        <v>291</v>
      </c>
      <c r="T46" s="50" t="s">
        <v>78</v>
      </c>
      <c r="U46" s="77" t="s">
        <v>292</v>
      </c>
      <c r="V46" s="50" t="s">
        <v>80</v>
      </c>
      <c r="W46" s="50" t="s">
        <v>293</v>
      </c>
      <c r="X46" s="50" t="s">
        <v>76</v>
      </c>
      <c r="Y46" s="50" t="s">
        <v>76</v>
      </c>
      <c r="Z46" s="50" t="s">
        <v>76</v>
      </c>
      <c r="AA46" s="73" t="s">
        <v>137</v>
      </c>
      <c r="AB46" s="55"/>
      <c r="AC46" s="55"/>
      <c r="AD46" s="20"/>
      <c r="AE46" s="55"/>
      <c r="AF46" s="55"/>
      <c r="AG46" s="55"/>
      <c r="AH46" s="55"/>
      <c r="AI46" s="55"/>
      <c r="AJ46" s="20"/>
      <c r="AK46" s="55"/>
      <c r="AL46" s="55"/>
      <c r="AM46" s="20">
        <v>1</v>
      </c>
      <c r="AN46" s="20">
        <v>1</v>
      </c>
      <c r="AO46" s="54"/>
      <c r="AP46" s="54"/>
      <c r="AQ46" s="54"/>
      <c r="AR46" s="54"/>
      <c r="AS46" s="54"/>
      <c r="AT46" s="54"/>
      <c r="AU46" s="54"/>
      <c r="AV46" s="54"/>
      <c r="AW46" s="54"/>
      <c r="AX46" s="54"/>
      <c r="AY46" s="54"/>
      <c r="AZ46" s="54"/>
      <c r="BA46" s="67"/>
      <c r="BB46" s="56"/>
      <c r="BC46" s="67"/>
      <c r="BD46" s="67"/>
      <c r="BE46" s="67"/>
      <c r="BF46" s="67"/>
      <c r="BG46" s="67"/>
      <c r="BH46" s="56"/>
      <c r="BI46" s="67"/>
      <c r="BJ46" s="67"/>
      <c r="BK46" s="67"/>
      <c r="BL46" s="67"/>
      <c r="BM46" s="54"/>
      <c r="BN46" s="54"/>
      <c r="BO46" s="54"/>
      <c r="BP46" s="54"/>
      <c r="BQ46" s="54"/>
      <c r="BR46" s="54"/>
      <c r="BS46" s="54"/>
      <c r="BT46" s="54"/>
      <c r="BU46" s="54"/>
      <c r="BV46" s="54"/>
      <c r="BW46" s="54"/>
      <c r="BX46" s="54"/>
      <c r="BY46" s="54"/>
      <c r="BZ46" s="54"/>
      <c r="CA46" s="54"/>
      <c r="CB46" s="54"/>
      <c r="CC46" s="54"/>
      <c r="CD46" s="54"/>
      <c r="CE46" s="20">
        <f>5/5</f>
        <v>1</v>
      </c>
      <c r="CF46" s="20">
        <f t="shared" si="11"/>
        <v>1</v>
      </c>
      <c r="CG46" s="56">
        <v>0.25</v>
      </c>
      <c r="CH46" s="56">
        <v>0.25</v>
      </c>
      <c r="CI46" s="56">
        <v>0.25</v>
      </c>
      <c r="CJ46" s="56">
        <v>0.25</v>
      </c>
      <c r="CK46" s="55">
        <f>5/5</f>
        <v>1</v>
      </c>
      <c r="CL46" s="82">
        <f>CK46</f>
        <v>1</v>
      </c>
      <c r="CM46" s="28">
        <v>0.12520000000000001</v>
      </c>
    </row>
    <row r="47" spans="1:91" s="60" customFormat="1" ht="45" x14ac:dyDescent="0.25">
      <c r="A47" s="185"/>
      <c r="B47" s="153"/>
      <c r="C47" s="153"/>
      <c r="D47" s="189"/>
      <c r="E47" s="191"/>
      <c r="F47" s="194"/>
      <c r="G47" s="180"/>
      <c r="H47" s="153"/>
      <c r="I47" s="153"/>
      <c r="J47" s="163"/>
      <c r="K47" s="50" t="s">
        <v>294</v>
      </c>
      <c r="L47" s="50" t="s">
        <v>117</v>
      </c>
      <c r="M47" s="182"/>
      <c r="N47" s="77" t="s">
        <v>295</v>
      </c>
      <c r="O47" s="85">
        <v>0.125</v>
      </c>
      <c r="P47" s="77" t="s">
        <v>296</v>
      </c>
      <c r="Q47" s="50" t="s">
        <v>76</v>
      </c>
      <c r="R47" s="50" t="s">
        <v>76</v>
      </c>
      <c r="S47" s="77" t="s">
        <v>297</v>
      </c>
      <c r="T47" s="63" t="s">
        <v>86</v>
      </c>
      <c r="U47" s="77" t="s">
        <v>297</v>
      </c>
      <c r="V47" s="50" t="s">
        <v>30</v>
      </c>
      <c r="W47" s="50" t="s">
        <v>298</v>
      </c>
      <c r="X47" s="50" t="s">
        <v>76</v>
      </c>
      <c r="Y47" s="50" t="s">
        <v>76</v>
      </c>
      <c r="Z47" s="50" t="s">
        <v>76</v>
      </c>
      <c r="AA47" s="73" t="s">
        <v>137</v>
      </c>
      <c r="AB47" s="55"/>
      <c r="AC47" s="55"/>
      <c r="AD47" s="55"/>
      <c r="AE47" s="55"/>
      <c r="AF47" s="55"/>
      <c r="AG47" s="31"/>
      <c r="AH47" s="55"/>
      <c r="AI47" s="55"/>
      <c r="AJ47" s="55"/>
      <c r="AK47" s="55"/>
      <c r="AL47" s="55"/>
      <c r="AM47" s="31">
        <v>1</v>
      </c>
      <c r="AN47" s="31">
        <v>1</v>
      </c>
      <c r="AO47" s="54"/>
      <c r="AP47" s="54"/>
      <c r="AQ47" s="54"/>
      <c r="AR47" s="54"/>
      <c r="AS47" s="54"/>
      <c r="AT47" s="54"/>
      <c r="AU47" s="54"/>
      <c r="AV47" s="54"/>
      <c r="AW47" s="54"/>
      <c r="AX47" s="54"/>
      <c r="AY47" s="54"/>
      <c r="AZ47" s="54"/>
      <c r="BA47" s="67"/>
      <c r="BB47" s="56"/>
      <c r="BC47" s="67"/>
      <c r="BD47" s="67"/>
      <c r="BE47" s="67"/>
      <c r="BF47" s="67"/>
      <c r="BG47" s="67"/>
      <c r="BH47" s="56"/>
      <c r="BI47" s="67"/>
      <c r="BJ47" s="67"/>
      <c r="BK47" s="67"/>
      <c r="BL47" s="67"/>
      <c r="BM47" s="54"/>
      <c r="BN47" s="54"/>
      <c r="BO47" s="54"/>
      <c r="BP47" s="54"/>
      <c r="BQ47" s="54"/>
      <c r="BR47" s="54"/>
      <c r="BS47" s="54"/>
      <c r="BT47" s="54"/>
      <c r="BU47" s="54"/>
      <c r="BV47" s="54"/>
      <c r="BW47" s="54"/>
      <c r="BX47" s="54"/>
      <c r="BY47" s="54"/>
      <c r="BZ47" s="54"/>
      <c r="CA47" s="54"/>
      <c r="CB47" s="54"/>
      <c r="CC47" s="54"/>
      <c r="CD47" s="54"/>
      <c r="CE47" s="54">
        <v>0</v>
      </c>
      <c r="CF47" s="54">
        <f t="shared" si="11"/>
        <v>1</v>
      </c>
      <c r="CG47" s="56">
        <v>0.25</v>
      </c>
      <c r="CH47" s="56">
        <v>0.25</v>
      </c>
      <c r="CI47" s="56">
        <v>0.25</v>
      </c>
      <c r="CJ47" s="56">
        <v>0.25</v>
      </c>
      <c r="CK47" s="55">
        <v>0</v>
      </c>
      <c r="CL47" s="82">
        <v>0</v>
      </c>
      <c r="CM47" s="26">
        <v>0</v>
      </c>
    </row>
    <row r="48" spans="1:91" s="60" customFormat="1" ht="45" x14ac:dyDescent="0.25">
      <c r="A48" s="185"/>
      <c r="B48" s="153"/>
      <c r="C48" s="153"/>
      <c r="D48" s="189"/>
      <c r="E48" s="191"/>
      <c r="F48" s="194"/>
      <c r="G48" s="180"/>
      <c r="H48" s="153"/>
      <c r="I48" s="153"/>
      <c r="J48" s="163"/>
      <c r="K48" s="50" t="s">
        <v>299</v>
      </c>
      <c r="L48" s="50" t="s">
        <v>73</v>
      </c>
      <c r="M48" s="182"/>
      <c r="N48" s="77" t="s">
        <v>300</v>
      </c>
      <c r="O48" s="85">
        <v>0.125</v>
      </c>
      <c r="P48" s="77" t="s">
        <v>301</v>
      </c>
      <c r="Q48" s="50" t="s">
        <v>76</v>
      </c>
      <c r="R48" s="50" t="s">
        <v>76</v>
      </c>
      <c r="S48" s="77" t="s">
        <v>301</v>
      </c>
      <c r="T48" s="63" t="s">
        <v>86</v>
      </c>
      <c r="U48" s="77" t="s">
        <v>302</v>
      </c>
      <c r="V48" s="50" t="s">
        <v>30</v>
      </c>
      <c r="W48" s="50" t="s">
        <v>303</v>
      </c>
      <c r="X48" s="50" t="s">
        <v>76</v>
      </c>
      <c r="Y48" s="50" t="s">
        <v>76</v>
      </c>
      <c r="Z48" s="50" t="s">
        <v>76</v>
      </c>
      <c r="AA48" s="73" t="s">
        <v>137</v>
      </c>
      <c r="AB48" s="55"/>
      <c r="AC48" s="55"/>
      <c r="AD48" s="55"/>
      <c r="AE48" s="55"/>
      <c r="AF48" s="55"/>
      <c r="AG48" s="31"/>
      <c r="AH48" s="55"/>
      <c r="AI48" s="55"/>
      <c r="AJ48" s="55"/>
      <c r="AK48" s="55"/>
      <c r="AL48" s="55"/>
      <c r="AM48" s="31">
        <v>1</v>
      </c>
      <c r="AN48" s="31">
        <v>1</v>
      </c>
      <c r="AO48" s="74"/>
      <c r="AP48" s="74"/>
      <c r="AQ48" s="74"/>
      <c r="AR48" s="74"/>
      <c r="AS48" s="74"/>
      <c r="AT48" s="74"/>
      <c r="AU48" s="74"/>
      <c r="AV48" s="74"/>
      <c r="AW48" s="74"/>
      <c r="AX48" s="74"/>
      <c r="AY48" s="74"/>
      <c r="AZ48" s="74"/>
      <c r="BA48" s="67"/>
      <c r="BB48" s="56"/>
      <c r="BC48" s="67"/>
      <c r="BD48" s="67"/>
      <c r="BE48" s="67"/>
      <c r="BF48" s="67"/>
      <c r="BG48" s="67"/>
      <c r="BH48" s="56"/>
      <c r="BI48" s="67"/>
      <c r="BJ48" s="67"/>
      <c r="BK48" s="67"/>
      <c r="BL48" s="67"/>
      <c r="BM48" s="74"/>
      <c r="BN48" s="74"/>
      <c r="BO48" s="74"/>
      <c r="BP48" s="74"/>
      <c r="BQ48" s="74"/>
      <c r="BR48" s="74"/>
      <c r="BS48" s="74"/>
      <c r="BT48" s="74"/>
      <c r="BU48" s="74"/>
      <c r="BV48" s="74"/>
      <c r="BW48" s="74"/>
      <c r="BX48" s="74"/>
      <c r="BY48" s="74"/>
      <c r="BZ48" s="74"/>
      <c r="CA48" s="74"/>
      <c r="CB48" s="74"/>
      <c r="CC48" s="74"/>
      <c r="CD48" s="74"/>
      <c r="CE48" s="54">
        <v>0</v>
      </c>
      <c r="CF48" s="55">
        <f t="shared" si="11"/>
        <v>1</v>
      </c>
      <c r="CG48" s="55">
        <v>0.25</v>
      </c>
      <c r="CH48" s="55">
        <v>0.25</v>
      </c>
      <c r="CI48" s="55">
        <v>0.25</v>
      </c>
      <c r="CJ48" s="55">
        <v>0.25</v>
      </c>
      <c r="CK48" s="55">
        <v>0</v>
      </c>
      <c r="CL48" s="82">
        <f>CK48</f>
        <v>0</v>
      </c>
      <c r="CM48" s="26">
        <v>0</v>
      </c>
    </row>
    <row r="49" spans="1:91" s="60" customFormat="1" ht="75" x14ac:dyDescent="0.25">
      <c r="A49" s="186"/>
      <c r="B49" s="153"/>
      <c r="C49" s="153"/>
      <c r="D49" s="189"/>
      <c r="E49" s="192"/>
      <c r="F49" s="194"/>
      <c r="G49" s="179">
        <v>0.33329999999999999</v>
      </c>
      <c r="H49" s="176"/>
      <c r="I49" s="139" t="s">
        <v>304</v>
      </c>
      <c r="J49" s="141" t="s">
        <v>71</v>
      </c>
      <c r="K49" s="50" t="s">
        <v>305</v>
      </c>
      <c r="L49" s="50" t="s">
        <v>73</v>
      </c>
      <c r="M49" s="143">
        <v>1</v>
      </c>
      <c r="N49" s="77" t="s">
        <v>306</v>
      </c>
      <c r="O49" s="52">
        <v>0.5</v>
      </c>
      <c r="P49" s="51" t="s">
        <v>307</v>
      </c>
      <c r="Q49" s="50" t="s">
        <v>76</v>
      </c>
      <c r="R49" s="50" t="s">
        <v>76</v>
      </c>
      <c r="S49" s="77" t="s">
        <v>308</v>
      </c>
      <c r="T49" s="63" t="s">
        <v>78</v>
      </c>
      <c r="U49" s="77" t="s">
        <v>309</v>
      </c>
      <c r="V49" s="50" t="s">
        <v>80</v>
      </c>
      <c r="W49" s="50" t="s">
        <v>213</v>
      </c>
      <c r="X49" s="50" t="s">
        <v>76</v>
      </c>
      <c r="Y49" s="50" t="s">
        <v>76</v>
      </c>
      <c r="Z49" s="50" t="s">
        <v>76</v>
      </c>
      <c r="AA49" s="54" t="s">
        <v>82</v>
      </c>
      <c r="AB49" s="55"/>
      <c r="AC49" s="55"/>
      <c r="AD49" s="20">
        <v>1</v>
      </c>
      <c r="AE49" s="55"/>
      <c r="AF49" s="55"/>
      <c r="AG49" s="55">
        <v>1</v>
      </c>
      <c r="AH49" s="55"/>
      <c r="AI49" s="55"/>
      <c r="AJ49" s="20">
        <v>1</v>
      </c>
      <c r="AK49" s="55"/>
      <c r="AL49" s="55"/>
      <c r="AM49" s="55">
        <v>1</v>
      </c>
      <c r="AN49" s="55">
        <v>1</v>
      </c>
      <c r="AO49" s="67"/>
      <c r="AP49" s="67"/>
      <c r="AQ49" s="67"/>
      <c r="AR49" s="67"/>
      <c r="AS49" s="67"/>
      <c r="AT49" s="67"/>
      <c r="AU49" s="67"/>
      <c r="AV49" s="67"/>
      <c r="AW49" s="67"/>
      <c r="AX49" s="67"/>
      <c r="AY49" s="67"/>
      <c r="AZ49" s="67"/>
      <c r="BA49" s="55">
        <v>0</v>
      </c>
      <c r="BB49" s="55">
        <v>0</v>
      </c>
      <c r="BC49" s="55">
        <v>0</v>
      </c>
      <c r="BD49" s="55">
        <v>0</v>
      </c>
      <c r="BE49" s="55">
        <v>0</v>
      </c>
      <c r="BF49" s="55">
        <v>0</v>
      </c>
      <c r="BG49" s="20">
        <v>1</v>
      </c>
      <c r="BH49" s="20">
        <v>1</v>
      </c>
      <c r="BI49" s="20">
        <v>0.25</v>
      </c>
      <c r="BJ49" s="20">
        <v>0.25</v>
      </c>
      <c r="BK49" s="20">
        <v>0.25</v>
      </c>
      <c r="BL49" s="20">
        <v>0.25</v>
      </c>
      <c r="BM49" s="67"/>
      <c r="BN49" s="67"/>
      <c r="BO49" s="67"/>
      <c r="BP49" s="67"/>
      <c r="BQ49" s="67"/>
      <c r="BR49" s="67"/>
      <c r="BS49" s="67"/>
      <c r="BT49" s="67"/>
      <c r="BU49" s="67"/>
      <c r="BV49" s="67"/>
      <c r="BW49" s="67"/>
      <c r="BX49" s="67"/>
      <c r="BY49" s="55">
        <v>1</v>
      </c>
      <c r="BZ49" s="20">
        <v>0.75</v>
      </c>
      <c r="CA49" s="55">
        <v>0.25</v>
      </c>
      <c r="CB49" s="55">
        <v>0.25</v>
      </c>
      <c r="CC49" s="55">
        <v>0</v>
      </c>
      <c r="CD49" s="55">
        <v>0.25</v>
      </c>
      <c r="CE49" s="55">
        <v>1</v>
      </c>
      <c r="CF49" s="20">
        <f t="shared" si="11"/>
        <v>1</v>
      </c>
      <c r="CG49" s="20">
        <v>0.25</v>
      </c>
      <c r="CH49" s="20">
        <v>0.25</v>
      </c>
      <c r="CI49" s="20">
        <v>0.25</v>
      </c>
      <c r="CJ49" s="20">
        <v>0.25</v>
      </c>
      <c r="CK49" s="55">
        <f>BY49</f>
        <v>1</v>
      </c>
      <c r="CL49" s="82">
        <f>CK49</f>
        <v>1</v>
      </c>
      <c r="CM49" s="26">
        <v>0.5</v>
      </c>
    </row>
    <row r="50" spans="1:91" s="60" customFormat="1" ht="75" x14ac:dyDescent="0.25">
      <c r="A50" s="187"/>
      <c r="B50" s="140"/>
      <c r="C50" s="140"/>
      <c r="D50" s="189"/>
      <c r="E50" s="192"/>
      <c r="F50" s="195"/>
      <c r="G50" s="183"/>
      <c r="H50" s="177"/>
      <c r="I50" s="140"/>
      <c r="J50" s="142"/>
      <c r="K50" s="50" t="s">
        <v>305</v>
      </c>
      <c r="L50" s="50" t="s">
        <v>73</v>
      </c>
      <c r="M50" s="143"/>
      <c r="N50" s="77" t="s">
        <v>310</v>
      </c>
      <c r="O50" s="52">
        <v>0.5</v>
      </c>
      <c r="P50" s="51" t="s">
        <v>311</v>
      </c>
      <c r="Q50" s="50" t="s">
        <v>76</v>
      </c>
      <c r="R50" s="50" t="s">
        <v>76</v>
      </c>
      <c r="S50" s="77" t="s">
        <v>312</v>
      </c>
      <c r="T50" s="63" t="s">
        <v>78</v>
      </c>
      <c r="U50" s="77" t="s">
        <v>313</v>
      </c>
      <c r="V50" s="50" t="s">
        <v>80</v>
      </c>
      <c r="W50" s="50" t="s">
        <v>213</v>
      </c>
      <c r="X50" s="50" t="s">
        <v>76</v>
      </c>
      <c r="Y50" s="50" t="s">
        <v>76</v>
      </c>
      <c r="Z50" s="50" t="s">
        <v>76</v>
      </c>
      <c r="AA50" s="54" t="s">
        <v>82</v>
      </c>
      <c r="AB50" s="55"/>
      <c r="AC50" s="55"/>
      <c r="AD50" s="20">
        <v>1</v>
      </c>
      <c r="AE50" s="55"/>
      <c r="AF50" s="55"/>
      <c r="AG50" s="55">
        <v>1</v>
      </c>
      <c r="AH50" s="55"/>
      <c r="AI50" s="55"/>
      <c r="AJ50" s="20">
        <v>1</v>
      </c>
      <c r="AK50" s="55"/>
      <c r="AL50" s="55"/>
      <c r="AM50" s="55">
        <v>1</v>
      </c>
      <c r="AN50" s="55">
        <v>1</v>
      </c>
      <c r="AO50" s="67"/>
      <c r="AP50" s="67"/>
      <c r="AQ50" s="67"/>
      <c r="AR50" s="67"/>
      <c r="AS50" s="67"/>
      <c r="AT50" s="67"/>
      <c r="AU50" s="67"/>
      <c r="AV50" s="67"/>
      <c r="AW50" s="67"/>
      <c r="AX50" s="67"/>
      <c r="AY50" s="67"/>
      <c r="AZ50" s="67"/>
      <c r="BA50" s="55">
        <v>0</v>
      </c>
      <c r="BB50" s="55">
        <v>0</v>
      </c>
      <c r="BC50" s="55">
        <v>0</v>
      </c>
      <c r="BD50" s="55">
        <v>0</v>
      </c>
      <c r="BE50" s="55">
        <v>0</v>
      </c>
      <c r="BF50" s="55">
        <v>0</v>
      </c>
      <c r="BG50" s="20">
        <v>1</v>
      </c>
      <c r="BH50" s="20">
        <v>1</v>
      </c>
      <c r="BI50" s="20">
        <v>0.25</v>
      </c>
      <c r="BJ50" s="20">
        <v>0.25</v>
      </c>
      <c r="BK50" s="20">
        <v>0.25</v>
      </c>
      <c r="BL50" s="20">
        <v>0.25</v>
      </c>
      <c r="BM50" s="67"/>
      <c r="BN50" s="67"/>
      <c r="BO50" s="67"/>
      <c r="BP50" s="67"/>
      <c r="BQ50" s="67"/>
      <c r="BR50" s="67"/>
      <c r="BS50" s="67"/>
      <c r="BT50" s="67"/>
      <c r="BU50" s="67"/>
      <c r="BV50" s="67"/>
      <c r="BW50" s="67"/>
      <c r="BX50" s="67"/>
      <c r="BY50" s="55">
        <v>1</v>
      </c>
      <c r="BZ50" s="20">
        <v>0.75</v>
      </c>
      <c r="CA50" s="55">
        <v>0.25</v>
      </c>
      <c r="CB50" s="55">
        <v>0.25</v>
      </c>
      <c r="CC50" s="55">
        <v>0</v>
      </c>
      <c r="CD50" s="55">
        <v>0.25</v>
      </c>
      <c r="CE50" s="55">
        <v>1</v>
      </c>
      <c r="CF50" s="20">
        <f t="shared" si="11"/>
        <v>1</v>
      </c>
      <c r="CG50" s="20">
        <v>0.25</v>
      </c>
      <c r="CH50" s="20">
        <v>0.25</v>
      </c>
      <c r="CI50" s="20">
        <v>0.25</v>
      </c>
      <c r="CJ50" s="20">
        <v>0.25</v>
      </c>
      <c r="CK50" s="55">
        <f>BY50</f>
        <v>1</v>
      </c>
      <c r="CL50" s="82">
        <f>CK50</f>
        <v>1</v>
      </c>
      <c r="CM50" s="26">
        <v>0.5</v>
      </c>
    </row>
    <row r="51" spans="1:91" s="60" customFormat="1" ht="60" x14ac:dyDescent="0.25">
      <c r="A51" s="170" t="s">
        <v>314</v>
      </c>
      <c r="B51" s="155" t="s">
        <v>220</v>
      </c>
      <c r="C51" s="155" t="s">
        <v>315</v>
      </c>
      <c r="D51" s="155" t="s">
        <v>316</v>
      </c>
      <c r="E51" s="165" t="s">
        <v>102</v>
      </c>
      <c r="F51" s="173" t="s">
        <v>317</v>
      </c>
      <c r="G51" s="52">
        <v>0.5</v>
      </c>
      <c r="H51" s="139" t="s">
        <v>104</v>
      </c>
      <c r="I51" s="51" t="s">
        <v>318</v>
      </c>
      <c r="J51" s="50" t="s">
        <v>319</v>
      </c>
      <c r="K51" s="50" t="s">
        <v>320</v>
      </c>
      <c r="L51" s="50" t="s">
        <v>73</v>
      </c>
      <c r="M51" s="52">
        <v>1</v>
      </c>
      <c r="N51" s="77" t="s">
        <v>321</v>
      </c>
      <c r="O51" s="52">
        <v>1</v>
      </c>
      <c r="P51" s="51" t="s">
        <v>322</v>
      </c>
      <c r="Q51" s="50" t="s">
        <v>76</v>
      </c>
      <c r="R51" s="50" t="s">
        <v>76</v>
      </c>
      <c r="S51" s="51" t="s">
        <v>323</v>
      </c>
      <c r="T51" s="63" t="s">
        <v>86</v>
      </c>
      <c r="U51" s="51" t="s">
        <v>323</v>
      </c>
      <c r="V51" s="50" t="s">
        <v>30</v>
      </c>
      <c r="W51" s="50" t="s">
        <v>81</v>
      </c>
      <c r="X51" s="50" t="s">
        <v>76</v>
      </c>
      <c r="Y51" s="50" t="s">
        <v>76</v>
      </c>
      <c r="Z51" s="50" t="s">
        <v>76</v>
      </c>
      <c r="AA51" s="54" t="s">
        <v>88</v>
      </c>
      <c r="AB51" s="54"/>
      <c r="AC51" s="54"/>
      <c r="AD51" s="54"/>
      <c r="AE51" s="54"/>
      <c r="AF51" s="54"/>
      <c r="AG51" s="31">
        <v>1</v>
      </c>
      <c r="AH51" s="54"/>
      <c r="AI51" s="54"/>
      <c r="AJ51" s="54"/>
      <c r="AK51" s="54"/>
      <c r="AL51" s="54"/>
      <c r="AM51" s="31">
        <v>1</v>
      </c>
      <c r="AN51" s="31">
        <v>2</v>
      </c>
      <c r="AO51" s="67"/>
      <c r="AP51" s="67"/>
      <c r="AQ51" s="67"/>
      <c r="AR51" s="67"/>
      <c r="AS51" s="67"/>
      <c r="AT51" s="67"/>
      <c r="AU51" s="67">
        <v>1</v>
      </c>
      <c r="AV51" s="56">
        <v>1</v>
      </c>
      <c r="AW51" s="56">
        <v>0.25</v>
      </c>
      <c r="AX51" s="56">
        <v>0.25</v>
      </c>
      <c r="AY51" s="56">
        <v>0.25</v>
      </c>
      <c r="AZ51" s="56">
        <v>0.25</v>
      </c>
      <c r="BA51" s="67"/>
      <c r="BB51" s="56"/>
      <c r="BC51" s="67"/>
      <c r="BD51" s="67"/>
      <c r="BE51" s="67"/>
      <c r="BF51" s="67"/>
      <c r="BG51" s="67">
        <v>1</v>
      </c>
      <c r="BH51" s="14">
        <f>BI51+BJ51+BK51+BL51</f>
        <v>1</v>
      </c>
      <c r="BI51" s="14">
        <v>0.25</v>
      </c>
      <c r="BJ51" s="14">
        <v>0.25</v>
      </c>
      <c r="BK51" s="14">
        <v>0.25</v>
      </c>
      <c r="BL51" s="14">
        <v>0.25</v>
      </c>
      <c r="BM51" s="67"/>
      <c r="BN51" s="67"/>
      <c r="BO51" s="67"/>
      <c r="BP51" s="67"/>
      <c r="BQ51" s="67"/>
      <c r="BR51" s="67"/>
      <c r="BS51" s="67">
        <v>1</v>
      </c>
      <c r="BT51" s="14">
        <f t="shared" ref="BT51:BT52" si="39">BU51+BV51+BW51+BX51</f>
        <v>1</v>
      </c>
      <c r="BU51" s="56">
        <v>0.25</v>
      </c>
      <c r="BV51" s="56">
        <v>0.25</v>
      </c>
      <c r="BW51" s="56">
        <v>0.25</v>
      </c>
      <c r="BX51" s="56">
        <v>0.25</v>
      </c>
      <c r="BY51" s="67"/>
      <c r="BZ51" s="67"/>
      <c r="CA51" s="67"/>
      <c r="CB51" s="67"/>
      <c r="CC51" s="67"/>
      <c r="CD51" s="67"/>
      <c r="CE51" s="67">
        <v>1</v>
      </c>
      <c r="CF51" s="14">
        <f t="shared" si="11"/>
        <v>1</v>
      </c>
      <c r="CG51" s="56">
        <v>0.25</v>
      </c>
      <c r="CH51" s="56">
        <v>0.25</v>
      </c>
      <c r="CI51" s="56">
        <v>0.25</v>
      </c>
      <c r="CJ51" s="56">
        <v>0.25</v>
      </c>
      <c r="CK51" s="56">
        <v>1</v>
      </c>
      <c r="CL51" s="56">
        <f>CK51</f>
        <v>1</v>
      </c>
      <c r="CM51" s="19">
        <v>1</v>
      </c>
    </row>
    <row r="52" spans="1:91" s="60" customFormat="1" ht="60" x14ac:dyDescent="0.25">
      <c r="A52" s="171"/>
      <c r="B52" s="172"/>
      <c r="C52" s="172"/>
      <c r="D52" s="172"/>
      <c r="E52" s="165"/>
      <c r="F52" s="174"/>
      <c r="G52" s="143">
        <v>0.5</v>
      </c>
      <c r="H52" s="153"/>
      <c r="I52" s="139" t="s">
        <v>324</v>
      </c>
      <c r="J52" s="141" t="s">
        <v>71</v>
      </c>
      <c r="K52" s="50" t="s">
        <v>325</v>
      </c>
      <c r="L52" s="50" t="s">
        <v>73</v>
      </c>
      <c r="M52" s="143">
        <v>1</v>
      </c>
      <c r="N52" s="77" t="s">
        <v>326</v>
      </c>
      <c r="O52" s="85">
        <v>0.33329999999999999</v>
      </c>
      <c r="P52" s="51" t="s">
        <v>327</v>
      </c>
      <c r="Q52" s="50" t="s">
        <v>76</v>
      </c>
      <c r="R52" s="50" t="s">
        <v>76</v>
      </c>
      <c r="S52" s="51" t="s">
        <v>328</v>
      </c>
      <c r="T52" s="50" t="s">
        <v>78</v>
      </c>
      <c r="U52" s="51" t="s">
        <v>329</v>
      </c>
      <c r="V52" s="50" t="s">
        <v>236</v>
      </c>
      <c r="W52" s="50" t="s">
        <v>248</v>
      </c>
      <c r="X52" s="50" t="s">
        <v>76</v>
      </c>
      <c r="Y52" s="50" t="s">
        <v>76</v>
      </c>
      <c r="Z52" s="50" t="s">
        <v>76</v>
      </c>
      <c r="AA52" s="54" t="s">
        <v>88</v>
      </c>
      <c r="AB52" s="54"/>
      <c r="AC52" s="54"/>
      <c r="AD52" s="55"/>
      <c r="AE52" s="54"/>
      <c r="AF52" s="54"/>
      <c r="AG52" s="55">
        <v>1</v>
      </c>
      <c r="AH52" s="54"/>
      <c r="AI52" s="54"/>
      <c r="AJ52" s="55"/>
      <c r="AK52" s="54"/>
      <c r="AL52" s="54"/>
      <c r="AM52" s="55">
        <v>1</v>
      </c>
      <c r="AN52" s="55">
        <v>1</v>
      </c>
      <c r="AO52" s="13"/>
      <c r="AP52" s="67"/>
      <c r="AQ52" s="67"/>
      <c r="AR52" s="67"/>
      <c r="AS52" s="67"/>
      <c r="AT52" s="67"/>
      <c r="AU52" s="14">
        <f>1/1</f>
        <v>1</v>
      </c>
      <c r="AV52" s="56">
        <v>1</v>
      </c>
      <c r="AW52" s="56">
        <v>0.25</v>
      </c>
      <c r="AX52" s="56">
        <v>0.25</v>
      </c>
      <c r="AY52" s="56">
        <v>0.25</v>
      </c>
      <c r="AZ52" s="56">
        <v>0.25</v>
      </c>
      <c r="BA52" s="67"/>
      <c r="BB52" s="56"/>
      <c r="BC52" s="67"/>
      <c r="BD52" s="67"/>
      <c r="BE52" s="67"/>
      <c r="BF52" s="67"/>
      <c r="BG52" s="56">
        <v>1</v>
      </c>
      <c r="BH52" s="14">
        <v>1</v>
      </c>
      <c r="BI52" s="56">
        <v>0.25</v>
      </c>
      <c r="BJ52" s="56">
        <v>0.25</v>
      </c>
      <c r="BK52" s="56">
        <v>0.25</v>
      </c>
      <c r="BL52" s="56">
        <v>0.25</v>
      </c>
      <c r="BM52" s="67"/>
      <c r="BN52" s="67"/>
      <c r="BO52" s="67"/>
      <c r="BP52" s="67"/>
      <c r="BQ52" s="67"/>
      <c r="BR52" s="67"/>
      <c r="BS52" s="14">
        <f>1/1</f>
        <v>1</v>
      </c>
      <c r="BT52" s="14">
        <f t="shared" si="39"/>
        <v>1</v>
      </c>
      <c r="BU52" s="56">
        <v>0.25</v>
      </c>
      <c r="BV52" s="56">
        <v>0.25</v>
      </c>
      <c r="BW52" s="56">
        <v>0.25</v>
      </c>
      <c r="BX52" s="56">
        <v>0.25</v>
      </c>
      <c r="BY52" s="67"/>
      <c r="BZ52" s="67"/>
      <c r="CA52" s="67"/>
      <c r="CB52" s="67"/>
      <c r="CC52" s="67"/>
      <c r="CD52" s="67"/>
      <c r="CE52" s="56">
        <v>1</v>
      </c>
      <c r="CF52" s="14">
        <f t="shared" si="11"/>
        <v>1</v>
      </c>
      <c r="CG52" s="56">
        <v>0.25</v>
      </c>
      <c r="CH52" s="56">
        <v>0.25</v>
      </c>
      <c r="CI52" s="56">
        <v>0.25</v>
      </c>
      <c r="CJ52" s="56">
        <v>0.25</v>
      </c>
      <c r="CK52" s="56">
        <f>(BS52+CE52)/2</f>
        <v>1</v>
      </c>
      <c r="CL52" s="56">
        <f>CK52</f>
        <v>1</v>
      </c>
      <c r="CM52" s="17">
        <v>0.3332</v>
      </c>
    </row>
    <row r="53" spans="1:91" s="60" customFormat="1" ht="45" x14ac:dyDescent="0.25">
      <c r="A53" s="171"/>
      <c r="B53" s="172"/>
      <c r="C53" s="172"/>
      <c r="D53" s="172"/>
      <c r="E53" s="165"/>
      <c r="F53" s="174"/>
      <c r="G53" s="143"/>
      <c r="H53" s="153"/>
      <c r="I53" s="153"/>
      <c r="J53" s="154"/>
      <c r="K53" s="50" t="s">
        <v>330</v>
      </c>
      <c r="L53" s="50" t="s">
        <v>117</v>
      </c>
      <c r="M53" s="143"/>
      <c r="N53" s="51" t="s">
        <v>331</v>
      </c>
      <c r="O53" s="85">
        <v>0.33329999999999999</v>
      </c>
      <c r="P53" s="51" t="s">
        <v>332</v>
      </c>
      <c r="Q53" s="50" t="s">
        <v>76</v>
      </c>
      <c r="R53" s="50" t="s">
        <v>76</v>
      </c>
      <c r="S53" s="51" t="s">
        <v>333</v>
      </c>
      <c r="T53" s="63" t="s">
        <v>86</v>
      </c>
      <c r="U53" s="51" t="s">
        <v>333</v>
      </c>
      <c r="V53" s="50" t="s">
        <v>30</v>
      </c>
      <c r="W53" s="50" t="s">
        <v>136</v>
      </c>
      <c r="X53" s="50" t="s">
        <v>76</v>
      </c>
      <c r="Y53" s="50" t="s">
        <v>76</v>
      </c>
      <c r="Z53" s="50" t="s">
        <v>76</v>
      </c>
      <c r="AA53" s="73" t="s">
        <v>137</v>
      </c>
      <c r="AB53" s="54"/>
      <c r="AC53" s="54"/>
      <c r="AD53" s="54"/>
      <c r="AE53" s="54"/>
      <c r="AF53" s="54"/>
      <c r="AG53" s="20"/>
      <c r="AH53" s="54"/>
      <c r="AI53" s="54"/>
      <c r="AJ53" s="54"/>
      <c r="AK53" s="54"/>
      <c r="AL53" s="54"/>
      <c r="AM53" s="31">
        <v>1</v>
      </c>
      <c r="AN53" s="31">
        <v>1</v>
      </c>
      <c r="AO53" s="54"/>
      <c r="AP53" s="54"/>
      <c r="AQ53" s="54"/>
      <c r="AR53" s="54"/>
      <c r="AS53" s="54"/>
      <c r="AT53" s="54"/>
      <c r="AU53" s="54"/>
      <c r="AV53" s="54"/>
      <c r="AW53" s="54"/>
      <c r="AX53" s="54"/>
      <c r="AY53" s="54"/>
      <c r="AZ53" s="54"/>
      <c r="BA53" s="54"/>
      <c r="BB53" s="54"/>
      <c r="BC53" s="54"/>
      <c r="BD53" s="54"/>
      <c r="BE53" s="54"/>
      <c r="BF53" s="54"/>
      <c r="BG53" s="54">
        <v>0</v>
      </c>
      <c r="BH53" s="56">
        <v>0.75</v>
      </c>
      <c r="BI53" s="14">
        <v>0.25</v>
      </c>
      <c r="BJ53" s="56">
        <v>0.25</v>
      </c>
      <c r="BK53" s="14">
        <v>0</v>
      </c>
      <c r="BL53" s="56">
        <v>0.25</v>
      </c>
      <c r="BM53" s="54"/>
      <c r="BN53" s="54"/>
      <c r="BO53" s="54"/>
      <c r="BP53" s="54"/>
      <c r="BQ53" s="54"/>
      <c r="BR53" s="54"/>
      <c r="BS53" s="54"/>
      <c r="BT53" s="54"/>
      <c r="BU53" s="54"/>
      <c r="BV53" s="54"/>
      <c r="BW53" s="54"/>
      <c r="BX53" s="54"/>
      <c r="BY53" s="54"/>
      <c r="BZ53" s="54"/>
      <c r="CA53" s="54"/>
      <c r="CB53" s="54"/>
      <c r="CC53" s="54"/>
      <c r="CD53" s="54"/>
      <c r="CE53" s="54">
        <v>0</v>
      </c>
      <c r="CF53" s="20">
        <f t="shared" si="11"/>
        <v>0.75</v>
      </c>
      <c r="CG53" s="55">
        <v>0.25</v>
      </c>
      <c r="CH53" s="55">
        <v>0.25</v>
      </c>
      <c r="CI53" s="55">
        <v>0</v>
      </c>
      <c r="CJ53" s="55">
        <v>0.25</v>
      </c>
      <c r="CK53" s="56">
        <f>(BM53+BS53)/2</f>
        <v>0</v>
      </c>
      <c r="CL53" s="56">
        <f t="shared" ref="CL53:CL54" si="40">CK53</f>
        <v>0</v>
      </c>
      <c r="CM53" s="26">
        <v>0</v>
      </c>
    </row>
    <row r="54" spans="1:91" s="60" customFormat="1" ht="45" x14ac:dyDescent="0.25">
      <c r="A54" s="171"/>
      <c r="B54" s="172"/>
      <c r="C54" s="172"/>
      <c r="D54" s="172"/>
      <c r="E54" s="165"/>
      <c r="F54" s="174"/>
      <c r="G54" s="143"/>
      <c r="H54" s="153"/>
      <c r="I54" s="153"/>
      <c r="J54" s="154"/>
      <c r="K54" s="50" t="s">
        <v>334</v>
      </c>
      <c r="L54" s="50" t="s">
        <v>73</v>
      </c>
      <c r="M54" s="143"/>
      <c r="N54" s="51" t="s">
        <v>335</v>
      </c>
      <c r="O54" s="85">
        <v>0.33329999999999999</v>
      </c>
      <c r="P54" s="51" t="s">
        <v>336</v>
      </c>
      <c r="Q54" s="50" t="s">
        <v>76</v>
      </c>
      <c r="R54" s="50" t="s">
        <v>76</v>
      </c>
      <c r="S54" s="51" t="s">
        <v>337</v>
      </c>
      <c r="T54" s="63" t="s">
        <v>86</v>
      </c>
      <c r="U54" s="51" t="s">
        <v>337</v>
      </c>
      <c r="V54" s="50" t="s">
        <v>30</v>
      </c>
      <c r="W54" s="50" t="s">
        <v>298</v>
      </c>
      <c r="X54" s="50" t="s">
        <v>76</v>
      </c>
      <c r="Y54" s="50" t="s">
        <v>76</v>
      </c>
      <c r="Z54" s="50" t="s">
        <v>76</v>
      </c>
      <c r="AA54" s="73" t="s">
        <v>137</v>
      </c>
      <c r="AB54" s="54"/>
      <c r="AC54" s="54"/>
      <c r="AD54" s="54"/>
      <c r="AE54" s="54"/>
      <c r="AF54" s="54"/>
      <c r="AG54" s="20"/>
      <c r="AH54" s="54"/>
      <c r="AI54" s="54"/>
      <c r="AJ54" s="54"/>
      <c r="AK54" s="54"/>
      <c r="AL54" s="54"/>
      <c r="AM54" s="31">
        <v>1</v>
      </c>
      <c r="AN54" s="31">
        <v>1</v>
      </c>
      <c r="AO54" s="67"/>
      <c r="AP54" s="67"/>
      <c r="AQ54" s="67"/>
      <c r="AR54" s="67"/>
      <c r="AS54" s="67"/>
      <c r="AT54" s="67"/>
      <c r="AU54" s="67"/>
      <c r="AV54" s="56"/>
      <c r="AW54" s="56"/>
      <c r="AX54" s="56"/>
      <c r="AY54" s="56"/>
      <c r="AZ54" s="56"/>
      <c r="BA54" s="67"/>
      <c r="BB54" s="67"/>
      <c r="BC54" s="67"/>
      <c r="BD54" s="67"/>
      <c r="BE54" s="67"/>
      <c r="BF54" s="67"/>
      <c r="BG54" s="67">
        <v>1</v>
      </c>
      <c r="BH54" s="56">
        <v>1</v>
      </c>
      <c r="BI54" s="56">
        <v>0.25</v>
      </c>
      <c r="BJ54" s="56">
        <v>0.25</v>
      </c>
      <c r="BK54" s="56">
        <v>0.25</v>
      </c>
      <c r="BL54" s="56">
        <v>0.25</v>
      </c>
      <c r="BM54" s="67"/>
      <c r="BN54" s="67"/>
      <c r="BO54" s="67"/>
      <c r="BP54" s="67"/>
      <c r="BQ54" s="67"/>
      <c r="BR54" s="67"/>
      <c r="BS54" s="67"/>
      <c r="BT54" s="67"/>
      <c r="BU54" s="67"/>
      <c r="BV54" s="67"/>
      <c r="BW54" s="67"/>
      <c r="BX54" s="67"/>
      <c r="BY54" s="67"/>
      <c r="BZ54" s="67"/>
      <c r="CA54" s="67"/>
      <c r="CB54" s="67"/>
      <c r="CC54" s="67"/>
      <c r="CD54" s="67"/>
      <c r="CE54" s="67">
        <v>1</v>
      </c>
      <c r="CF54" s="54">
        <f t="shared" si="11"/>
        <v>1</v>
      </c>
      <c r="CG54" s="56">
        <v>0.25</v>
      </c>
      <c r="CH54" s="56">
        <v>0.25</v>
      </c>
      <c r="CI54" s="56">
        <v>0.25</v>
      </c>
      <c r="CJ54" s="56">
        <v>0.25</v>
      </c>
      <c r="CK54" s="56">
        <v>1</v>
      </c>
      <c r="CL54" s="56">
        <f t="shared" si="40"/>
        <v>1</v>
      </c>
      <c r="CM54" s="17">
        <v>0.33329999999999999</v>
      </c>
    </row>
    <row r="55" spans="1:91" s="60" customFormat="1" ht="30" x14ac:dyDescent="0.25">
      <c r="A55" s="166" t="s">
        <v>338</v>
      </c>
      <c r="B55" s="159" t="s">
        <v>339</v>
      </c>
      <c r="C55" s="159" t="s">
        <v>340</v>
      </c>
      <c r="D55" s="165" t="s">
        <v>341</v>
      </c>
      <c r="E55" s="165"/>
      <c r="F55" s="169" t="s">
        <v>342</v>
      </c>
      <c r="G55" s="143">
        <v>0.1</v>
      </c>
      <c r="H55" s="139" t="s">
        <v>104</v>
      </c>
      <c r="I55" s="165" t="s">
        <v>343</v>
      </c>
      <c r="J55" s="162" t="s">
        <v>71</v>
      </c>
      <c r="K55" s="81" t="s">
        <v>344</v>
      </c>
      <c r="L55" s="81" t="s">
        <v>117</v>
      </c>
      <c r="M55" s="158">
        <v>1</v>
      </c>
      <c r="N55" s="58" t="s">
        <v>345</v>
      </c>
      <c r="O55" s="52">
        <v>0.5</v>
      </c>
      <c r="P55" s="58" t="s">
        <v>346</v>
      </c>
      <c r="Q55" s="81" t="s">
        <v>76</v>
      </c>
      <c r="R55" s="81" t="s">
        <v>76</v>
      </c>
      <c r="S55" s="58" t="s">
        <v>347</v>
      </c>
      <c r="T55" s="50" t="s">
        <v>78</v>
      </c>
      <c r="U55" s="58" t="s">
        <v>348</v>
      </c>
      <c r="V55" s="81" t="s">
        <v>80</v>
      </c>
      <c r="W55" s="50" t="s">
        <v>230</v>
      </c>
      <c r="X55" s="50" t="s">
        <v>76</v>
      </c>
      <c r="Y55" s="50" t="s">
        <v>76</v>
      </c>
      <c r="Z55" s="50" t="s">
        <v>76</v>
      </c>
      <c r="AA55" s="67" t="s">
        <v>111</v>
      </c>
      <c r="AB55" s="20">
        <v>1</v>
      </c>
      <c r="AC55" s="20">
        <v>1</v>
      </c>
      <c r="AD55" s="20">
        <v>1</v>
      </c>
      <c r="AE55" s="20">
        <v>1</v>
      </c>
      <c r="AF55" s="20">
        <v>1</v>
      </c>
      <c r="AG55" s="20">
        <v>1</v>
      </c>
      <c r="AH55" s="20">
        <v>1</v>
      </c>
      <c r="AI55" s="20">
        <v>1</v>
      </c>
      <c r="AJ55" s="20">
        <v>1</v>
      </c>
      <c r="AK55" s="20">
        <v>1</v>
      </c>
      <c r="AL55" s="20">
        <v>1</v>
      </c>
      <c r="AM55" s="20">
        <v>1</v>
      </c>
      <c r="AN55" s="55">
        <v>1</v>
      </c>
      <c r="AO55" s="13">
        <f>(12+43)/(14+70)</f>
        <v>0.65476190476190477</v>
      </c>
      <c r="AP55" s="56">
        <v>1</v>
      </c>
      <c r="AQ55" s="56">
        <f>(25%+25%+25%)</f>
        <v>0.75</v>
      </c>
      <c r="AR55" s="56">
        <f t="shared" ref="AR55:AT55" si="41">(25%+25%+25%)</f>
        <v>0.75</v>
      </c>
      <c r="AS55" s="56">
        <f t="shared" si="41"/>
        <v>0.75</v>
      </c>
      <c r="AT55" s="56">
        <f t="shared" si="41"/>
        <v>0.75</v>
      </c>
      <c r="AU55" s="13">
        <f>(36+35+50)/(47+39+55)</f>
        <v>0.85815602836879434</v>
      </c>
      <c r="AV55" s="56">
        <v>1</v>
      </c>
      <c r="AW55" s="56">
        <f>(25%+25%+25%)/3</f>
        <v>0.25</v>
      </c>
      <c r="AX55" s="56">
        <f t="shared" ref="AX55:AZ55" si="42">(25%+25%+25%)/3</f>
        <v>0.25</v>
      </c>
      <c r="AY55" s="56">
        <f t="shared" si="42"/>
        <v>0.25</v>
      </c>
      <c r="AZ55" s="56">
        <f t="shared" si="42"/>
        <v>0.25</v>
      </c>
      <c r="BA55" s="13">
        <f>(56+60+46)/(60+64+49)</f>
        <v>0.93641618497109824</v>
      </c>
      <c r="BB55" s="56">
        <v>1</v>
      </c>
      <c r="BC55" s="14">
        <f t="shared" ref="BC55:BF55" si="43">(25%+25%+25%)/3</f>
        <v>0.25</v>
      </c>
      <c r="BD55" s="14">
        <f t="shared" si="43"/>
        <v>0.25</v>
      </c>
      <c r="BE55" s="14">
        <f t="shared" si="43"/>
        <v>0.25</v>
      </c>
      <c r="BF55" s="14">
        <f t="shared" si="43"/>
        <v>0.25</v>
      </c>
      <c r="BG55" s="13">
        <f>(30+27)/(30+28)</f>
        <v>0.98275862068965514</v>
      </c>
      <c r="BH55" s="56">
        <v>1</v>
      </c>
      <c r="BI55" s="14">
        <f t="shared" ref="BI55:BL55" si="44">(25%+25%)/2</f>
        <v>0.25</v>
      </c>
      <c r="BJ55" s="14">
        <f t="shared" si="44"/>
        <v>0.25</v>
      </c>
      <c r="BK55" s="14">
        <f t="shared" si="44"/>
        <v>0.25</v>
      </c>
      <c r="BL55" s="14">
        <f t="shared" si="44"/>
        <v>0.25</v>
      </c>
      <c r="BM55" s="13">
        <f>(12+43)/(14+70)</f>
        <v>0.65476190476190477</v>
      </c>
      <c r="BN55" s="14">
        <f>(BO55+BP55+BQ55+BR55)/3</f>
        <v>1</v>
      </c>
      <c r="BO55" s="56">
        <f t="shared" ref="BO55:BR55" si="45">(25%+25%+25%)</f>
        <v>0.75</v>
      </c>
      <c r="BP55" s="56">
        <f t="shared" si="45"/>
        <v>0.75</v>
      </c>
      <c r="BQ55" s="56">
        <f t="shared" si="45"/>
        <v>0.75</v>
      </c>
      <c r="BR55" s="56">
        <f t="shared" si="45"/>
        <v>0.75</v>
      </c>
      <c r="BS55" s="13">
        <f>(36+35+50)/(47+39+55)</f>
        <v>0.85815602836879434</v>
      </c>
      <c r="BT55" s="14">
        <f>BU55+BV55+BW55+BX55</f>
        <v>1</v>
      </c>
      <c r="BU55" s="14">
        <f t="shared" ref="BU55:BX55" si="46">(25%+25%+25%)/3</f>
        <v>0.25</v>
      </c>
      <c r="BV55" s="14">
        <f t="shared" si="46"/>
        <v>0.25</v>
      </c>
      <c r="BW55" s="14">
        <f t="shared" si="46"/>
        <v>0.25</v>
      </c>
      <c r="BX55" s="14">
        <f t="shared" si="46"/>
        <v>0.25</v>
      </c>
      <c r="BY55" s="13">
        <f>(56+60+46)/(60+64+49)</f>
        <v>0.93641618497109824</v>
      </c>
      <c r="BZ55" s="56">
        <f>CA55+CB55+CC55+CD55</f>
        <v>1</v>
      </c>
      <c r="CA55" s="14">
        <f t="shared" ref="CA55:CD55" si="47">(25%+25%+25%)/3</f>
        <v>0.25</v>
      </c>
      <c r="CB55" s="14">
        <f t="shared" si="47"/>
        <v>0.25</v>
      </c>
      <c r="CC55" s="14">
        <f t="shared" si="47"/>
        <v>0.25</v>
      </c>
      <c r="CD55" s="14">
        <f t="shared" si="47"/>
        <v>0.25</v>
      </c>
      <c r="CE55" s="13">
        <f>(30+27)/(30+28)</f>
        <v>0.98275862068965514</v>
      </c>
      <c r="CF55" s="56">
        <f t="shared" si="11"/>
        <v>1</v>
      </c>
      <c r="CG55" s="14">
        <f>(25%+25%)/2</f>
        <v>0.25</v>
      </c>
      <c r="CH55" s="14">
        <f>(25%+25%)/2</f>
        <v>0.25</v>
      </c>
      <c r="CI55" s="14">
        <f>(25%+25%)/2</f>
        <v>0.25</v>
      </c>
      <c r="CJ55" s="14">
        <f>(25%+25%)/2</f>
        <v>0.25</v>
      </c>
      <c r="CK55" s="59">
        <f>(BM55+BS55+BY55+CE55)/4</f>
        <v>0.85802318469786321</v>
      </c>
      <c r="CL55" s="59">
        <f>CK55/4</f>
        <v>0.2145057961744658</v>
      </c>
      <c r="CM55" s="17">
        <v>0.4290115923489316</v>
      </c>
    </row>
    <row r="56" spans="1:91" s="60" customFormat="1" ht="39.75" customHeight="1" x14ac:dyDescent="0.25">
      <c r="A56" s="167"/>
      <c r="B56" s="160"/>
      <c r="C56" s="160"/>
      <c r="D56" s="165"/>
      <c r="E56" s="165"/>
      <c r="F56" s="169"/>
      <c r="G56" s="143"/>
      <c r="H56" s="153"/>
      <c r="I56" s="165"/>
      <c r="J56" s="164"/>
      <c r="K56" s="81" t="s">
        <v>344</v>
      </c>
      <c r="L56" s="81" t="s">
        <v>117</v>
      </c>
      <c r="M56" s="158"/>
      <c r="N56" s="58" t="s">
        <v>349</v>
      </c>
      <c r="O56" s="52">
        <v>0.5</v>
      </c>
      <c r="P56" s="58" t="s">
        <v>350</v>
      </c>
      <c r="Q56" s="81" t="s">
        <v>76</v>
      </c>
      <c r="R56" s="81" t="s">
        <v>76</v>
      </c>
      <c r="S56" s="58" t="s">
        <v>351</v>
      </c>
      <c r="T56" s="50" t="s">
        <v>78</v>
      </c>
      <c r="U56" s="58" t="s">
        <v>352</v>
      </c>
      <c r="V56" s="81" t="s">
        <v>80</v>
      </c>
      <c r="W56" s="50" t="s">
        <v>230</v>
      </c>
      <c r="X56" s="50" t="s">
        <v>76</v>
      </c>
      <c r="Y56" s="50" t="s">
        <v>76</v>
      </c>
      <c r="Z56" s="50" t="s">
        <v>76</v>
      </c>
      <c r="AA56" s="67" t="s">
        <v>82</v>
      </c>
      <c r="AB56" s="20"/>
      <c r="AC56" s="20"/>
      <c r="AD56" s="20">
        <v>1</v>
      </c>
      <c r="AE56" s="20"/>
      <c r="AF56" s="20"/>
      <c r="AG56" s="20">
        <v>1</v>
      </c>
      <c r="AH56" s="20"/>
      <c r="AI56" s="20"/>
      <c r="AJ56" s="20">
        <v>1</v>
      </c>
      <c r="AK56" s="20"/>
      <c r="AL56" s="20"/>
      <c r="AM56" s="20">
        <v>1</v>
      </c>
      <c r="AN56" s="55">
        <v>1</v>
      </c>
      <c r="AO56" s="59">
        <v>0.95450000000000002</v>
      </c>
      <c r="AP56" s="56">
        <v>1</v>
      </c>
      <c r="AQ56" s="56">
        <v>0.25</v>
      </c>
      <c r="AR56" s="56">
        <v>0.25</v>
      </c>
      <c r="AS56" s="56">
        <v>0.25</v>
      </c>
      <c r="AT56" s="56">
        <v>0.25</v>
      </c>
      <c r="AU56" s="13">
        <f>15.4/18</f>
        <v>0.85555555555555562</v>
      </c>
      <c r="AV56" s="56">
        <v>1</v>
      </c>
      <c r="AW56" s="56">
        <v>0.25</v>
      </c>
      <c r="AX56" s="56">
        <v>0.25</v>
      </c>
      <c r="AY56" s="56">
        <v>0.25</v>
      </c>
      <c r="AZ56" s="56">
        <v>0.25</v>
      </c>
      <c r="BA56" s="13">
        <f>10.6/11</f>
        <v>0.96363636363636362</v>
      </c>
      <c r="BB56" s="56">
        <v>1</v>
      </c>
      <c r="BC56" s="56">
        <v>0.25</v>
      </c>
      <c r="BD56" s="56">
        <v>0.25</v>
      </c>
      <c r="BE56" s="56">
        <v>0.25</v>
      </c>
      <c r="BF56" s="56">
        <v>0.25</v>
      </c>
      <c r="BG56" s="14">
        <f>15.8/20</f>
        <v>0.79</v>
      </c>
      <c r="BH56" s="56">
        <v>1</v>
      </c>
      <c r="BI56" s="56">
        <v>0.25</v>
      </c>
      <c r="BJ56" s="56">
        <v>0.25</v>
      </c>
      <c r="BK56" s="56">
        <v>0.25</v>
      </c>
      <c r="BL56" s="56">
        <v>0.25</v>
      </c>
      <c r="BM56" s="13">
        <f>10.5/11</f>
        <v>0.95454545454545459</v>
      </c>
      <c r="BN56" s="56">
        <f>BO56+BP56+BQ56+BR56</f>
        <v>1</v>
      </c>
      <c r="BO56" s="56">
        <v>0.25</v>
      </c>
      <c r="BP56" s="56">
        <v>0.25</v>
      </c>
      <c r="BQ56" s="56">
        <v>0.25</v>
      </c>
      <c r="BR56" s="56">
        <v>0.25</v>
      </c>
      <c r="BS56" s="13">
        <f>15.4/18</f>
        <v>0.85555555555555562</v>
      </c>
      <c r="BT56" s="14">
        <f>BU56+BV56+BW56+BX56</f>
        <v>1</v>
      </c>
      <c r="BU56" s="56">
        <v>0.25</v>
      </c>
      <c r="BV56" s="56">
        <v>0.25</v>
      </c>
      <c r="BW56" s="56">
        <v>0.25</v>
      </c>
      <c r="BX56" s="56">
        <v>0.25</v>
      </c>
      <c r="BY56" s="13">
        <f>10.6/11</f>
        <v>0.96363636363636362</v>
      </c>
      <c r="BZ56" s="14">
        <f>CA56+CB56+CC56+CD56</f>
        <v>1</v>
      </c>
      <c r="CA56" s="56">
        <v>0.25</v>
      </c>
      <c r="CB56" s="56">
        <v>0.25</v>
      </c>
      <c r="CC56" s="56">
        <v>0.25</v>
      </c>
      <c r="CD56" s="56">
        <v>0.25</v>
      </c>
      <c r="CE56" s="14">
        <f>15.8/20</f>
        <v>0.79</v>
      </c>
      <c r="CF56" s="14">
        <f t="shared" si="11"/>
        <v>1</v>
      </c>
      <c r="CG56" s="56">
        <v>0.25</v>
      </c>
      <c r="CH56" s="56">
        <v>0.25</v>
      </c>
      <c r="CI56" s="56">
        <v>0.25</v>
      </c>
      <c r="CJ56" s="56">
        <v>0.25</v>
      </c>
      <c r="CK56" s="59">
        <f>(BM56+BS56+BY56+CE56)/4</f>
        <v>0.89093434343434352</v>
      </c>
      <c r="CL56" s="59">
        <f>CK56/100%</f>
        <v>0.89093434343434352</v>
      </c>
      <c r="CM56" s="17">
        <v>0.44546717171717176</v>
      </c>
    </row>
    <row r="57" spans="1:91" s="60" customFormat="1" ht="45" x14ac:dyDescent="0.25">
      <c r="A57" s="167"/>
      <c r="B57" s="160"/>
      <c r="C57" s="160"/>
      <c r="D57" s="165"/>
      <c r="E57" s="165"/>
      <c r="F57" s="169"/>
      <c r="G57" s="137">
        <v>0.1</v>
      </c>
      <c r="H57" s="153"/>
      <c r="I57" s="159" t="s">
        <v>353</v>
      </c>
      <c r="J57" s="162" t="s">
        <v>71</v>
      </c>
      <c r="K57" s="81" t="s">
        <v>354</v>
      </c>
      <c r="L57" s="81" t="s">
        <v>117</v>
      </c>
      <c r="M57" s="158">
        <v>1</v>
      </c>
      <c r="N57" s="58" t="s">
        <v>355</v>
      </c>
      <c r="O57" s="85">
        <v>0.33329999999999999</v>
      </c>
      <c r="P57" s="58" t="s">
        <v>356</v>
      </c>
      <c r="Q57" s="81" t="s">
        <v>76</v>
      </c>
      <c r="R57" s="81" t="s">
        <v>76</v>
      </c>
      <c r="S57" s="58" t="s">
        <v>357</v>
      </c>
      <c r="T57" s="63" t="s">
        <v>86</v>
      </c>
      <c r="U57" s="58" t="s">
        <v>357</v>
      </c>
      <c r="V57" s="81" t="s">
        <v>30</v>
      </c>
      <c r="W57" s="81" t="s">
        <v>136</v>
      </c>
      <c r="X57" s="50" t="s">
        <v>76</v>
      </c>
      <c r="Y57" s="50" t="s">
        <v>76</v>
      </c>
      <c r="Z57" s="50" t="s">
        <v>76</v>
      </c>
      <c r="AA57" s="97" t="s">
        <v>137</v>
      </c>
      <c r="AB57" s="20"/>
      <c r="AC57" s="20"/>
      <c r="AD57" s="20"/>
      <c r="AE57" s="20"/>
      <c r="AF57" s="20"/>
      <c r="AG57" s="20"/>
      <c r="AH57" s="20"/>
      <c r="AI57" s="20"/>
      <c r="AJ57" s="20"/>
      <c r="AK57" s="20"/>
      <c r="AL57" s="20"/>
      <c r="AM57" s="31">
        <v>1</v>
      </c>
      <c r="AN57" s="31">
        <v>1</v>
      </c>
      <c r="AO57" s="67"/>
      <c r="AP57" s="67"/>
      <c r="AQ57" s="67"/>
      <c r="AR57" s="67"/>
      <c r="AS57" s="67"/>
      <c r="AT57" s="67"/>
      <c r="AU57" s="67"/>
      <c r="AV57" s="67"/>
      <c r="AW57" s="67"/>
      <c r="AX57" s="67"/>
      <c r="AY57" s="67"/>
      <c r="AZ57" s="67"/>
      <c r="BA57" s="67"/>
      <c r="BB57" s="67"/>
      <c r="BC57" s="67"/>
      <c r="BD57" s="67"/>
      <c r="BE57" s="67"/>
      <c r="BF57" s="67"/>
      <c r="BG57" s="54">
        <v>0</v>
      </c>
      <c r="BH57" s="56">
        <v>0.75</v>
      </c>
      <c r="BI57" s="67">
        <v>25</v>
      </c>
      <c r="BJ57" s="67">
        <v>25</v>
      </c>
      <c r="BK57" s="67">
        <v>0</v>
      </c>
      <c r="BL57" s="67">
        <v>25</v>
      </c>
      <c r="BM57" s="67"/>
      <c r="BN57" s="67"/>
      <c r="BO57" s="67"/>
      <c r="BP57" s="67"/>
      <c r="BQ57" s="67"/>
      <c r="BR57" s="67"/>
      <c r="BS57" s="67"/>
      <c r="BT57" s="67"/>
      <c r="BU57" s="67"/>
      <c r="BV57" s="67"/>
      <c r="BW57" s="67"/>
      <c r="BX57" s="67"/>
      <c r="BY57" s="67"/>
      <c r="BZ57" s="67"/>
      <c r="CA57" s="67"/>
      <c r="CB57" s="67"/>
      <c r="CC57" s="67"/>
      <c r="CD57" s="67"/>
      <c r="CE57" s="54">
        <v>0</v>
      </c>
      <c r="CF57" s="20">
        <f t="shared" si="11"/>
        <v>0.75</v>
      </c>
      <c r="CG57" s="55">
        <v>0.25</v>
      </c>
      <c r="CH57" s="55">
        <v>0.25</v>
      </c>
      <c r="CI57" s="55">
        <v>0</v>
      </c>
      <c r="CJ57" s="55">
        <v>0.25</v>
      </c>
      <c r="CK57" s="56">
        <f>(BM57+BS57)/2</f>
        <v>0</v>
      </c>
      <c r="CL57" s="56">
        <f t="shared" ref="CL57:CL59" si="48">CK57</f>
        <v>0</v>
      </c>
      <c r="CM57" s="19">
        <v>0</v>
      </c>
    </row>
    <row r="58" spans="1:91" s="60" customFormat="1" ht="45" x14ac:dyDescent="0.25">
      <c r="A58" s="167"/>
      <c r="B58" s="160"/>
      <c r="C58" s="160"/>
      <c r="D58" s="165"/>
      <c r="E58" s="165"/>
      <c r="F58" s="169"/>
      <c r="G58" s="152"/>
      <c r="H58" s="153"/>
      <c r="I58" s="160"/>
      <c r="J58" s="163"/>
      <c r="K58" s="81" t="s">
        <v>358</v>
      </c>
      <c r="L58" s="81" t="s">
        <v>117</v>
      </c>
      <c r="M58" s="158"/>
      <c r="N58" s="58" t="s">
        <v>359</v>
      </c>
      <c r="O58" s="85">
        <v>0.33329999999999999</v>
      </c>
      <c r="P58" s="58" t="s">
        <v>360</v>
      </c>
      <c r="Q58" s="81" t="s">
        <v>76</v>
      </c>
      <c r="R58" s="81" t="s">
        <v>76</v>
      </c>
      <c r="S58" s="58" t="s">
        <v>361</v>
      </c>
      <c r="T58" s="63" t="s">
        <v>86</v>
      </c>
      <c r="U58" s="58" t="s">
        <v>361</v>
      </c>
      <c r="V58" s="81" t="s">
        <v>30</v>
      </c>
      <c r="W58" s="50" t="s">
        <v>94</v>
      </c>
      <c r="X58" s="50" t="s">
        <v>76</v>
      </c>
      <c r="Y58" s="50" t="s">
        <v>76</v>
      </c>
      <c r="Z58" s="50" t="s">
        <v>76</v>
      </c>
      <c r="AA58" s="97" t="s">
        <v>137</v>
      </c>
      <c r="AB58" s="20"/>
      <c r="AC58" s="20"/>
      <c r="AD58" s="20"/>
      <c r="AE58" s="20"/>
      <c r="AF58" s="20"/>
      <c r="AG58" s="20"/>
      <c r="AH58" s="20"/>
      <c r="AI58" s="20"/>
      <c r="AJ58" s="20"/>
      <c r="AK58" s="20"/>
      <c r="AL58" s="20"/>
      <c r="AM58" s="31">
        <v>1</v>
      </c>
      <c r="AN58" s="31">
        <v>1</v>
      </c>
      <c r="AO58" s="67"/>
      <c r="AP58" s="67"/>
      <c r="AQ58" s="67"/>
      <c r="AR58" s="67"/>
      <c r="AS58" s="67"/>
      <c r="AT58" s="67"/>
      <c r="AU58" s="67"/>
      <c r="AV58" s="67"/>
      <c r="AW58" s="67"/>
      <c r="AX58" s="67"/>
      <c r="AY58" s="67"/>
      <c r="AZ58" s="67"/>
      <c r="BA58" s="67"/>
      <c r="BB58" s="67"/>
      <c r="BC58" s="67"/>
      <c r="BD58" s="67"/>
      <c r="BE58" s="67"/>
      <c r="BF58" s="67"/>
      <c r="BG58" s="67">
        <v>1</v>
      </c>
      <c r="BH58" s="55">
        <v>1</v>
      </c>
      <c r="BI58" s="55">
        <v>0.25</v>
      </c>
      <c r="BJ58" s="55">
        <v>0.25</v>
      </c>
      <c r="BK58" s="55">
        <v>0.25</v>
      </c>
      <c r="BL58" s="55">
        <v>0.25</v>
      </c>
      <c r="BM58" s="67"/>
      <c r="BN58" s="67"/>
      <c r="BO58" s="67"/>
      <c r="BP58" s="67"/>
      <c r="BQ58" s="67"/>
      <c r="BR58" s="67"/>
      <c r="BS58" s="67"/>
      <c r="BT58" s="67"/>
      <c r="BU58" s="67"/>
      <c r="BV58" s="67"/>
      <c r="BW58" s="67"/>
      <c r="BX58" s="67"/>
      <c r="BY58" s="67"/>
      <c r="BZ58" s="67"/>
      <c r="CA58" s="67"/>
      <c r="CB58" s="67"/>
      <c r="CC58" s="67"/>
      <c r="CD58" s="67"/>
      <c r="CE58" s="67">
        <v>1</v>
      </c>
      <c r="CF58" s="14">
        <f t="shared" si="11"/>
        <v>1</v>
      </c>
      <c r="CG58" s="55">
        <v>0.25</v>
      </c>
      <c r="CH58" s="55">
        <v>0.25</v>
      </c>
      <c r="CI58" s="55">
        <v>0.25</v>
      </c>
      <c r="CJ58" s="55">
        <v>0.25</v>
      </c>
      <c r="CK58" s="56">
        <v>1</v>
      </c>
      <c r="CL58" s="56">
        <f t="shared" si="48"/>
        <v>1</v>
      </c>
      <c r="CM58" s="17">
        <v>0.33329999999999999</v>
      </c>
    </row>
    <row r="59" spans="1:91" s="60" customFormat="1" ht="45" x14ac:dyDescent="0.25">
      <c r="A59" s="167"/>
      <c r="B59" s="160"/>
      <c r="C59" s="160"/>
      <c r="D59" s="165"/>
      <c r="E59" s="165"/>
      <c r="F59" s="169"/>
      <c r="G59" s="138"/>
      <c r="H59" s="153"/>
      <c r="I59" s="161"/>
      <c r="J59" s="164"/>
      <c r="K59" s="81" t="s">
        <v>358</v>
      </c>
      <c r="L59" s="81" t="s">
        <v>117</v>
      </c>
      <c r="M59" s="158"/>
      <c r="N59" s="58" t="s">
        <v>362</v>
      </c>
      <c r="O59" s="85">
        <v>0.33329999999999999</v>
      </c>
      <c r="P59" s="58" t="s">
        <v>363</v>
      </c>
      <c r="Q59" s="81" t="s">
        <v>76</v>
      </c>
      <c r="R59" s="81" t="s">
        <v>76</v>
      </c>
      <c r="S59" s="58" t="s">
        <v>364</v>
      </c>
      <c r="T59" s="63" t="s">
        <v>86</v>
      </c>
      <c r="U59" s="58" t="s">
        <v>364</v>
      </c>
      <c r="V59" s="81" t="s">
        <v>30</v>
      </c>
      <c r="W59" s="50" t="s">
        <v>94</v>
      </c>
      <c r="X59" s="50" t="s">
        <v>76</v>
      </c>
      <c r="Y59" s="50" t="s">
        <v>76</v>
      </c>
      <c r="Z59" s="50" t="s">
        <v>76</v>
      </c>
      <c r="AA59" s="97" t="s">
        <v>137</v>
      </c>
      <c r="AB59" s="20"/>
      <c r="AC59" s="20"/>
      <c r="AD59" s="20"/>
      <c r="AE59" s="20"/>
      <c r="AF59" s="20"/>
      <c r="AG59" s="20"/>
      <c r="AH59" s="20"/>
      <c r="AI59" s="20"/>
      <c r="AJ59" s="20"/>
      <c r="AK59" s="20"/>
      <c r="AL59" s="20"/>
      <c r="AM59" s="31">
        <v>1</v>
      </c>
      <c r="AN59" s="31">
        <v>1</v>
      </c>
      <c r="AO59" s="67"/>
      <c r="AP59" s="67"/>
      <c r="AQ59" s="67"/>
      <c r="AR59" s="67"/>
      <c r="AS59" s="67"/>
      <c r="AT59" s="67"/>
      <c r="AU59" s="67"/>
      <c r="AV59" s="67"/>
      <c r="AW59" s="67"/>
      <c r="AX59" s="67"/>
      <c r="AY59" s="67"/>
      <c r="AZ59" s="67"/>
      <c r="BA59" s="67"/>
      <c r="BB59" s="67"/>
      <c r="BC59" s="67"/>
      <c r="BD59" s="67"/>
      <c r="BE59" s="67"/>
      <c r="BF59" s="67"/>
      <c r="BG59" s="67">
        <v>1</v>
      </c>
      <c r="BH59" s="55">
        <v>1</v>
      </c>
      <c r="BI59" s="55">
        <v>0.25</v>
      </c>
      <c r="BJ59" s="55">
        <v>0.25</v>
      </c>
      <c r="BK59" s="55">
        <v>0.25</v>
      </c>
      <c r="BL59" s="55">
        <v>0.25</v>
      </c>
      <c r="BM59" s="67"/>
      <c r="BN59" s="67"/>
      <c r="BO59" s="67"/>
      <c r="BP59" s="67"/>
      <c r="BQ59" s="67"/>
      <c r="BR59" s="67"/>
      <c r="BS59" s="67"/>
      <c r="BT59" s="67"/>
      <c r="BU59" s="67"/>
      <c r="BV59" s="67"/>
      <c r="BW59" s="67"/>
      <c r="BX59" s="67"/>
      <c r="BY59" s="67"/>
      <c r="BZ59" s="67"/>
      <c r="CA59" s="67"/>
      <c r="CB59" s="67"/>
      <c r="CC59" s="67"/>
      <c r="CD59" s="67"/>
      <c r="CE59" s="67">
        <v>1</v>
      </c>
      <c r="CF59" s="14">
        <f t="shared" si="11"/>
        <v>1</v>
      </c>
      <c r="CG59" s="55">
        <v>0.25</v>
      </c>
      <c r="CH59" s="55">
        <v>0.25</v>
      </c>
      <c r="CI59" s="55">
        <v>0.25</v>
      </c>
      <c r="CJ59" s="55">
        <v>0.25</v>
      </c>
      <c r="CK59" s="56">
        <v>1</v>
      </c>
      <c r="CL59" s="56">
        <f t="shared" si="48"/>
        <v>1</v>
      </c>
      <c r="CM59" s="17">
        <v>0.33329999999999999</v>
      </c>
    </row>
    <row r="60" spans="1:91" s="60" customFormat="1" ht="45" x14ac:dyDescent="0.25">
      <c r="A60" s="167"/>
      <c r="B60" s="160"/>
      <c r="C60" s="160"/>
      <c r="D60" s="165"/>
      <c r="E60" s="165"/>
      <c r="F60" s="169"/>
      <c r="G60" s="52">
        <v>0.1</v>
      </c>
      <c r="H60" s="153"/>
      <c r="I60" s="98" t="s">
        <v>365</v>
      </c>
      <c r="J60" s="81" t="s">
        <v>366</v>
      </c>
      <c r="K60" s="81" t="s">
        <v>367</v>
      </c>
      <c r="L60" s="50" t="s">
        <v>73</v>
      </c>
      <c r="M60" s="57">
        <v>1</v>
      </c>
      <c r="N60" s="58" t="s">
        <v>368</v>
      </c>
      <c r="O60" s="57">
        <v>1</v>
      </c>
      <c r="P60" s="58" t="s">
        <v>369</v>
      </c>
      <c r="Q60" s="81" t="s">
        <v>76</v>
      </c>
      <c r="R60" s="81" t="s">
        <v>76</v>
      </c>
      <c r="S60" s="58" t="s">
        <v>366</v>
      </c>
      <c r="T60" s="50" t="s">
        <v>78</v>
      </c>
      <c r="U60" s="58" t="s">
        <v>370</v>
      </c>
      <c r="V60" s="81" t="s">
        <v>236</v>
      </c>
      <c r="W60" s="81" t="s">
        <v>298</v>
      </c>
      <c r="X60" s="50" t="s">
        <v>76</v>
      </c>
      <c r="Y60" s="50" t="s">
        <v>76</v>
      </c>
      <c r="Z60" s="50" t="s">
        <v>76</v>
      </c>
      <c r="AA60" s="67" t="s">
        <v>111</v>
      </c>
      <c r="AB60" s="20">
        <v>1</v>
      </c>
      <c r="AC60" s="20">
        <v>1</v>
      </c>
      <c r="AD60" s="20">
        <v>1</v>
      </c>
      <c r="AE60" s="20">
        <v>1</v>
      </c>
      <c r="AF60" s="20">
        <v>1</v>
      </c>
      <c r="AG60" s="20">
        <v>1</v>
      </c>
      <c r="AH60" s="20">
        <v>1</v>
      </c>
      <c r="AI60" s="20">
        <v>1</v>
      </c>
      <c r="AJ60" s="20">
        <v>1</v>
      </c>
      <c r="AK60" s="20">
        <v>1</v>
      </c>
      <c r="AL60" s="20">
        <v>1</v>
      </c>
      <c r="AM60" s="20">
        <v>1</v>
      </c>
      <c r="AN60" s="20">
        <v>1</v>
      </c>
      <c r="AO60" s="59">
        <f>((1057+1704+1808)/(1090+1801+1866))</f>
        <v>0.96047929367248264</v>
      </c>
      <c r="AP60" s="56">
        <f>(AQ60+AR60+AS60+AT60)/3</f>
        <v>1</v>
      </c>
      <c r="AQ60" s="56">
        <f>(25%+25%+25%)</f>
        <v>0.75</v>
      </c>
      <c r="AR60" s="56">
        <f>(25%+25%+25%)</f>
        <v>0.75</v>
      </c>
      <c r="AS60" s="56">
        <f>(25%+25%+25%)</f>
        <v>0.75</v>
      </c>
      <c r="AT60" s="56">
        <f>(25%+25%+25%)</f>
        <v>0.75</v>
      </c>
      <c r="AU60" s="59">
        <f>(93.8%+95.6%+96.36%)/3</f>
        <v>0.95253333333333323</v>
      </c>
      <c r="AV60" s="56">
        <v>1</v>
      </c>
      <c r="AW60" s="14">
        <f>(25%+25%+25%)/3</f>
        <v>0.25</v>
      </c>
      <c r="AX60" s="14">
        <f t="shared" ref="AX60:AZ60" si="49">(25%+25%+25%)/3</f>
        <v>0.25</v>
      </c>
      <c r="AY60" s="14">
        <f t="shared" si="49"/>
        <v>0.25</v>
      </c>
      <c r="AZ60" s="14">
        <f t="shared" si="49"/>
        <v>0.25</v>
      </c>
      <c r="BA60" s="59">
        <f>(98.22%+98.99%+98.97%)/3</f>
        <v>0.98726666666666674</v>
      </c>
      <c r="BB60" s="56">
        <v>1</v>
      </c>
      <c r="BC60" s="56">
        <f>(25%+25%+25%)/3</f>
        <v>0.25</v>
      </c>
      <c r="BD60" s="56">
        <f t="shared" ref="BD60:BF60" si="50">(25%+25%+25%)/3</f>
        <v>0.25</v>
      </c>
      <c r="BE60" s="56">
        <f t="shared" si="50"/>
        <v>0.25</v>
      </c>
      <c r="BF60" s="56">
        <f t="shared" si="50"/>
        <v>0.25</v>
      </c>
      <c r="BG60" s="13">
        <f>(1875+2111+1766)/(1883+2124+1780)</f>
        <v>0.99395196129255226</v>
      </c>
      <c r="BH60" s="56">
        <v>1</v>
      </c>
      <c r="BI60" s="56">
        <f>(25%+25%+25%)/3</f>
        <v>0.25</v>
      </c>
      <c r="BJ60" s="56">
        <f t="shared" ref="BJ60:BL60" si="51">(25%+25%+25%)/3</f>
        <v>0.25</v>
      </c>
      <c r="BK60" s="56">
        <f t="shared" si="51"/>
        <v>0.25</v>
      </c>
      <c r="BL60" s="56">
        <f t="shared" si="51"/>
        <v>0.25</v>
      </c>
      <c r="BM60" s="13">
        <f>((1057+1704+1808)/(1090+1801+1866))</f>
        <v>0.96047929367248264</v>
      </c>
      <c r="BN60" s="14">
        <f>(BO60+BP60+BQ60+BR60)/3</f>
        <v>1</v>
      </c>
      <c r="BO60" s="56">
        <f t="shared" ref="BO60:BR60" si="52">(25%+25%+25%)</f>
        <v>0.75</v>
      </c>
      <c r="BP60" s="56">
        <f t="shared" si="52"/>
        <v>0.75</v>
      </c>
      <c r="BQ60" s="56">
        <f>(25%+25%+25%)</f>
        <v>0.75</v>
      </c>
      <c r="BR60" s="56">
        <f t="shared" si="52"/>
        <v>0.75</v>
      </c>
      <c r="BS60" s="13">
        <f>(1726+1717+1852)/(1840+1796+1922)</f>
        <v>0.95268082043900681</v>
      </c>
      <c r="BT60" s="14">
        <f>BU60+BV60+BW60+BX60</f>
        <v>1</v>
      </c>
      <c r="BU60" s="14">
        <f t="shared" ref="BU60:BX60" si="53">(25%+25%+25%)/3</f>
        <v>0.25</v>
      </c>
      <c r="BV60" s="14">
        <f t="shared" si="53"/>
        <v>0.25</v>
      </c>
      <c r="BW60" s="14">
        <f t="shared" si="53"/>
        <v>0.25</v>
      </c>
      <c r="BX60" s="14">
        <f t="shared" si="53"/>
        <v>0.25</v>
      </c>
      <c r="BY60" s="13">
        <f>(1819+1764+1637)/(1852+1782+1654)</f>
        <v>0.98714069591527986</v>
      </c>
      <c r="BZ60" s="56">
        <f>CA60+CB60+CC60+CD60</f>
        <v>1</v>
      </c>
      <c r="CA60" s="56">
        <f t="shared" ref="CA60:CD60" si="54">(25%+25%+25%)/3</f>
        <v>0.25</v>
      </c>
      <c r="CB60" s="56">
        <f t="shared" si="54"/>
        <v>0.25</v>
      </c>
      <c r="CC60" s="56">
        <f t="shared" si="54"/>
        <v>0.25</v>
      </c>
      <c r="CD60" s="56">
        <f t="shared" si="54"/>
        <v>0.25</v>
      </c>
      <c r="CE60" s="13">
        <f>(1875+2111+1766)/(1883+2124+1780)</f>
        <v>0.99395196129255226</v>
      </c>
      <c r="CF60" s="56">
        <f t="shared" si="11"/>
        <v>1</v>
      </c>
      <c r="CG60" s="56">
        <f t="shared" ref="CG60:CJ60" si="55">(25%+25%+25%)/3</f>
        <v>0.25</v>
      </c>
      <c r="CH60" s="56">
        <f t="shared" si="55"/>
        <v>0.25</v>
      </c>
      <c r="CI60" s="56">
        <f t="shared" si="55"/>
        <v>0.25</v>
      </c>
      <c r="CJ60" s="56">
        <f t="shared" si="55"/>
        <v>0.25</v>
      </c>
      <c r="CK60" s="59">
        <f>(BM60+BS60+BY60+CE60)/4</f>
        <v>0.97356319282983039</v>
      </c>
      <c r="CL60" s="59">
        <f>CK60/4</f>
        <v>0.2433907982074576</v>
      </c>
      <c r="CM60" s="17">
        <v>0.97356319282983039</v>
      </c>
    </row>
    <row r="61" spans="1:91" s="60" customFormat="1" ht="45" x14ac:dyDescent="0.25">
      <c r="A61" s="167"/>
      <c r="B61" s="160"/>
      <c r="C61" s="160"/>
      <c r="D61" s="165"/>
      <c r="E61" s="165"/>
      <c r="F61" s="169"/>
      <c r="G61" s="52">
        <v>0.1</v>
      </c>
      <c r="H61" s="153"/>
      <c r="I61" s="58" t="s">
        <v>371</v>
      </c>
      <c r="J61" s="81" t="s">
        <v>372</v>
      </c>
      <c r="K61" s="81" t="s">
        <v>373</v>
      </c>
      <c r="L61" s="81" t="s">
        <v>117</v>
      </c>
      <c r="M61" s="57">
        <v>1</v>
      </c>
      <c r="N61" s="58" t="s">
        <v>374</v>
      </c>
      <c r="O61" s="57">
        <v>1</v>
      </c>
      <c r="P61" s="58" t="s">
        <v>375</v>
      </c>
      <c r="Q61" s="81" t="s">
        <v>76</v>
      </c>
      <c r="R61" s="81" t="s">
        <v>76</v>
      </c>
      <c r="S61" s="58" t="s">
        <v>376</v>
      </c>
      <c r="T61" s="63" t="s">
        <v>86</v>
      </c>
      <c r="U61" s="58" t="s">
        <v>376</v>
      </c>
      <c r="V61" s="81" t="s">
        <v>30</v>
      </c>
      <c r="W61" s="81" t="s">
        <v>213</v>
      </c>
      <c r="X61" s="50" t="s">
        <v>76</v>
      </c>
      <c r="Y61" s="50" t="s">
        <v>76</v>
      </c>
      <c r="Z61" s="50" t="s">
        <v>76</v>
      </c>
      <c r="AA61" s="67" t="s">
        <v>82</v>
      </c>
      <c r="AB61" s="55"/>
      <c r="AC61" s="55"/>
      <c r="AD61" s="79">
        <v>1</v>
      </c>
      <c r="AE61" s="55"/>
      <c r="AF61" s="55"/>
      <c r="AG61" s="79">
        <v>1</v>
      </c>
      <c r="AH61" s="55"/>
      <c r="AI61" s="55"/>
      <c r="AJ61" s="79">
        <v>1</v>
      </c>
      <c r="AK61" s="55"/>
      <c r="AL61" s="55"/>
      <c r="AM61" s="79">
        <v>1</v>
      </c>
      <c r="AN61" s="79">
        <v>4</v>
      </c>
      <c r="AO61" s="14" t="s">
        <v>377</v>
      </c>
      <c r="AP61" s="14">
        <f>SUM(AQ61:AT61)</f>
        <v>0.5</v>
      </c>
      <c r="AQ61" s="14">
        <v>0.25</v>
      </c>
      <c r="AR61" s="14">
        <v>0.25</v>
      </c>
      <c r="AS61" s="14">
        <v>0</v>
      </c>
      <c r="AT61" s="14">
        <v>0</v>
      </c>
      <c r="AU61" s="67">
        <v>1</v>
      </c>
      <c r="AV61" s="14">
        <f>AW61+AX61+AY61+AZ61</f>
        <v>0.75</v>
      </c>
      <c r="AW61" s="56">
        <v>0.25</v>
      </c>
      <c r="AX61" s="56">
        <v>0.25</v>
      </c>
      <c r="AY61" s="56">
        <v>0</v>
      </c>
      <c r="AZ61" s="56">
        <v>0.25</v>
      </c>
      <c r="BA61" s="67">
        <v>1</v>
      </c>
      <c r="BB61" s="56">
        <v>1</v>
      </c>
      <c r="BC61" s="56">
        <v>0.25</v>
      </c>
      <c r="BD61" s="56">
        <v>0.25</v>
      </c>
      <c r="BE61" s="56">
        <v>0.25</v>
      </c>
      <c r="BF61" s="56">
        <v>0.25</v>
      </c>
      <c r="BG61" s="67">
        <v>1</v>
      </c>
      <c r="BH61" s="56">
        <v>1</v>
      </c>
      <c r="BI61" s="56">
        <v>0.25</v>
      </c>
      <c r="BJ61" s="56">
        <v>0.25</v>
      </c>
      <c r="BK61" s="56">
        <v>0.25</v>
      </c>
      <c r="BL61" s="56">
        <v>0.25</v>
      </c>
      <c r="BM61" s="13">
        <f>322/347</f>
        <v>0.9279538904899135</v>
      </c>
      <c r="BN61" s="56">
        <f>BO61+BP61+BQ61+BR61</f>
        <v>1</v>
      </c>
      <c r="BO61" s="56">
        <v>0.25</v>
      </c>
      <c r="BP61" s="56">
        <v>0.25</v>
      </c>
      <c r="BQ61" s="56">
        <v>0.25</v>
      </c>
      <c r="BR61" s="56">
        <v>0.25</v>
      </c>
      <c r="BS61" s="67">
        <v>1</v>
      </c>
      <c r="BT61" s="14">
        <f>BU61+BV61+BW61+BX61</f>
        <v>0.75</v>
      </c>
      <c r="BU61" s="56">
        <v>0.25</v>
      </c>
      <c r="BV61" s="56">
        <v>0.25</v>
      </c>
      <c r="BW61" s="56">
        <v>0</v>
      </c>
      <c r="BX61" s="56">
        <v>0.25</v>
      </c>
      <c r="BY61" s="67">
        <v>1</v>
      </c>
      <c r="BZ61" s="20">
        <f>CA61+CB61+CC61+CD61</f>
        <v>0.75</v>
      </c>
      <c r="CA61" s="56">
        <v>0</v>
      </c>
      <c r="CB61" s="56">
        <v>0.25</v>
      </c>
      <c r="CC61" s="56">
        <v>0.25</v>
      </c>
      <c r="CD61" s="56">
        <v>0.25</v>
      </c>
      <c r="CE61" s="67">
        <v>1</v>
      </c>
      <c r="CF61" s="14">
        <f t="shared" si="11"/>
        <v>1</v>
      </c>
      <c r="CG61" s="20">
        <v>0.25</v>
      </c>
      <c r="CH61" s="20">
        <v>0.25</v>
      </c>
      <c r="CI61" s="20">
        <v>0.25</v>
      </c>
      <c r="CJ61" s="20">
        <v>0.25</v>
      </c>
      <c r="CK61" s="59">
        <f>(BM61+100%+100%+100%)/4</f>
        <v>0.98198847262247835</v>
      </c>
      <c r="CL61" s="59">
        <f>CK61</f>
        <v>0.98198847262247835</v>
      </c>
      <c r="CM61" s="17">
        <v>0.98198847262247835</v>
      </c>
    </row>
    <row r="62" spans="1:91" s="60" customFormat="1" ht="45" x14ac:dyDescent="0.25">
      <c r="A62" s="167"/>
      <c r="B62" s="160"/>
      <c r="C62" s="160"/>
      <c r="D62" s="165"/>
      <c r="E62" s="165"/>
      <c r="F62" s="169"/>
      <c r="G62" s="52">
        <v>0.1</v>
      </c>
      <c r="H62" s="153"/>
      <c r="I62" s="99" t="s">
        <v>378</v>
      </c>
      <c r="J62" s="50" t="s">
        <v>379</v>
      </c>
      <c r="K62" s="81" t="s">
        <v>380</v>
      </c>
      <c r="L62" s="81" t="s">
        <v>381</v>
      </c>
      <c r="M62" s="57">
        <v>1</v>
      </c>
      <c r="N62" s="58" t="s">
        <v>382</v>
      </c>
      <c r="O62" s="52">
        <v>1</v>
      </c>
      <c r="P62" s="51" t="s">
        <v>383</v>
      </c>
      <c r="Q62" s="81" t="s">
        <v>76</v>
      </c>
      <c r="R62" s="81" t="s">
        <v>76</v>
      </c>
      <c r="S62" s="51" t="s">
        <v>379</v>
      </c>
      <c r="T62" s="72" t="s">
        <v>78</v>
      </c>
      <c r="U62" s="51" t="s">
        <v>384</v>
      </c>
      <c r="V62" s="50" t="s">
        <v>236</v>
      </c>
      <c r="W62" s="50" t="s">
        <v>303</v>
      </c>
      <c r="X62" s="50" t="s">
        <v>76</v>
      </c>
      <c r="Y62" s="50" t="s">
        <v>76</v>
      </c>
      <c r="Z62" s="50" t="s">
        <v>76</v>
      </c>
      <c r="AA62" s="67" t="s">
        <v>82</v>
      </c>
      <c r="AB62" s="54"/>
      <c r="AC62" s="54"/>
      <c r="AD62" s="55">
        <v>0.15</v>
      </c>
      <c r="AE62" s="54"/>
      <c r="AF62" s="54"/>
      <c r="AG62" s="55">
        <v>0.2</v>
      </c>
      <c r="AH62" s="54"/>
      <c r="AI62" s="54"/>
      <c r="AJ62" s="55">
        <v>0.2</v>
      </c>
      <c r="AK62" s="54"/>
      <c r="AL62" s="54"/>
      <c r="AM62" s="55">
        <v>0.25</v>
      </c>
      <c r="AN62" s="55">
        <v>0.8</v>
      </c>
      <c r="AO62" s="15">
        <f>1/1*1</f>
        <v>1</v>
      </c>
      <c r="AP62" s="14">
        <f>+AQ62+AR62+AS62+AT62</f>
        <v>1</v>
      </c>
      <c r="AQ62" s="14">
        <v>0.25</v>
      </c>
      <c r="AR62" s="14">
        <v>0.25</v>
      </c>
      <c r="AS62" s="14">
        <v>0.25</v>
      </c>
      <c r="AT62" s="14">
        <v>0.25</v>
      </c>
      <c r="AU62" s="14">
        <f>5/5</f>
        <v>1</v>
      </c>
      <c r="AV62" s="14">
        <v>1</v>
      </c>
      <c r="AW62" s="14">
        <v>0.25</v>
      </c>
      <c r="AX62" s="14">
        <v>0.25</v>
      </c>
      <c r="AY62" s="14">
        <v>0.25</v>
      </c>
      <c r="AZ62" s="14">
        <v>0.25</v>
      </c>
      <c r="BA62" s="14">
        <f>4/4</f>
        <v>1</v>
      </c>
      <c r="BB62" s="14">
        <v>1</v>
      </c>
      <c r="BC62" s="56">
        <v>0.25</v>
      </c>
      <c r="BD62" s="56">
        <v>0.25</v>
      </c>
      <c r="BE62" s="56">
        <v>0.25</v>
      </c>
      <c r="BF62" s="56">
        <v>0.25</v>
      </c>
      <c r="BG62" s="14">
        <f>11/11</f>
        <v>1</v>
      </c>
      <c r="BH62" s="14">
        <v>1</v>
      </c>
      <c r="BI62" s="56">
        <v>0.25</v>
      </c>
      <c r="BJ62" s="56">
        <v>0.25</v>
      </c>
      <c r="BK62" s="56">
        <v>0.25</v>
      </c>
      <c r="BL62" s="56">
        <v>0.25</v>
      </c>
      <c r="BM62" s="14">
        <f>1/1</f>
        <v>1</v>
      </c>
      <c r="BN62" s="14">
        <f>BO62+BP62+BQ62+BR62</f>
        <v>1</v>
      </c>
      <c r="BO62" s="14">
        <v>0.25</v>
      </c>
      <c r="BP62" s="14">
        <v>0.25</v>
      </c>
      <c r="BQ62" s="14">
        <v>0.25</v>
      </c>
      <c r="BR62" s="14">
        <v>0.25</v>
      </c>
      <c r="BS62" s="14">
        <f>5/5</f>
        <v>1</v>
      </c>
      <c r="BT62" s="14">
        <f>BU62+BV62+BW62+BX62</f>
        <v>1</v>
      </c>
      <c r="BU62" s="14">
        <v>0.25</v>
      </c>
      <c r="BV62" s="14">
        <v>0.25</v>
      </c>
      <c r="BW62" s="14">
        <v>0.25</v>
      </c>
      <c r="BX62" s="14">
        <v>0.25</v>
      </c>
      <c r="BY62" s="14">
        <f>4/4</f>
        <v>1</v>
      </c>
      <c r="BZ62" s="14">
        <f>CA62+CB62+CC62+CD62</f>
        <v>1</v>
      </c>
      <c r="CA62" s="56">
        <v>0.25</v>
      </c>
      <c r="CB62" s="56">
        <v>0.25</v>
      </c>
      <c r="CC62" s="56">
        <v>0.25</v>
      </c>
      <c r="CD62" s="56">
        <v>0.25</v>
      </c>
      <c r="CE62" s="14">
        <f>11/11</f>
        <v>1</v>
      </c>
      <c r="CF62" s="14">
        <f t="shared" si="11"/>
        <v>1</v>
      </c>
      <c r="CG62" s="56">
        <v>0.25</v>
      </c>
      <c r="CH62" s="56">
        <v>0.25</v>
      </c>
      <c r="CI62" s="56">
        <v>0.25</v>
      </c>
      <c r="CJ62" s="56">
        <v>0.25</v>
      </c>
      <c r="CK62" s="56">
        <f>(BM62+BS62)/2</f>
        <v>1</v>
      </c>
      <c r="CL62" s="56">
        <v>1</v>
      </c>
      <c r="CM62" s="19">
        <v>1</v>
      </c>
    </row>
    <row r="63" spans="1:91" s="60" customFormat="1" ht="45" x14ac:dyDescent="0.25">
      <c r="A63" s="167"/>
      <c r="B63" s="160"/>
      <c r="C63" s="160"/>
      <c r="D63" s="165"/>
      <c r="E63" s="165"/>
      <c r="F63" s="169"/>
      <c r="G63" s="143">
        <v>0.1</v>
      </c>
      <c r="H63" s="153"/>
      <c r="I63" s="159" t="s">
        <v>385</v>
      </c>
      <c r="J63" s="156" t="s">
        <v>386</v>
      </c>
      <c r="K63" s="81" t="s">
        <v>387</v>
      </c>
      <c r="L63" s="81" t="s">
        <v>117</v>
      </c>
      <c r="M63" s="158">
        <v>1</v>
      </c>
      <c r="N63" s="58" t="s">
        <v>388</v>
      </c>
      <c r="O63" s="100">
        <v>0.5</v>
      </c>
      <c r="P63" s="58" t="s">
        <v>389</v>
      </c>
      <c r="Q63" s="81" t="s">
        <v>76</v>
      </c>
      <c r="R63" s="81" t="s">
        <v>76</v>
      </c>
      <c r="S63" s="99" t="s">
        <v>390</v>
      </c>
      <c r="T63" s="63" t="s">
        <v>86</v>
      </c>
      <c r="U63" s="99" t="s">
        <v>391</v>
      </c>
      <c r="V63" s="72" t="s">
        <v>30</v>
      </c>
      <c r="W63" s="81" t="s">
        <v>136</v>
      </c>
      <c r="X63" s="50" t="s">
        <v>76</v>
      </c>
      <c r="Y63" s="50" t="s">
        <v>76</v>
      </c>
      <c r="Z63" s="50" t="s">
        <v>76</v>
      </c>
      <c r="AA63" s="67" t="s">
        <v>137</v>
      </c>
      <c r="AB63" s="79"/>
      <c r="AC63" s="79"/>
      <c r="AD63" s="79"/>
      <c r="AE63" s="79"/>
      <c r="AF63" s="79"/>
      <c r="AG63" s="79">
        <v>1</v>
      </c>
      <c r="AH63" s="79"/>
      <c r="AI63" s="79"/>
      <c r="AJ63" s="79"/>
      <c r="AK63" s="79"/>
      <c r="AL63" s="79"/>
      <c r="AM63" s="79"/>
      <c r="AN63" s="54">
        <v>1</v>
      </c>
      <c r="AO63" s="67"/>
      <c r="AP63" s="67"/>
      <c r="AQ63" s="67"/>
      <c r="AR63" s="67"/>
      <c r="AS63" s="67"/>
      <c r="AT63" s="67"/>
      <c r="AU63" s="67">
        <v>1</v>
      </c>
      <c r="AV63" s="14">
        <v>1</v>
      </c>
      <c r="AW63" s="14">
        <v>0.25</v>
      </c>
      <c r="AX63" s="14">
        <v>0.25</v>
      </c>
      <c r="AY63" s="14">
        <v>0.25</v>
      </c>
      <c r="AZ63" s="14">
        <v>0.25</v>
      </c>
      <c r="BA63" s="67"/>
      <c r="BB63" s="67"/>
      <c r="BC63" s="67"/>
      <c r="BD63" s="67"/>
      <c r="BE63" s="67"/>
      <c r="BF63" s="67"/>
      <c r="BG63" s="80"/>
      <c r="BH63" s="80"/>
      <c r="BI63" s="80"/>
      <c r="BJ63" s="80"/>
      <c r="BK63" s="80"/>
      <c r="BL63" s="80"/>
      <c r="BM63" s="67"/>
      <c r="BN63" s="67"/>
      <c r="BO63" s="67"/>
      <c r="BP63" s="67"/>
      <c r="BQ63" s="67"/>
      <c r="BR63" s="67"/>
      <c r="BS63" s="67">
        <v>1</v>
      </c>
      <c r="BT63" s="14">
        <f>BU63+BV63+BW63+BX63</f>
        <v>1</v>
      </c>
      <c r="BU63" s="56">
        <v>0.25</v>
      </c>
      <c r="BV63" s="56">
        <v>0.25</v>
      </c>
      <c r="BW63" s="56">
        <v>0.25</v>
      </c>
      <c r="BX63" s="56">
        <v>0.25</v>
      </c>
      <c r="BY63" s="67"/>
      <c r="BZ63" s="67"/>
      <c r="CA63" s="67"/>
      <c r="CB63" s="67"/>
      <c r="CC63" s="67"/>
      <c r="CD63" s="67"/>
      <c r="CE63" s="80"/>
      <c r="CF63" s="80"/>
      <c r="CG63" s="67"/>
      <c r="CH63" s="67"/>
      <c r="CI63" s="67"/>
      <c r="CJ63" s="67"/>
      <c r="CK63" s="56">
        <v>1</v>
      </c>
      <c r="CL63" s="56">
        <v>1</v>
      </c>
      <c r="CM63" s="19">
        <v>0.5</v>
      </c>
    </row>
    <row r="64" spans="1:91" s="60" customFormat="1" ht="60" x14ac:dyDescent="0.25">
      <c r="A64" s="167"/>
      <c r="B64" s="160"/>
      <c r="C64" s="160"/>
      <c r="D64" s="165"/>
      <c r="E64" s="165"/>
      <c r="F64" s="169"/>
      <c r="G64" s="143"/>
      <c r="H64" s="153"/>
      <c r="I64" s="161"/>
      <c r="J64" s="157"/>
      <c r="K64" s="81" t="s">
        <v>392</v>
      </c>
      <c r="L64" s="81" t="s">
        <v>117</v>
      </c>
      <c r="M64" s="158"/>
      <c r="N64" s="58" t="s">
        <v>393</v>
      </c>
      <c r="O64" s="100">
        <v>0.5</v>
      </c>
      <c r="P64" s="58" t="s">
        <v>394</v>
      </c>
      <c r="Q64" s="81" t="s">
        <v>76</v>
      </c>
      <c r="R64" s="81" t="s">
        <v>76</v>
      </c>
      <c r="S64" s="99" t="s">
        <v>395</v>
      </c>
      <c r="T64" s="63" t="s">
        <v>86</v>
      </c>
      <c r="U64" s="99" t="s">
        <v>521</v>
      </c>
      <c r="V64" s="72" t="s">
        <v>30</v>
      </c>
      <c r="W64" s="81" t="s">
        <v>213</v>
      </c>
      <c r="X64" s="50" t="s">
        <v>76</v>
      </c>
      <c r="Y64" s="50" t="s">
        <v>76</v>
      </c>
      <c r="Z64" s="50" t="s">
        <v>76</v>
      </c>
      <c r="AA64" s="67" t="s">
        <v>88</v>
      </c>
      <c r="AB64" s="20"/>
      <c r="AC64" s="20"/>
      <c r="AD64" s="20"/>
      <c r="AE64" s="20"/>
      <c r="AF64" s="20"/>
      <c r="AG64" s="79">
        <v>1</v>
      </c>
      <c r="AH64" s="20"/>
      <c r="AI64" s="20"/>
      <c r="AJ64" s="20"/>
      <c r="AK64" s="20"/>
      <c r="AL64" s="20"/>
      <c r="AM64" s="79">
        <v>1</v>
      </c>
      <c r="AN64" s="54">
        <v>2</v>
      </c>
      <c r="AO64" s="67"/>
      <c r="AP64" s="14"/>
      <c r="AQ64" s="14"/>
      <c r="AR64" s="14"/>
      <c r="AS64" s="14"/>
      <c r="AT64" s="14"/>
      <c r="AU64" s="18">
        <v>1</v>
      </c>
      <c r="AV64" s="14">
        <v>1</v>
      </c>
      <c r="AW64" s="14">
        <v>0.25</v>
      </c>
      <c r="AX64" s="14">
        <v>0.25</v>
      </c>
      <c r="AY64" s="14">
        <v>0.25</v>
      </c>
      <c r="AZ64" s="14">
        <v>0</v>
      </c>
      <c r="BA64" s="67"/>
      <c r="BB64" s="67"/>
      <c r="BC64" s="67"/>
      <c r="BD64" s="67"/>
      <c r="BE64" s="67"/>
      <c r="BF64" s="67"/>
      <c r="BG64" s="67">
        <v>1</v>
      </c>
      <c r="BH64" s="56">
        <v>1</v>
      </c>
      <c r="BI64" s="56">
        <v>0.25</v>
      </c>
      <c r="BJ64" s="56">
        <v>0.25</v>
      </c>
      <c r="BK64" s="56">
        <v>0.25</v>
      </c>
      <c r="BL64" s="56">
        <v>0.25</v>
      </c>
      <c r="BM64" s="33"/>
      <c r="BN64" s="14"/>
      <c r="BO64" s="56"/>
      <c r="BP64" s="56"/>
      <c r="BQ64" s="56"/>
      <c r="BR64" s="56"/>
      <c r="BS64" s="18">
        <v>1</v>
      </c>
      <c r="BT64" s="14">
        <f>BU64+BV64+BW64+BX64</f>
        <v>0.75</v>
      </c>
      <c r="BU64" s="56">
        <v>0.25</v>
      </c>
      <c r="BV64" s="56">
        <v>0.25</v>
      </c>
      <c r="BW64" s="56">
        <v>0</v>
      </c>
      <c r="BX64" s="56">
        <v>0.25</v>
      </c>
      <c r="BY64" s="67"/>
      <c r="BZ64" s="67"/>
      <c r="CA64" s="14"/>
      <c r="CB64" s="14"/>
      <c r="CC64" s="14"/>
      <c r="CD64" s="14"/>
      <c r="CE64" s="67">
        <v>1</v>
      </c>
      <c r="CF64" s="56">
        <f>CG64+CH64+CI64+CJ64</f>
        <v>1</v>
      </c>
      <c r="CG64" s="56">
        <v>0.25</v>
      </c>
      <c r="CH64" s="56">
        <v>0.25</v>
      </c>
      <c r="CI64" s="56">
        <v>0.25</v>
      </c>
      <c r="CJ64" s="56">
        <v>0.25</v>
      </c>
      <c r="CK64" s="56">
        <v>1</v>
      </c>
      <c r="CL64" s="56">
        <f>CK64</f>
        <v>1</v>
      </c>
      <c r="CM64" s="19">
        <v>0.5</v>
      </c>
    </row>
    <row r="65" spans="1:91" s="60" customFormat="1" ht="75" x14ac:dyDescent="0.25">
      <c r="A65" s="167"/>
      <c r="B65" s="160"/>
      <c r="C65" s="160"/>
      <c r="D65" s="165"/>
      <c r="E65" s="165"/>
      <c r="F65" s="169"/>
      <c r="G65" s="143">
        <v>0.1</v>
      </c>
      <c r="H65" s="153"/>
      <c r="I65" s="159" t="s">
        <v>396</v>
      </c>
      <c r="J65" s="162" t="s">
        <v>71</v>
      </c>
      <c r="K65" s="81" t="s">
        <v>397</v>
      </c>
      <c r="L65" s="81" t="s">
        <v>117</v>
      </c>
      <c r="M65" s="158">
        <v>1</v>
      </c>
      <c r="N65" s="58" t="s">
        <v>398</v>
      </c>
      <c r="O65" s="93">
        <v>0.33329999999999999</v>
      </c>
      <c r="P65" s="58" t="s">
        <v>399</v>
      </c>
      <c r="Q65" s="81" t="s">
        <v>76</v>
      </c>
      <c r="R65" s="81" t="s">
        <v>76</v>
      </c>
      <c r="S65" s="58" t="s">
        <v>400</v>
      </c>
      <c r="T65" s="63" t="s">
        <v>86</v>
      </c>
      <c r="U65" s="58" t="s">
        <v>401</v>
      </c>
      <c r="V65" s="72" t="s">
        <v>30</v>
      </c>
      <c r="W65" s="50" t="s">
        <v>136</v>
      </c>
      <c r="X65" s="50" t="s">
        <v>76</v>
      </c>
      <c r="Y65" s="50" t="s">
        <v>76</v>
      </c>
      <c r="Z65" s="50" t="s">
        <v>76</v>
      </c>
      <c r="AA65" s="67" t="s">
        <v>137</v>
      </c>
      <c r="AB65" s="54"/>
      <c r="AC65" s="54"/>
      <c r="AD65" s="79">
        <v>1</v>
      </c>
      <c r="AE65" s="54"/>
      <c r="AF65" s="54"/>
      <c r="AG65" s="55"/>
      <c r="AH65" s="55"/>
      <c r="AI65" s="55"/>
      <c r="AJ65" s="55"/>
      <c r="AK65" s="55"/>
      <c r="AL65" s="55"/>
      <c r="AM65" s="55"/>
      <c r="AN65" s="79">
        <v>1</v>
      </c>
      <c r="AO65" s="67">
        <v>1</v>
      </c>
      <c r="AP65" s="56">
        <v>1</v>
      </c>
      <c r="AQ65" s="56">
        <v>0.25</v>
      </c>
      <c r="AR65" s="56">
        <v>0.25</v>
      </c>
      <c r="AS65" s="56">
        <v>0.25</v>
      </c>
      <c r="AT65" s="56">
        <v>0.25</v>
      </c>
      <c r="AU65" s="67"/>
      <c r="AV65" s="67"/>
      <c r="AW65" s="67"/>
      <c r="AX65" s="67"/>
      <c r="AY65" s="67"/>
      <c r="AZ65" s="67"/>
      <c r="BA65" s="67"/>
      <c r="BB65" s="67"/>
      <c r="BC65" s="67"/>
      <c r="BD65" s="67"/>
      <c r="BE65" s="67"/>
      <c r="BF65" s="67"/>
      <c r="BG65" s="80"/>
      <c r="BH65" s="80"/>
      <c r="BI65" s="80"/>
      <c r="BJ65" s="80"/>
      <c r="BK65" s="80"/>
      <c r="BL65" s="80"/>
      <c r="BM65" s="14">
        <f>1/1</f>
        <v>1</v>
      </c>
      <c r="BN65" s="56">
        <f>BO65+BP65+BQ65+BR65</f>
        <v>0.75</v>
      </c>
      <c r="BO65" s="56">
        <v>0.25</v>
      </c>
      <c r="BP65" s="56">
        <v>0.25</v>
      </c>
      <c r="BQ65" s="56">
        <v>0.25</v>
      </c>
      <c r="BR65" s="56">
        <v>0</v>
      </c>
      <c r="BS65" s="67"/>
      <c r="BT65" s="67"/>
      <c r="BU65" s="67"/>
      <c r="BV65" s="67"/>
      <c r="BW65" s="67"/>
      <c r="BX65" s="67"/>
      <c r="BY65" s="67"/>
      <c r="BZ65" s="67"/>
      <c r="CA65" s="67"/>
      <c r="CB65" s="67"/>
      <c r="CC65" s="67"/>
      <c r="CD65" s="67"/>
      <c r="CE65" s="80"/>
      <c r="CF65" s="80"/>
      <c r="CG65" s="67"/>
      <c r="CH65" s="67"/>
      <c r="CI65" s="67"/>
      <c r="CJ65" s="67"/>
      <c r="CK65" s="56">
        <v>1</v>
      </c>
      <c r="CL65" s="56">
        <f t="shared" ref="CL65:CL68" si="56">CK65</f>
        <v>1</v>
      </c>
      <c r="CM65" s="17">
        <v>0.33329999999999999</v>
      </c>
    </row>
    <row r="66" spans="1:91" s="60" customFormat="1" ht="45" x14ac:dyDescent="0.25">
      <c r="A66" s="167"/>
      <c r="B66" s="160"/>
      <c r="C66" s="160"/>
      <c r="D66" s="165"/>
      <c r="E66" s="165"/>
      <c r="F66" s="169"/>
      <c r="G66" s="143"/>
      <c r="H66" s="153"/>
      <c r="I66" s="160"/>
      <c r="J66" s="163"/>
      <c r="K66" s="81" t="s">
        <v>402</v>
      </c>
      <c r="L66" s="81" t="s">
        <v>117</v>
      </c>
      <c r="M66" s="158"/>
      <c r="N66" s="58" t="s">
        <v>403</v>
      </c>
      <c r="O66" s="93">
        <v>0.33329999999999999</v>
      </c>
      <c r="P66" s="58" t="s">
        <v>404</v>
      </c>
      <c r="Q66" s="81" t="s">
        <v>76</v>
      </c>
      <c r="R66" s="81" t="s">
        <v>76</v>
      </c>
      <c r="S66" s="58" t="s">
        <v>405</v>
      </c>
      <c r="T66" s="63" t="s">
        <v>86</v>
      </c>
      <c r="U66" s="58" t="s">
        <v>405</v>
      </c>
      <c r="V66" s="72" t="s">
        <v>30</v>
      </c>
      <c r="W66" s="50" t="s">
        <v>406</v>
      </c>
      <c r="X66" s="50" t="s">
        <v>76</v>
      </c>
      <c r="Y66" s="50" t="s">
        <v>76</v>
      </c>
      <c r="Z66" s="50" t="s">
        <v>76</v>
      </c>
      <c r="AA66" s="67" t="s">
        <v>137</v>
      </c>
      <c r="AB66" s="54"/>
      <c r="AC66" s="54"/>
      <c r="AD66" s="79">
        <v>1</v>
      </c>
      <c r="AE66" s="54"/>
      <c r="AF66" s="54"/>
      <c r="AG66" s="55"/>
      <c r="AH66" s="55"/>
      <c r="AI66" s="55"/>
      <c r="AJ66" s="55"/>
      <c r="AK66" s="55"/>
      <c r="AL66" s="55"/>
      <c r="AM66" s="55"/>
      <c r="AN66" s="79">
        <v>1</v>
      </c>
      <c r="AO66" s="67">
        <v>1</v>
      </c>
      <c r="AP66" s="56">
        <v>1</v>
      </c>
      <c r="AQ66" s="56">
        <v>0.25</v>
      </c>
      <c r="AR66" s="56">
        <v>0.25</v>
      </c>
      <c r="AS66" s="56">
        <v>0.25</v>
      </c>
      <c r="AT66" s="56">
        <v>0.25</v>
      </c>
      <c r="AU66" s="67"/>
      <c r="AV66" s="67"/>
      <c r="AW66" s="67"/>
      <c r="AX66" s="67"/>
      <c r="AY66" s="67"/>
      <c r="AZ66" s="67"/>
      <c r="BA66" s="67"/>
      <c r="BB66" s="67"/>
      <c r="BC66" s="67"/>
      <c r="BD66" s="67"/>
      <c r="BE66" s="67"/>
      <c r="BF66" s="67"/>
      <c r="BG66" s="80"/>
      <c r="BH66" s="80"/>
      <c r="BI66" s="80"/>
      <c r="BJ66" s="80"/>
      <c r="BK66" s="80"/>
      <c r="BL66" s="80"/>
      <c r="BM66" s="67">
        <v>1</v>
      </c>
      <c r="BN66" s="56">
        <f>BO66+BP66+BQ66+BR66</f>
        <v>1</v>
      </c>
      <c r="BO66" s="56">
        <v>0.25</v>
      </c>
      <c r="BP66" s="56">
        <v>0.25</v>
      </c>
      <c r="BQ66" s="56">
        <v>0.25</v>
      </c>
      <c r="BR66" s="56">
        <v>0.25</v>
      </c>
      <c r="BS66" s="67"/>
      <c r="BT66" s="67"/>
      <c r="BU66" s="67"/>
      <c r="BV66" s="67"/>
      <c r="BW66" s="67"/>
      <c r="BX66" s="67"/>
      <c r="BY66" s="67"/>
      <c r="BZ66" s="67"/>
      <c r="CA66" s="67"/>
      <c r="CB66" s="67"/>
      <c r="CC66" s="67"/>
      <c r="CD66" s="67"/>
      <c r="CE66" s="80"/>
      <c r="CF66" s="80"/>
      <c r="CG66" s="67"/>
      <c r="CH66" s="67"/>
      <c r="CI66" s="67"/>
      <c r="CJ66" s="67"/>
      <c r="CK66" s="56">
        <v>1</v>
      </c>
      <c r="CL66" s="56">
        <f t="shared" si="56"/>
        <v>1</v>
      </c>
      <c r="CM66" s="17">
        <v>0.33329999999999999</v>
      </c>
    </row>
    <row r="67" spans="1:91" s="60" customFormat="1" ht="45" x14ac:dyDescent="0.25">
      <c r="A67" s="167"/>
      <c r="B67" s="160"/>
      <c r="C67" s="160"/>
      <c r="D67" s="165"/>
      <c r="E67" s="165"/>
      <c r="F67" s="169"/>
      <c r="G67" s="143"/>
      <c r="H67" s="153"/>
      <c r="I67" s="161"/>
      <c r="J67" s="164"/>
      <c r="K67" s="81" t="s">
        <v>407</v>
      </c>
      <c r="L67" s="81" t="s">
        <v>117</v>
      </c>
      <c r="M67" s="158"/>
      <c r="N67" s="58" t="s">
        <v>408</v>
      </c>
      <c r="O67" s="93">
        <v>0.33329999999999999</v>
      </c>
      <c r="P67" s="58" t="s">
        <v>409</v>
      </c>
      <c r="Q67" s="81" t="s">
        <v>76</v>
      </c>
      <c r="R67" s="81" t="s">
        <v>76</v>
      </c>
      <c r="S67" s="58" t="s">
        <v>410</v>
      </c>
      <c r="T67" s="63" t="s">
        <v>86</v>
      </c>
      <c r="U67" s="58" t="s">
        <v>410</v>
      </c>
      <c r="V67" s="72" t="s">
        <v>30</v>
      </c>
      <c r="W67" s="50" t="s">
        <v>411</v>
      </c>
      <c r="X67" s="50" t="s">
        <v>76</v>
      </c>
      <c r="Y67" s="50" t="s">
        <v>76</v>
      </c>
      <c r="Z67" s="50" t="s">
        <v>76</v>
      </c>
      <c r="AA67" s="67" t="s">
        <v>137</v>
      </c>
      <c r="AB67" s="54"/>
      <c r="AC67" s="54"/>
      <c r="AD67" s="79">
        <v>1</v>
      </c>
      <c r="AE67" s="54"/>
      <c r="AF67" s="54"/>
      <c r="AG67" s="55"/>
      <c r="AH67" s="55"/>
      <c r="AI67" s="55"/>
      <c r="AJ67" s="55"/>
      <c r="AK67" s="55"/>
      <c r="AL67" s="55"/>
      <c r="AM67" s="55"/>
      <c r="AN67" s="79">
        <v>1</v>
      </c>
      <c r="AO67" s="67">
        <v>1</v>
      </c>
      <c r="AP67" s="56">
        <v>1</v>
      </c>
      <c r="AQ67" s="56">
        <v>0.25</v>
      </c>
      <c r="AR67" s="56">
        <v>0.25</v>
      </c>
      <c r="AS67" s="56">
        <v>0.25</v>
      </c>
      <c r="AT67" s="56">
        <v>0.25</v>
      </c>
      <c r="AU67" s="67"/>
      <c r="AV67" s="67"/>
      <c r="AW67" s="67"/>
      <c r="AX67" s="67"/>
      <c r="AY67" s="67"/>
      <c r="AZ67" s="67"/>
      <c r="BA67" s="67"/>
      <c r="BB67" s="67"/>
      <c r="BC67" s="67"/>
      <c r="BD67" s="67"/>
      <c r="BE67" s="67"/>
      <c r="BF67" s="67"/>
      <c r="BG67" s="80"/>
      <c r="BH67" s="80"/>
      <c r="BI67" s="80"/>
      <c r="BJ67" s="80"/>
      <c r="BK67" s="80"/>
      <c r="BL67" s="80"/>
      <c r="BM67" s="67">
        <v>1</v>
      </c>
      <c r="BN67" s="56">
        <f>BO67+BP67+BQ67+BR67</f>
        <v>0.5</v>
      </c>
      <c r="BO67" s="56">
        <v>0</v>
      </c>
      <c r="BP67" s="56">
        <v>0</v>
      </c>
      <c r="BQ67" s="56">
        <v>0.25</v>
      </c>
      <c r="BR67" s="56">
        <v>0.25</v>
      </c>
      <c r="BS67" s="67"/>
      <c r="BT67" s="67"/>
      <c r="BU67" s="67"/>
      <c r="BV67" s="67"/>
      <c r="BW67" s="67"/>
      <c r="BX67" s="67"/>
      <c r="BY67" s="67"/>
      <c r="BZ67" s="67"/>
      <c r="CA67" s="67"/>
      <c r="CB67" s="67"/>
      <c r="CC67" s="67"/>
      <c r="CD67" s="67"/>
      <c r="CE67" s="80"/>
      <c r="CF67" s="80"/>
      <c r="CG67" s="67"/>
      <c r="CH67" s="67"/>
      <c r="CI67" s="67"/>
      <c r="CJ67" s="67"/>
      <c r="CK67" s="56">
        <v>1</v>
      </c>
      <c r="CL67" s="56">
        <f t="shared" si="56"/>
        <v>1</v>
      </c>
      <c r="CM67" s="17">
        <v>0.33329999999999999</v>
      </c>
    </row>
    <row r="68" spans="1:91" s="60" customFormat="1" ht="45" x14ac:dyDescent="0.25">
      <c r="A68" s="167"/>
      <c r="B68" s="160"/>
      <c r="C68" s="160"/>
      <c r="D68" s="165"/>
      <c r="E68" s="165"/>
      <c r="F68" s="169"/>
      <c r="G68" s="137">
        <v>0.1</v>
      </c>
      <c r="H68" s="153"/>
      <c r="I68" s="139" t="s">
        <v>412</v>
      </c>
      <c r="J68" s="141" t="s">
        <v>413</v>
      </c>
      <c r="K68" s="50" t="s">
        <v>414</v>
      </c>
      <c r="L68" s="81" t="s">
        <v>117</v>
      </c>
      <c r="M68" s="143">
        <v>1</v>
      </c>
      <c r="N68" s="58" t="s">
        <v>415</v>
      </c>
      <c r="O68" s="85">
        <v>6.6600000000000006E-2</v>
      </c>
      <c r="P68" s="51" t="s">
        <v>416</v>
      </c>
      <c r="Q68" s="81" t="s">
        <v>76</v>
      </c>
      <c r="R68" s="81" t="s">
        <v>76</v>
      </c>
      <c r="S68" s="51" t="s">
        <v>417</v>
      </c>
      <c r="T68" s="63" t="s">
        <v>86</v>
      </c>
      <c r="U68" s="51" t="s">
        <v>417</v>
      </c>
      <c r="V68" s="72" t="s">
        <v>30</v>
      </c>
      <c r="W68" s="50" t="s">
        <v>136</v>
      </c>
      <c r="X68" s="50" t="s">
        <v>76</v>
      </c>
      <c r="Y68" s="50" t="s">
        <v>76</v>
      </c>
      <c r="Z68" s="50" t="s">
        <v>76</v>
      </c>
      <c r="AA68" s="97" t="s">
        <v>137</v>
      </c>
      <c r="AB68" s="54"/>
      <c r="AC68" s="54"/>
      <c r="AD68" s="55"/>
      <c r="AE68" s="54"/>
      <c r="AF68" s="54"/>
      <c r="AG68" s="55"/>
      <c r="AH68" s="54"/>
      <c r="AI68" s="54"/>
      <c r="AJ68" s="55"/>
      <c r="AK68" s="54"/>
      <c r="AL68" s="54"/>
      <c r="AM68" s="79">
        <v>1</v>
      </c>
      <c r="AN68" s="79">
        <v>1</v>
      </c>
      <c r="AO68" s="67"/>
      <c r="AP68" s="67"/>
      <c r="AQ68" s="67"/>
      <c r="AR68" s="67"/>
      <c r="AS68" s="67"/>
      <c r="AT68" s="67"/>
      <c r="AU68" s="67"/>
      <c r="AV68" s="67"/>
      <c r="AW68" s="67"/>
      <c r="AX68" s="67"/>
      <c r="AY68" s="67"/>
      <c r="AZ68" s="67"/>
      <c r="BA68" s="67"/>
      <c r="BB68" s="67"/>
      <c r="BC68" s="67"/>
      <c r="BD68" s="67"/>
      <c r="BE68" s="67"/>
      <c r="BF68" s="67"/>
      <c r="BG68" s="67">
        <v>0</v>
      </c>
      <c r="BH68" s="56">
        <v>0</v>
      </c>
      <c r="BI68" s="56">
        <v>0</v>
      </c>
      <c r="BJ68" s="56">
        <v>0</v>
      </c>
      <c r="BK68" s="56">
        <v>0</v>
      </c>
      <c r="BL68" s="56">
        <v>0</v>
      </c>
      <c r="BM68" s="67"/>
      <c r="BN68" s="67"/>
      <c r="BO68" s="67"/>
      <c r="BP68" s="67"/>
      <c r="BQ68" s="67"/>
      <c r="BR68" s="67"/>
      <c r="BS68" s="67"/>
      <c r="BT68" s="67"/>
      <c r="BU68" s="67"/>
      <c r="BV68" s="67"/>
      <c r="BW68" s="67"/>
      <c r="BX68" s="67"/>
      <c r="BY68" s="67"/>
      <c r="BZ68" s="67"/>
      <c r="CA68" s="67"/>
      <c r="CB68" s="67"/>
      <c r="CC68" s="67"/>
      <c r="CD68" s="67"/>
      <c r="CE68" s="67">
        <v>0</v>
      </c>
      <c r="CF68" s="20">
        <f>CG68+CH68+CI68+CJ68</f>
        <v>0.75</v>
      </c>
      <c r="CG68" s="55">
        <v>0.25</v>
      </c>
      <c r="CH68" s="55">
        <v>0.25</v>
      </c>
      <c r="CI68" s="55">
        <v>0.25</v>
      </c>
      <c r="CJ68" s="55">
        <v>0</v>
      </c>
      <c r="CK68" s="56">
        <v>0.25</v>
      </c>
      <c r="CL68" s="56">
        <f t="shared" si="56"/>
        <v>0.25</v>
      </c>
      <c r="CM68" s="19">
        <v>0</v>
      </c>
    </row>
    <row r="69" spans="1:91" s="60" customFormat="1" ht="45" x14ac:dyDescent="0.25">
      <c r="A69" s="167"/>
      <c r="B69" s="160"/>
      <c r="C69" s="160"/>
      <c r="D69" s="165"/>
      <c r="E69" s="165"/>
      <c r="F69" s="169"/>
      <c r="G69" s="152"/>
      <c r="H69" s="153"/>
      <c r="I69" s="153"/>
      <c r="J69" s="154"/>
      <c r="K69" s="50" t="s">
        <v>414</v>
      </c>
      <c r="L69" s="81" t="s">
        <v>117</v>
      </c>
      <c r="M69" s="143"/>
      <c r="N69" s="58" t="s">
        <v>418</v>
      </c>
      <c r="O69" s="85">
        <v>6.6600000000000006E-2</v>
      </c>
      <c r="P69" s="51" t="s">
        <v>419</v>
      </c>
      <c r="Q69" s="81" t="s">
        <v>76</v>
      </c>
      <c r="R69" s="81" t="s">
        <v>76</v>
      </c>
      <c r="S69" s="51" t="s">
        <v>420</v>
      </c>
      <c r="T69" s="72" t="s">
        <v>78</v>
      </c>
      <c r="U69" s="51" t="s">
        <v>421</v>
      </c>
      <c r="V69" s="72" t="s">
        <v>236</v>
      </c>
      <c r="W69" s="50" t="s">
        <v>136</v>
      </c>
      <c r="X69" s="78" t="s">
        <v>422</v>
      </c>
      <c r="Y69" s="50" t="s">
        <v>76</v>
      </c>
      <c r="Z69" s="50" t="s">
        <v>76</v>
      </c>
      <c r="AA69" s="67" t="s">
        <v>82</v>
      </c>
      <c r="AB69" s="54"/>
      <c r="AC69" s="54"/>
      <c r="AD69" s="55">
        <v>1</v>
      </c>
      <c r="AE69" s="54"/>
      <c r="AF69" s="54"/>
      <c r="AG69" s="55">
        <v>1</v>
      </c>
      <c r="AH69" s="54"/>
      <c r="AI69" s="54"/>
      <c r="AJ69" s="55">
        <v>1</v>
      </c>
      <c r="AK69" s="54"/>
      <c r="AL69" s="54"/>
      <c r="AM69" s="55">
        <v>1</v>
      </c>
      <c r="AN69" s="55">
        <v>1</v>
      </c>
      <c r="AO69" s="13">
        <v>0.72119999999999995</v>
      </c>
      <c r="AP69" s="56">
        <v>1</v>
      </c>
      <c r="AQ69" s="56">
        <v>0.25</v>
      </c>
      <c r="AR69" s="56">
        <v>0.25</v>
      </c>
      <c r="AS69" s="56">
        <v>0.25</v>
      </c>
      <c r="AT69" s="56">
        <v>0.25</v>
      </c>
      <c r="AU69" s="13">
        <f>(1557.96/2000)</f>
        <v>0.77898000000000001</v>
      </c>
      <c r="AV69" s="56">
        <v>1</v>
      </c>
      <c r="AW69" s="56">
        <v>0.25</v>
      </c>
      <c r="AX69" s="56">
        <v>0.25</v>
      </c>
      <c r="AY69" s="56">
        <v>0.25</v>
      </c>
      <c r="AZ69" s="56">
        <v>0.25</v>
      </c>
      <c r="BA69" s="13">
        <f>(1505.32/1800)</f>
        <v>0.83628888888888886</v>
      </c>
      <c r="BB69" s="56">
        <v>1</v>
      </c>
      <c r="BC69" s="56">
        <v>0.25</v>
      </c>
      <c r="BD69" s="56">
        <v>0.25</v>
      </c>
      <c r="BE69" s="56">
        <v>0.25</v>
      </c>
      <c r="BF69" s="56">
        <v>0.25</v>
      </c>
      <c r="BG69" s="94">
        <f>(1639.29/1900)*100</f>
        <v>86.278421052631586</v>
      </c>
      <c r="BH69" s="56">
        <v>1</v>
      </c>
      <c r="BI69" s="56">
        <v>0.25</v>
      </c>
      <c r="BJ69" s="56">
        <v>0.25</v>
      </c>
      <c r="BK69" s="56">
        <v>0.25</v>
      </c>
      <c r="BL69" s="56">
        <v>0.25</v>
      </c>
      <c r="BM69" s="13">
        <f>1081.78/(15*100)</f>
        <v>0.72118666666666664</v>
      </c>
      <c r="BN69" s="14">
        <f>BO69+BP69+BQ69+BR69</f>
        <v>0.5</v>
      </c>
      <c r="BO69" s="56">
        <v>0.25</v>
      </c>
      <c r="BP69" s="56">
        <v>0.25</v>
      </c>
      <c r="BQ69" s="56">
        <v>0</v>
      </c>
      <c r="BR69" s="56">
        <v>0</v>
      </c>
      <c r="BS69" s="13">
        <f>1557.96/2000</f>
        <v>0.77898000000000001</v>
      </c>
      <c r="BT69" s="14">
        <f>BU69+BV69+BW69+BX69</f>
        <v>1</v>
      </c>
      <c r="BU69" s="56">
        <v>0.25</v>
      </c>
      <c r="BV69" s="56">
        <v>0.25</v>
      </c>
      <c r="BW69" s="56">
        <v>0.25</v>
      </c>
      <c r="BX69" s="55">
        <v>0.25</v>
      </c>
      <c r="BY69" s="13">
        <f>(1505.32/1800)</f>
        <v>0.83628888888888886</v>
      </c>
      <c r="BZ69" s="14">
        <f>CA69+CB69+CC69+CD69</f>
        <v>1</v>
      </c>
      <c r="CA69" s="56">
        <v>0.25</v>
      </c>
      <c r="CB69" s="56">
        <v>0.25</v>
      </c>
      <c r="CC69" s="56">
        <v>0.25</v>
      </c>
      <c r="CD69" s="56">
        <v>0.25</v>
      </c>
      <c r="CE69" s="13">
        <f>1639.29/1900</f>
        <v>0.86278421052631582</v>
      </c>
      <c r="CF69" s="14">
        <f>CG69+CH69+CI69+CJ69</f>
        <v>1</v>
      </c>
      <c r="CG69" s="55">
        <v>0.25</v>
      </c>
      <c r="CH69" s="55">
        <v>0.25</v>
      </c>
      <c r="CI69" s="55">
        <v>0.25</v>
      </c>
      <c r="CJ69" s="55">
        <v>0.25</v>
      </c>
      <c r="CK69" s="59">
        <f>(BM69+BS69+BY69+CE69)/4</f>
        <v>0.7998099415204678</v>
      </c>
      <c r="CL69" s="59">
        <f>CK69/2</f>
        <v>0.3999049707602339</v>
      </c>
      <c r="CM69" s="17">
        <v>5.3427304093567246E-2</v>
      </c>
    </row>
    <row r="70" spans="1:91" s="60" customFormat="1" ht="45" x14ac:dyDescent="0.25">
      <c r="A70" s="167"/>
      <c r="B70" s="160"/>
      <c r="C70" s="160"/>
      <c r="D70" s="165"/>
      <c r="E70" s="165"/>
      <c r="F70" s="169"/>
      <c r="G70" s="152"/>
      <c r="H70" s="153"/>
      <c r="I70" s="153"/>
      <c r="J70" s="154"/>
      <c r="K70" s="50" t="s">
        <v>414</v>
      </c>
      <c r="L70" s="81" t="s">
        <v>117</v>
      </c>
      <c r="M70" s="143"/>
      <c r="N70" s="58" t="s">
        <v>423</v>
      </c>
      <c r="O70" s="85">
        <v>6.6600000000000006E-2</v>
      </c>
      <c r="P70" s="51" t="s">
        <v>424</v>
      </c>
      <c r="Q70" s="81" t="s">
        <v>76</v>
      </c>
      <c r="R70" s="81" t="s">
        <v>76</v>
      </c>
      <c r="S70" s="51" t="s">
        <v>425</v>
      </c>
      <c r="T70" s="63" t="s">
        <v>86</v>
      </c>
      <c r="U70" s="51" t="s">
        <v>426</v>
      </c>
      <c r="V70" s="72" t="s">
        <v>236</v>
      </c>
      <c r="W70" s="50" t="s">
        <v>136</v>
      </c>
      <c r="X70" s="78" t="s">
        <v>422</v>
      </c>
      <c r="Y70" s="50" t="s">
        <v>76</v>
      </c>
      <c r="Z70" s="50" t="s">
        <v>76</v>
      </c>
      <c r="AA70" s="67" t="s">
        <v>82</v>
      </c>
      <c r="AB70" s="54"/>
      <c r="AC70" s="54"/>
      <c r="AD70" s="55">
        <v>1</v>
      </c>
      <c r="AE70" s="54"/>
      <c r="AF70" s="54"/>
      <c r="AG70" s="55">
        <v>1</v>
      </c>
      <c r="AH70" s="54"/>
      <c r="AI70" s="54"/>
      <c r="AJ70" s="55">
        <v>1</v>
      </c>
      <c r="AK70" s="54"/>
      <c r="AL70" s="54"/>
      <c r="AM70" s="55">
        <v>1</v>
      </c>
      <c r="AN70" s="55">
        <v>1</v>
      </c>
      <c r="AO70" s="56">
        <v>1</v>
      </c>
      <c r="AP70" s="56">
        <v>1</v>
      </c>
      <c r="AQ70" s="56">
        <v>0.25</v>
      </c>
      <c r="AR70" s="56">
        <v>0.25</v>
      </c>
      <c r="AS70" s="56">
        <v>0.25</v>
      </c>
      <c r="AT70" s="56">
        <v>0.25</v>
      </c>
      <c r="AU70" s="14">
        <f>(20/20)</f>
        <v>1</v>
      </c>
      <c r="AV70" s="56">
        <v>1</v>
      </c>
      <c r="AW70" s="56">
        <v>0.25</v>
      </c>
      <c r="AX70" s="56">
        <v>0.25</v>
      </c>
      <c r="AY70" s="56">
        <v>0.25</v>
      </c>
      <c r="AZ70" s="56">
        <v>0.25</v>
      </c>
      <c r="BA70" s="14">
        <f>18/18</f>
        <v>1</v>
      </c>
      <c r="BB70" s="56">
        <v>1</v>
      </c>
      <c r="BC70" s="56">
        <v>0.25</v>
      </c>
      <c r="BD70" s="56">
        <v>0.25</v>
      </c>
      <c r="BE70" s="56">
        <v>0.25</v>
      </c>
      <c r="BF70" s="56">
        <v>0.25</v>
      </c>
      <c r="BG70" s="101">
        <v>100</v>
      </c>
      <c r="BH70" s="56">
        <v>1</v>
      </c>
      <c r="BI70" s="56">
        <v>0.25</v>
      </c>
      <c r="BJ70" s="56">
        <v>0.25</v>
      </c>
      <c r="BK70" s="56">
        <v>0.25</v>
      </c>
      <c r="BL70" s="56">
        <v>0.25</v>
      </c>
      <c r="BM70" s="14">
        <f>15/15</f>
        <v>1</v>
      </c>
      <c r="BN70" s="14">
        <f>BO70+BP70+BQ70+BR70</f>
        <v>0.75</v>
      </c>
      <c r="BO70" s="56">
        <v>0.25</v>
      </c>
      <c r="BP70" s="56">
        <v>0.25</v>
      </c>
      <c r="BQ70" s="56">
        <v>0</v>
      </c>
      <c r="BR70" s="56">
        <v>0.25</v>
      </c>
      <c r="BS70" s="14">
        <f>20/20</f>
        <v>1</v>
      </c>
      <c r="BT70" s="14">
        <f>BU70+BV70+BW70+BX70</f>
        <v>1</v>
      </c>
      <c r="BU70" s="56">
        <v>0.25</v>
      </c>
      <c r="BV70" s="56">
        <v>0.25</v>
      </c>
      <c r="BW70" s="56">
        <v>0.25</v>
      </c>
      <c r="BX70" s="55">
        <v>0.25</v>
      </c>
      <c r="BY70" s="14">
        <f>(18/18)</f>
        <v>1</v>
      </c>
      <c r="BZ70" s="14">
        <f>CA70+CB70+CC70+CD70</f>
        <v>1</v>
      </c>
      <c r="CA70" s="56">
        <v>0.25</v>
      </c>
      <c r="CB70" s="56">
        <v>0.25</v>
      </c>
      <c r="CC70" s="56">
        <v>0.25</v>
      </c>
      <c r="CD70" s="56">
        <v>0.25</v>
      </c>
      <c r="CE70" s="56">
        <v>1</v>
      </c>
      <c r="CF70" s="14">
        <f>CG70+CH70+CI70+CJ70</f>
        <v>1</v>
      </c>
      <c r="CG70" s="55">
        <v>0.25</v>
      </c>
      <c r="CH70" s="55">
        <v>0.25</v>
      </c>
      <c r="CI70" s="55">
        <v>0.25</v>
      </c>
      <c r="CJ70" s="55">
        <v>0.25</v>
      </c>
      <c r="CK70" s="56">
        <f>(BM70+BS70+BY70)/3</f>
        <v>1</v>
      </c>
      <c r="CL70" s="56">
        <v>1</v>
      </c>
      <c r="CM70" s="17">
        <v>6.6799999999999998E-2</v>
      </c>
    </row>
    <row r="71" spans="1:91" s="60" customFormat="1" ht="45" x14ac:dyDescent="0.25">
      <c r="A71" s="167"/>
      <c r="B71" s="160"/>
      <c r="C71" s="160"/>
      <c r="D71" s="165"/>
      <c r="E71" s="165"/>
      <c r="F71" s="169"/>
      <c r="G71" s="152"/>
      <c r="H71" s="153"/>
      <c r="I71" s="153"/>
      <c r="J71" s="154"/>
      <c r="K71" s="50" t="s">
        <v>414</v>
      </c>
      <c r="L71" s="81" t="s">
        <v>117</v>
      </c>
      <c r="M71" s="143"/>
      <c r="N71" s="58" t="s">
        <v>427</v>
      </c>
      <c r="O71" s="85">
        <v>6.6600000000000006E-2</v>
      </c>
      <c r="P71" s="51" t="s">
        <v>428</v>
      </c>
      <c r="Q71" s="81" t="s">
        <v>76</v>
      </c>
      <c r="R71" s="81" t="s">
        <v>76</v>
      </c>
      <c r="S71" s="51" t="s">
        <v>429</v>
      </c>
      <c r="T71" s="63" t="s">
        <v>86</v>
      </c>
      <c r="U71" s="51" t="s">
        <v>429</v>
      </c>
      <c r="V71" s="72" t="s">
        <v>30</v>
      </c>
      <c r="W71" s="81" t="s">
        <v>136</v>
      </c>
      <c r="X71" s="50" t="s">
        <v>76</v>
      </c>
      <c r="Y71" s="50" t="s">
        <v>76</v>
      </c>
      <c r="Z71" s="50" t="s">
        <v>76</v>
      </c>
      <c r="AA71" s="97" t="s">
        <v>137</v>
      </c>
      <c r="AB71" s="54"/>
      <c r="AC71" s="54"/>
      <c r="AD71" s="79"/>
      <c r="AE71" s="54"/>
      <c r="AF71" s="54"/>
      <c r="AG71" s="79"/>
      <c r="AH71" s="20"/>
      <c r="AI71" s="54"/>
      <c r="AJ71" s="79"/>
      <c r="AK71" s="54"/>
      <c r="AL71" s="54"/>
      <c r="AM71" s="79">
        <v>1</v>
      </c>
      <c r="AN71" s="79">
        <v>1</v>
      </c>
      <c r="AO71" s="67"/>
      <c r="AP71" s="67"/>
      <c r="AQ71" s="67"/>
      <c r="AR71" s="67"/>
      <c r="AS71" s="67"/>
      <c r="AT71" s="67"/>
      <c r="AU71" s="67"/>
      <c r="AV71" s="67"/>
      <c r="AW71" s="67"/>
      <c r="AX71" s="67"/>
      <c r="AY71" s="67"/>
      <c r="AZ71" s="67"/>
      <c r="BA71" s="67"/>
      <c r="BB71" s="67"/>
      <c r="BC71" s="67"/>
      <c r="BD71" s="67"/>
      <c r="BE71" s="67"/>
      <c r="BF71" s="67"/>
      <c r="BG71" s="67">
        <v>1</v>
      </c>
      <c r="BH71" s="56">
        <v>1</v>
      </c>
      <c r="BI71" s="56">
        <v>0.25</v>
      </c>
      <c r="BJ71" s="56">
        <v>0.25</v>
      </c>
      <c r="BK71" s="56">
        <v>0.25</v>
      </c>
      <c r="BL71" s="56">
        <v>0.25</v>
      </c>
      <c r="BM71" s="67"/>
      <c r="BN71" s="67"/>
      <c r="BO71" s="67"/>
      <c r="BP71" s="67"/>
      <c r="BQ71" s="67"/>
      <c r="BR71" s="67"/>
      <c r="BS71" s="67"/>
      <c r="BT71" s="67"/>
      <c r="BU71" s="67"/>
      <c r="BV71" s="67"/>
      <c r="BW71" s="67"/>
      <c r="BX71" s="67"/>
      <c r="BY71" s="67"/>
      <c r="BZ71" s="67"/>
      <c r="CA71" s="67"/>
      <c r="CB71" s="67"/>
      <c r="CC71" s="67"/>
      <c r="CD71" s="67"/>
      <c r="CE71" s="67">
        <v>1</v>
      </c>
      <c r="CF71" s="14">
        <f>CG71+CH71+CI71+CJ71</f>
        <v>1</v>
      </c>
      <c r="CG71" s="56">
        <v>0.25</v>
      </c>
      <c r="CH71" s="56">
        <v>0.25</v>
      </c>
      <c r="CI71" s="56">
        <v>0.25</v>
      </c>
      <c r="CJ71" s="56">
        <v>0.25</v>
      </c>
      <c r="CK71" s="56">
        <v>1</v>
      </c>
      <c r="CL71" s="56">
        <f t="shared" ref="CL71:CL72" si="57">CK71</f>
        <v>1</v>
      </c>
      <c r="CM71" s="17">
        <v>6.6699999999999995E-2</v>
      </c>
    </row>
    <row r="72" spans="1:91" s="60" customFormat="1" ht="45" x14ac:dyDescent="0.25">
      <c r="A72" s="167"/>
      <c r="B72" s="160"/>
      <c r="C72" s="160"/>
      <c r="D72" s="165"/>
      <c r="E72" s="165"/>
      <c r="F72" s="169"/>
      <c r="G72" s="152"/>
      <c r="H72" s="153"/>
      <c r="I72" s="153"/>
      <c r="J72" s="154"/>
      <c r="K72" s="50" t="s">
        <v>430</v>
      </c>
      <c r="L72" s="81" t="s">
        <v>117</v>
      </c>
      <c r="M72" s="143"/>
      <c r="N72" s="58" t="s">
        <v>431</v>
      </c>
      <c r="O72" s="85">
        <v>6.6600000000000006E-2</v>
      </c>
      <c r="P72" s="51" t="s">
        <v>394</v>
      </c>
      <c r="Q72" s="81" t="s">
        <v>76</v>
      </c>
      <c r="R72" s="81" t="s">
        <v>76</v>
      </c>
      <c r="S72" s="51" t="s">
        <v>432</v>
      </c>
      <c r="T72" s="72" t="s">
        <v>86</v>
      </c>
      <c r="U72" s="51" t="s">
        <v>433</v>
      </c>
      <c r="V72" s="72" t="s">
        <v>30</v>
      </c>
      <c r="W72" s="81" t="s">
        <v>81</v>
      </c>
      <c r="X72" s="50" t="s">
        <v>76</v>
      </c>
      <c r="Y72" s="50" t="s">
        <v>76</v>
      </c>
      <c r="Z72" s="50" t="s">
        <v>76</v>
      </c>
      <c r="AA72" s="67" t="s">
        <v>88</v>
      </c>
      <c r="AB72" s="54"/>
      <c r="AC72" s="54"/>
      <c r="AD72" s="79"/>
      <c r="AE72" s="54"/>
      <c r="AF72" s="54"/>
      <c r="AG72" s="79">
        <v>1</v>
      </c>
      <c r="AH72" s="20"/>
      <c r="AI72" s="54"/>
      <c r="AJ72" s="79"/>
      <c r="AK72" s="54"/>
      <c r="AL72" s="54"/>
      <c r="AM72" s="79">
        <v>1</v>
      </c>
      <c r="AN72" s="79">
        <v>2</v>
      </c>
      <c r="AO72" s="67"/>
      <c r="AP72" s="67"/>
      <c r="AQ72" s="67"/>
      <c r="AR72" s="67"/>
      <c r="AS72" s="67"/>
      <c r="AT72" s="67"/>
      <c r="AU72" s="33">
        <v>1</v>
      </c>
      <c r="AV72" s="14">
        <v>0.5</v>
      </c>
      <c r="AW72" s="14">
        <v>0</v>
      </c>
      <c r="AX72" s="14">
        <v>0.25</v>
      </c>
      <c r="AY72" s="14">
        <v>0</v>
      </c>
      <c r="AZ72" s="14">
        <v>0.25</v>
      </c>
      <c r="BA72" s="67"/>
      <c r="BB72" s="67"/>
      <c r="BC72" s="67"/>
      <c r="BD72" s="67"/>
      <c r="BE72" s="67"/>
      <c r="BF72" s="67"/>
      <c r="BG72" s="67">
        <f>2/2</f>
        <v>1</v>
      </c>
      <c r="BH72" s="56">
        <f>BI72+BJ72+BK72+BL72</f>
        <v>1</v>
      </c>
      <c r="BI72" s="14">
        <v>0.25</v>
      </c>
      <c r="BJ72" s="14">
        <v>0.25</v>
      </c>
      <c r="BK72" s="14">
        <v>0.25</v>
      </c>
      <c r="BL72" s="14">
        <v>0.25</v>
      </c>
      <c r="BM72" s="67"/>
      <c r="BN72" s="67"/>
      <c r="BO72" s="67"/>
      <c r="BP72" s="67"/>
      <c r="BQ72" s="67"/>
      <c r="BR72" s="67"/>
      <c r="BS72" s="67">
        <v>1</v>
      </c>
      <c r="BT72" s="14">
        <f>BU72+BV72+BW72+BX72</f>
        <v>0.5</v>
      </c>
      <c r="BU72" s="56">
        <v>0</v>
      </c>
      <c r="BV72" s="56">
        <v>0.25</v>
      </c>
      <c r="BW72" s="56">
        <v>0</v>
      </c>
      <c r="BX72" s="56">
        <v>0.25</v>
      </c>
      <c r="BY72" s="67"/>
      <c r="BZ72" s="67"/>
      <c r="CA72" s="67"/>
      <c r="CB72" s="67"/>
      <c r="CC72" s="67"/>
      <c r="CD72" s="67"/>
      <c r="CE72" s="67">
        <f>2/2</f>
        <v>1</v>
      </c>
      <c r="CF72" s="14">
        <f>CG72+CH72+CI72+CJ72</f>
        <v>1</v>
      </c>
      <c r="CG72" s="56">
        <v>0.25</v>
      </c>
      <c r="CH72" s="56">
        <v>0.25</v>
      </c>
      <c r="CI72" s="56">
        <v>0.25</v>
      </c>
      <c r="CJ72" s="56">
        <v>0.25</v>
      </c>
      <c r="CK72" s="56">
        <f>(CE72+BS72)/2</f>
        <v>1</v>
      </c>
      <c r="CL72" s="56">
        <f t="shared" si="57"/>
        <v>1</v>
      </c>
      <c r="CM72" s="17">
        <v>6.6600000000000006E-2</v>
      </c>
    </row>
    <row r="73" spans="1:91" s="60" customFormat="1" ht="45" x14ac:dyDescent="0.25">
      <c r="A73" s="167"/>
      <c r="B73" s="160"/>
      <c r="C73" s="160"/>
      <c r="D73" s="165"/>
      <c r="E73" s="165"/>
      <c r="F73" s="169"/>
      <c r="G73" s="152"/>
      <c r="H73" s="153"/>
      <c r="I73" s="153"/>
      <c r="J73" s="154"/>
      <c r="K73" s="50" t="s">
        <v>434</v>
      </c>
      <c r="L73" s="81" t="s">
        <v>381</v>
      </c>
      <c r="M73" s="143"/>
      <c r="N73" s="58" t="s">
        <v>435</v>
      </c>
      <c r="O73" s="85">
        <v>6.6600000000000006E-2</v>
      </c>
      <c r="P73" s="51" t="s">
        <v>436</v>
      </c>
      <c r="Q73" s="81" t="s">
        <v>76</v>
      </c>
      <c r="R73" s="81" t="s">
        <v>76</v>
      </c>
      <c r="S73" s="51" t="s">
        <v>437</v>
      </c>
      <c r="T73" s="72" t="s">
        <v>78</v>
      </c>
      <c r="U73" s="51" t="s">
        <v>438</v>
      </c>
      <c r="V73" s="72" t="s">
        <v>80</v>
      </c>
      <c r="W73" s="81" t="s">
        <v>439</v>
      </c>
      <c r="X73" s="50" t="s">
        <v>76</v>
      </c>
      <c r="Y73" s="50" t="s">
        <v>76</v>
      </c>
      <c r="Z73" s="50" t="s">
        <v>76</v>
      </c>
      <c r="AA73" s="67" t="s">
        <v>88</v>
      </c>
      <c r="AB73" s="54"/>
      <c r="AC73" s="54"/>
      <c r="AD73" s="79"/>
      <c r="AE73" s="54"/>
      <c r="AF73" s="54"/>
      <c r="AG73" s="20">
        <v>0.45</v>
      </c>
      <c r="AH73" s="20"/>
      <c r="AI73" s="54"/>
      <c r="AJ73" s="79"/>
      <c r="AK73" s="54"/>
      <c r="AL73" s="54"/>
      <c r="AM73" s="20">
        <v>0.8</v>
      </c>
      <c r="AN73" s="20">
        <v>0.8</v>
      </c>
      <c r="AO73" s="67"/>
      <c r="AP73" s="67"/>
      <c r="AQ73" s="67"/>
      <c r="AR73" s="67"/>
      <c r="AS73" s="67"/>
      <c r="AT73" s="67"/>
      <c r="AU73" s="14">
        <v>0.45</v>
      </c>
      <c r="AV73" s="14">
        <v>1</v>
      </c>
      <c r="AW73" s="14">
        <v>0.25</v>
      </c>
      <c r="AX73" s="14">
        <v>0.25</v>
      </c>
      <c r="AY73" s="14">
        <v>0.25</v>
      </c>
      <c r="AZ73" s="14">
        <v>0.25</v>
      </c>
      <c r="BA73" s="67"/>
      <c r="BB73" s="67"/>
      <c r="BC73" s="67"/>
      <c r="BD73" s="67"/>
      <c r="BE73" s="67"/>
      <c r="BF73" s="67"/>
      <c r="BG73" s="55">
        <f>3/6</f>
        <v>0.5</v>
      </c>
      <c r="BH73" s="20">
        <f>BI73+BJ73+BK73+BL73</f>
        <v>1</v>
      </c>
      <c r="BI73" s="55">
        <v>0.25</v>
      </c>
      <c r="BJ73" s="55">
        <v>0.25</v>
      </c>
      <c r="BK73" s="55">
        <v>0.25</v>
      </c>
      <c r="BL73" s="55">
        <v>0.25</v>
      </c>
      <c r="BM73" s="67"/>
      <c r="BN73" s="67"/>
      <c r="BO73" s="67"/>
      <c r="BP73" s="67"/>
      <c r="BQ73" s="67"/>
      <c r="BR73" s="67"/>
      <c r="BS73" s="56">
        <v>0.45</v>
      </c>
      <c r="BT73" s="14">
        <f>BU73+BV73+BW73+BX73</f>
        <v>1</v>
      </c>
      <c r="BU73" s="56">
        <v>0.25</v>
      </c>
      <c r="BV73" s="56">
        <v>0.25</v>
      </c>
      <c r="BW73" s="56">
        <v>0.25</v>
      </c>
      <c r="BX73" s="56">
        <v>0.25</v>
      </c>
      <c r="BY73" s="67"/>
      <c r="BZ73" s="67"/>
      <c r="CA73" s="67"/>
      <c r="CB73" s="67"/>
      <c r="CC73" s="67"/>
      <c r="CD73" s="67"/>
      <c r="CE73" s="56">
        <f>3/6</f>
        <v>0.5</v>
      </c>
      <c r="CF73" s="14">
        <f t="shared" ref="CF73:CF82" si="58">CG73+CH73+CI73+CJ73</f>
        <v>1</v>
      </c>
      <c r="CG73" s="55">
        <v>0.25</v>
      </c>
      <c r="CH73" s="55">
        <v>0.25</v>
      </c>
      <c r="CI73" s="55">
        <v>0.25</v>
      </c>
      <c r="CJ73" s="55">
        <v>0.25</v>
      </c>
      <c r="CK73" s="56">
        <v>1</v>
      </c>
      <c r="CL73" s="56">
        <f>CK73</f>
        <v>1</v>
      </c>
      <c r="CM73" s="17">
        <v>6.6600000000000006E-2</v>
      </c>
    </row>
    <row r="74" spans="1:91" s="60" customFormat="1" ht="30" x14ac:dyDescent="0.25">
      <c r="A74" s="167"/>
      <c r="B74" s="160"/>
      <c r="C74" s="160"/>
      <c r="D74" s="165"/>
      <c r="E74" s="165"/>
      <c r="F74" s="169"/>
      <c r="G74" s="152"/>
      <c r="H74" s="153"/>
      <c r="I74" s="153"/>
      <c r="J74" s="154"/>
      <c r="K74" s="50" t="s">
        <v>440</v>
      </c>
      <c r="L74" s="81" t="s">
        <v>117</v>
      </c>
      <c r="M74" s="143"/>
      <c r="N74" s="58" t="s">
        <v>441</v>
      </c>
      <c r="O74" s="85">
        <v>6.6600000000000006E-2</v>
      </c>
      <c r="P74" s="51" t="s">
        <v>442</v>
      </c>
      <c r="Q74" s="81" t="s">
        <v>76</v>
      </c>
      <c r="R74" s="81" t="s">
        <v>76</v>
      </c>
      <c r="S74" s="51" t="s">
        <v>443</v>
      </c>
      <c r="T74" s="72" t="s">
        <v>78</v>
      </c>
      <c r="U74" s="51" t="s">
        <v>444</v>
      </c>
      <c r="V74" s="50" t="s">
        <v>80</v>
      </c>
      <c r="W74" s="50" t="s">
        <v>230</v>
      </c>
      <c r="X74" s="50" t="s">
        <v>76</v>
      </c>
      <c r="Y74" s="50" t="s">
        <v>76</v>
      </c>
      <c r="Z74" s="50" t="s">
        <v>76</v>
      </c>
      <c r="AA74" s="67" t="s">
        <v>82</v>
      </c>
      <c r="AB74" s="86"/>
      <c r="AC74" s="86"/>
      <c r="AD74" s="55">
        <v>1</v>
      </c>
      <c r="AE74" s="86"/>
      <c r="AF74" s="86"/>
      <c r="AG74" s="55">
        <v>1</v>
      </c>
      <c r="AH74" s="86"/>
      <c r="AI74" s="86"/>
      <c r="AJ74" s="55">
        <v>1</v>
      </c>
      <c r="AK74" s="86"/>
      <c r="AL74" s="86"/>
      <c r="AM74" s="55">
        <v>1</v>
      </c>
      <c r="AN74" s="55">
        <v>1</v>
      </c>
      <c r="AO74" s="56">
        <v>1</v>
      </c>
      <c r="AP74" s="56">
        <v>1</v>
      </c>
      <c r="AQ74" s="56">
        <v>0.25</v>
      </c>
      <c r="AR74" s="56">
        <v>0.25</v>
      </c>
      <c r="AS74" s="56">
        <v>0.25</v>
      </c>
      <c r="AT74" s="56">
        <v>0.25</v>
      </c>
      <c r="AU74" s="14">
        <f>5/5</f>
        <v>1</v>
      </c>
      <c r="AV74" s="56">
        <v>1</v>
      </c>
      <c r="AW74" s="56">
        <v>0.25</v>
      </c>
      <c r="AX74" s="56">
        <v>0.25</v>
      </c>
      <c r="AY74" s="56">
        <v>0.25</v>
      </c>
      <c r="AZ74" s="56">
        <v>0.25</v>
      </c>
      <c r="BA74" s="14">
        <f>9/9</f>
        <v>1</v>
      </c>
      <c r="BB74" s="56">
        <v>1</v>
      </c>
      <c r="BC74" s="56">
        <v>0.25</v>
      </c>
      <c r="BD74" s="56">
        <v>0.25</v>
      </c>
      <c r="BE74" s="56">
        <v>0.25</v>
      </c>
      <c r="BF74" s="56">
        <v>0.25</v>
      </c>
      <c r="BG74" s="14">
        <f>7/7</f>
        <v>1</v>
      </c>
      <c r="BH74" s="56">
        <v>1</v>
      </c>
      <c r="BI74" s="56">
        <v>0.25</v>
      </c>
      <c r="BJ74" s="56">
        <v>0.25</v>
      </c>
      <c r="BK74" s="56">
        <v>0.25</v>
      </c>
      <c r="BL74" s="56">
        <v>0.25</v>
      </c>
      <c r="BM74" s="14">
        <f>5/5</f>
        <v>1</v>
      </c>
      <c r="BN74" s="56">
        <f>BO74+BP74+BQ74+BR74</f>
        <v>1</v>
      </c>
      <c r="BO74" s="56">
        <v>0.25</v>
      </c>
      <c r="BP74" s="56">
        <v>0.25</v>
      </c>
      <c r="BQ74" s="56">
        <v>0.25</v>
      </c>
      <c r="BR74" s="56">
        <v>0.25</v>
      </c>
      <c r="BS74" s="14">
        <f>5/5</f>
        <v>1</v>
      </c>
      <c r="BT74" s="14">
        <f>BU74+BV74+BW74+BX74</f>
        <v>1</v>
      </c>
      <c r="BU74" s="55">
        <v>0.25</v>
      </c>
      <c r="BV74" s="56">
        <v>0.25</v>
      </c>
      <c r="BW74" s="56">
        <v>0.25</v>
      </c>
      <c r="BX74" s="56">
        <v>0.25</v>
      </c>
      <c r="BY74" s="14">
        <f>9/9</f>
        <v>1</v>
      </c>
      <c r="BZ74" s="14">
        <f>CA74+CB74+CC74+CD74</f>
        <v>1</v>
      </c>
      <c r="CA74" s="56">
        <v>0.25</v>
      </c>
      <c r="CB74" s="56">
        <v>0.25</v>
      </c>
      <c r="CC74" s="56">
        <v>0.25</v>
      </c>
      <c r="CD74" s="56">
        <v>0.25</v>
      </c>
      <c r="CE74" s="14">
        <f>7/7</f>
        <v>1</v>
      </c>
      <c r="CF74" s="14">
        <f t="shared" si="58"/>
        <v>1</v>
      </c>
      <c r="CG74" s="56">
        <v>0.25</v>
      </c>
      <c r="CH74" s="56">
        <v>0.25</v>
      </c>
      <c r="CI74" s="56">
        <v>0.25</v>
      </c>
      <c r="CJ74" s="56">
        <v>0.25</v>
      </c>
      <c r="CK74" s="56">
        <f>(BM74+BS74+BY74+CE74)/4</f>
        <v>1</v>
      </c>
      <c r="CL74" s="56">
        <v>1</v>
      </c>
      <c r="CM74" s="17">
        <v>6.6799999999999998E-2</v>
      </c>
    </row>
    <row r="75" spans="1:91" s="60" customFormat="1" ht="45" x14ac:dyDescent="0.25">
      <c r="A75" s="167"/>
      <c r="B75" s="160"/>
      <c r="C75" s="160"/>
      <c r="D75" s="165"/>
      <c r="E75" s="165"/>
      <c r="F75" s="169"/>
      <c r="G75" s="152"/>
      <c r="H75" s="153"/>
      <c r="I75" s="153"/>
      <c r="J75" s="154"/>
      <c r="K75" s="50" t="s">
        <v>445</v>
      </c>
      <c r="L75" s="81" t="s">
        <v>117</v>
      </c>
      <c r="M75" s="143"/>
      <c r="N75" s="58" t="s">
        <v>446</v>
      </c>
      <c r="O75" s="85">
        <v>6.6600000000000006E-2</v>
      </c>
      <c r="P75" s="51" t="s">
        <v>394</v>
      </c>
      <c r="Q75" s="81" t="s">
        <v>76</v>
      </c>
      <c r="R75" s="81" t="s">
        <v>76</v>
      </c>
      <c r="S75" s="51" t="s">
        <v>432</v>
      </c>
      <c r="T75" s="63" t="s">
        <v>86</v>
      </c>
      <c r="U75" s="51" t="s">
        <v>447</v>
      </c>
      <c r="V75" s="50" t="s">
        <v>30</v>
      </c>
      <c r="W75" s="50" t="s">
        <v>406</v>
      </c>
      <c r="X75" s="50" t="s">
        <v>76</v>
      </c>
      <c r="Y75" s="50" t="s">
        <v>76</v>
      </c>
      <c r="Z75" s="50" t="s">
        <v>76</v>
      </c>
      <c r="AA75" s="67" t="s">
        <v>88</v>
      </c>
      <c r="AB75" s="86"/>
      <c r="AC75" s="86"/>
      <c r="AD75" s="55"/>
      <c r="AE75" s="86"/>
      <c r="AF75" s="86"/>
      <c r="AG75" s="79">
        <v>1</v>
      </c>
      <c r="AH75" s="86"/>
      <c r="AI75" s="86"/>
      <c r="AJ75" s="55"/>
      <c r="AK75" s="86"/>
      <c r="AL75" s="86"/>
      <c r="AM75" s="79">
        <v>1</v>
      </c>
      <c r="AN75" s="79">
        <v>2</v>
      </c>
      <c r="AO75" s="67"/>
      <c r="AP75" s="67"/>
      <c r="AQ75" s="67"/>
      <c r="AR75" s="67"/>
      <c r="AS75" s="67"/>
      <c r="AT75" s="67"/>
      <c r="AU75" s="67">
        <v>1</v>
      </c>
      <c r="AV75" s="56">
        <v>1</v>
      </c>
      <c r="AW75" s="56">
        <v>0.25</v>
      </c>
      <c r="AX75" s="56">
        <v>0.25</v>
      </c>
      <c r="AY75" s="56">
        <v>0.25</v>
      </c>
      <c r="AZ75" s="56">
        <v>0.25</v>
      </c>
      <c r="BA75" s="67"/>
      <c r="BB75" s="67"/>
      <c r="BC75" s="67"/>
      <c r="BD75" s="67"/>
      <c r="BE75" s="67"/>
      <c r="BF75" s="67"/>
      <c r="BG75" s="67">
        <v>1</v>
      </c>
      <c r="BH75" s="56">
        <v>1</v>
      </c>
      <c r="BI75" s="56">
        <v>0.25</v>
      </c>
      <c r="BJ75" s="56">
        <v>0.25</v>
      </c>
      <c r="BK75" s="56">
        <v>0.25</v>
      </c>
      <c r="BL75" s="56">
        <v>0.25</v>
      </c>
      <c r="BM75" s="67"/>
      <c r="BN75" s="67"/>
      <c r="BO75" s="67"/>
      <c r="BP75" s="67"/>
      <c r="BQ75" s="67"/>
      <c r="BR75" s="67"/>
      <c r="BS75" s="67">
        <v>1</v>
      </c>
      <c r="BT75" s="14">
        <f>BU75+BV75+BW75+BX75</f>
        <v>1</v>
      </c>
      <c r="BU75" s="56">
        <v>0.25</v>
      </c>
      <c r="BV75" s="56">
        <v>0.25</v>
      </c>
      <c r="BW75" s="56">
        <v>0.25</v>
      </c>
      <c r="BX75" s="56">
        <v>0.25</v>
      </c>
      <c r="BY75" s="67"/>
      <c r="BZ75" s="67"/>
      <c r="CA75" s="67"/>
      <c r="CB75" s="67"/>
      <c r="CC75" s="67"/>
      <c r="CD75" s="67"/>
      <c r="CE75" s="67">
        <v>1</v>
      </c>
      <c r="CF75" s="14">
        <f t="shared" si="58"/>
        <v>1</v>
      </c>
      <c r="CG75" s="56">
        <v>0.25</v>
      </c>
      <c r="CH75" s="56">
        <v>0.25</v>
      </c>
      <c r="CI75" s="56">
        <v>0.25</v>
      </c>
      <c r="CJ75" s="56">
        <v>0.25</v>
      </c>
      <c r="CK75" s="56">
        <f>2/2</f>
        <v>1</v>
      </c>
      <c r="CL75" s="56">
        <f>CK75</f>
        <v>1</v>
      </c>
      <c r="CM75" s="17">
        <v>6.6600000000000006E-2</v>
      </c>
    </row>
    <row r="76" spans="1:91" s="60" customFormat="1" ht="45" x14ac:dyDescent="0.25">
      <c r="A76" s="167"/>
      <c r="B76" s="160"/>
      <c r="C76" s="160"/>
      <c r="D76" s="165"/>
      <c r="E76" s="165"/>
      <c r="F76" s="169"/>
      <c r="G76" s="152"/>
      <c r="H76" s="153"/>
      <c r="I76" s="153"/>
      <c r="J76" s="154"/>
      <c r="K76" s="50" t="s">
        <v>448</v>
      </c>
      <c r="L76" s="50" t="s">
        <v>73</v>
      </c>
      <c r="M76" s="143"/>
      <c r="N76" s="58" t="s">
        <v>449</v>
      </c>
      <c r="O76" s="85">
        <v>6.6600000000000006E-2</v>
      </c>
      <c r="P76" s="51" t="s">
        <v>450</v>
      </c>
      <c r="Q76" s="81" t="s">
        <v>76</v>
      </c>
      <c r="R76" s="81" t="s">
        <v>76</v>
      </c>
      <c r="S76" s="51" t="s">
        <v>451</v>
      </c>
      <c r="T76" s="63" t="s">
        <v>86</v>
      </c>
      <c r="U76" s="51" t="s">
        <v>451</v>
      </c>
      <c r="V76" s="72" t="s">
        <v>30</v>
      </c>
      <c r="W76" s="81" t="s">
        <v>298</v>
      </c>
      <c r="X76" s="50" t="s">
        <v>76</v>
      </c>
      <c r="Y76" s="50" t="s">
        <v>76</v>
      </c>
      <c r="Z76" s="50" t="s">
        <v>76</v>
      </c>
      <c r="AA76" s="97" t="s">
        <v>137</v>
      </c>
      <c r="AB76" s="86"/>
      <c r="AC76" s="86"/>
      <c r="AD76" s="55"/>
      <c r="AE76" s="86"/>
      <c r="AF76" s="86"/>
      <c r="AG76" s="55"/>
      <c r="AH76" s="86"/>
      <c r="AI76" s="86"/>
      <c r="AJ76" s="55"/>
      <c r="AK76" s="86"/>
      <c r="AL76" s="86"/>
      <c r="AM76" s="79">
        <v>1</v>
      </c>
      <c r="AN76" s="79">
        <v>1</v>
      </c>
      <c r="AO76" s="67"/>
      <c r="AP76" s="67"/>
      <c r="AQ76" s="67"/>
      <c r="AR76" s="67"/>
      <c r="AS76" s="67"/>
      <c r="AT76" s="67"/>
      <c r="AU76" s="67"/>
      <c r="AV76" s="67"/>
      <c r="AW76" s="67"/>
      <c r="AX76" s="67"/>
      <c r="AY76" s="67"/>
      <c r="AZ76" s="67"/>
      <c r="BA76" s="67"/>
      <c r="BB76" s="67"/>
      <c r="BC76" s="67"/>
      <c r="BD76" s="67"/>
      <c r="BE76" s="67"/>
      <c r="BF76" s="67"/>
      <c r="BG76" s="67">
        <v>1</v>
      </c>
      <c r="BH76" s="56">
        <v>1</v>
      </c>
      <c r="BI76" s="56">
        <v>0.25</v>
      </c>
      <c r="BJ76" s="56">
        <v>0.25</v>
      </c>
      <c r="BK76" s="56">
        <v>0.25</v>
      </c>
      <c r="BL76" s="56">
        <v>0.25</v>
      </c>
      <c r="BM76" s="67"/>
      <c r="BN76" s="67"/>
      <c r="BO76" s="67"/>
      <c r="BP76" s="67"/>
      <c r="BQ76" s="67"/>
      <c r="BR76" s="67"/>
      <c r="BS76" s="67"/>
      <c r="BT76" s="67"/>
      <c r="BU76" s="67"/>
      <c r="BV76" s="67"/>
      <c r="BW76" s="67"/>
      <c r="BX76" s="67"/>
      <c r="BY76" s="67"/>
      <c r="BZ76" s="67"/>
      <c r="CA76" s="67"/>
      <c r="CB76" s="67"/>
      <c r="CC76" s="67"/>
      <c r="CD76" s="67"/>
      <c r="CE76" s="67">
        <v>1</v>
      </c>
      <c r="CF76" s="54">
        <f t="shared" si="58"/>
        <v>1</v>
      </c>
      <c r="CG76" s="56">
        <v>0.25</v>
      </c>
      <c r="CH76" s="56">
        <v>0.25</v>
      </c>
      <c r="CI76" s="56">
        <v>0.25</v>
      </c>
      <c r="CJ76" s="56">
        <v>0.25</v>
      </c>
      <c r="CK76" s="56">
        <v>1</v>
      </c>
      <c r="CL76" s="56">
        <f t="shared" ref="CL76" si="59">CK76</f>
        <v>1</v>
      </c>
      <c r="CM76" s="17">
        <v>6.6699999999999995E-2</v>
      </c>
    </row>
    <row r="77" spans="1:91" s="60" customFormat="1" ht="45" x14ac:dyDescent="0.25">
      <c r="A77" s="167"/>
      <c r="B77" s="160"/>
      <c r="C77" s="160"/>
      <c r="D77" s="165"/>
      <c r="E77" s="165"/>
      <c r="F77" s="169"/>
      <c r="G77" s="152"/>
      <c r="H77" s="153"/>
      <c r="I77" s="153"/>
      <c r="J77" s="154"/>
      <c r="K77" s="50" t="s">
        <v>452</v>
      </c>
      <c r="L77" s="81" t="s">
        <v>117</v>
      </c>
      <c r="M77" s="143"/>
      <c r="N77" s="58" t="s">
        <v>453</v>
      </c>
      <c r="O77" s="85">
        <v>6.6600000000000006E-2</v>
      </c>
      <c r="P77" s="102" t="s">
        <v>454</v>
      </c>
      <c r="Q77" s="81" t="s">
        <v>76</v>
      </c>
      <c r="R77" s="81" t="s">
        <v>76</v>
      </c>
      <c r="S77" s="51" t="s">
        <v>455</v>
      </c>
      <c r="T77" s="72" t="s">
        <v>78</v>
      </c>
      <c r="U77" s="51" t="s">
        <v>456</v>
      </c>
      <c r="V77" s="72" t="s">
        <v>80</v>
      </c>
      <c r="W77" s="81" t="s">
        <v>457</v>
      </c>
      <c r="X77" s="50" t="s">
        <v>76</v>
      </c>
      <c r="Y77" s="50" t="s">
        <v>76</v>
      </c>
      <c r="Z77" s="50" t="s">
        <v>76</v>
      </c>
      <c r="AA77" s="67" t="s">
        <v>88</v>
      </c>
      <c r="AB77" s="86"/>
      <c r="AC77" s="86"/>
      <c r="AD77" s="55"/>
      <c r="AE77" s="86"/>
      <c r="AF77" s="86"/>
      <c r="AG77" s="55">
        <v>1</v>
      </c>
      <c r="AH77" s="86"/>
      <c r="AI77" s="86"/>
      <c r="AJ77" s="55"/>
      <c r="AK77" s="86"/>
      <c r="AL77" s="86"/>
      <c r="AM77" s="55">
        <v>1</v>
      </c>
      <c r="AN77" s="55">
        <v>1</v>
      </c>
      <c r="AO77" s="67"/>
      <c r="AP77" s="67"/>
      <c r="AQ77" s="67"/>
      <c r="AR77" s="67"/>
      <c r="AS77" s="67"/>
      <c r="AT77" s="67"/>
      <c r="AU77" s="56">
        <f>1/1</f>
        <v>1</v>
      </c>
      <c r="AV77" s="56">
        <v>1</v>
      </c>
      <c r="AW77" s="14">
        <v>0.25</v>
      </c>
      <c r="AX77" s="14">
        <v>0.25</v>
      </c>
      <c r="AY77" s="14">
        <v>0.25</v>
      </c>
      <c r="AZ77" s="14">
        <v>0.25</v>
      </c>
      <c r="BA77" s="67"/>
      <c r="BB77" s="67"/>
      <c r="BC77" s="67"/>
      <c r="BD77" s="67"/>
      <c r="BE77" s="67"/>
      <c r="BF77" s="67"/>
      <c r="BG77" s="56">
        <v>1</v>
      </c>
      <c r="BH77" s="56">
        <f>BI77+BJ77+BK77+BL77</f>
        <v>1</v>
      </c>
      <c r="BI77" s="56">
        <v>0.25</v>
      </c>
      <c r="BJ77" s="56">
        <v>0.25</v>
      </c>
      <c r="BK77" s="56">
        <v>0.25</v>
      </c>
      <c r="BL77" s="56">
        <v>0.25</v>
      </c>
      <c r="BM77" s="67"/>
      <c r="BN77" s="67"/>
      <c r="BO77" s="67"/>
      <c r="BP77" s="67"/>
      <c r="BQ77" s="67"/>
      <c r="BR77" s="67"/>
      <c r="BS77" s="14">
        <f>1/1</f>
        <v>1</v>
      </c>
      <c r="BT77" s="56">
        <f>BU77+BV77+BW77+BX77</f>
        <v>1</v>
      </c>
      <c r="BU77" s="56">
        <v>0.25</v>
      </c>
      <c r="BV77" s="56">
        <v>0.25</v>
      </c>
      <c r="BW77" s="56">
        <v>0.25</v>
      </c>
      <c r="BX77" s="56">
        <v>0.25</v>
      </c>
      <c r="BY77" s="67"/>
      <c r="BZ77" s="67"/>
      <c r="CA77" s="67"/>
      <c r="CB77" s="67"/>
      <c r="CC77" s="67"/>
      <c r="CD77" s="67"/>
      <c r="CE77" s="56">
        <f>1/1</f>
        <v>1</v>
      </c>
      <c r="CF77" s="56">
        <f t="shared" si="58"/>
        <v>1</v>
      </c>
      <c r="CG77" s="56">
        <v>0.25</v>
      </c>
      <c r="CH77" s="56">
        <v>0.25</v>
      </c>
      <c r="CI77" s="56">
        <v>0.25</v>
      </c>
      <c r="CJ77" s="56">
        <v>0.25</v>
      </c>
      <c r="CK77" s="56">
        <v>1</v>
      </c>
      <c r="CL77" s="56">
        <f>CK77</f>
        <v>1</v>
      </c>
      <c r="CM77" s="17">
        <v>6.6600000000000006E-2</v>
      </c>
    </row>
    <row r="78" spans="1:91" s="60" customFormat="1" ht="30" x14ac:dyDescent="0.25">
      <c r="A78" s="167"/>
      <c r="B78" s="160"/>
      <c r="C78" s="160"/>
      <c r="D78" s="165"/>
      <c r="E78" s="165"/>
      <c r="F78" s="169"/>
      <c r="G78" s="152"/>
      <c r="H78" s="153"/>
      <c r="I78" s="153"/>
      <c r="J78" s="154"/>
      <c r="K78" s="50" t="s">
        <v>452</v>
      </c>
      <c r="L78" s="81" t="s">
        <v>117</v>
      </c>
      <c r="M78" s="143"/>
      <c r="N78" s="58" t="s">
        <v>458</v>
      </c>
      <c r="O78" s="85">
        <v>6.6600000000000006E-2</v>
      </c>
      <c r="P78" s="103" t="s">
        <v>394</v>
      </c>
      <c r="Q78" s="81" t="s">
        <v>76</v>
      </c>
      <c r="R78" s="81" t="s">
        <v>76</v>
      </c>
      <c r="S78" s="51" t="s">
        <v>432</v>
      </c>
      <c r="T78" s="63" t="s">
        <v>86</v>
      </c>
      <c r="U78" s="51" t="s">
        <v>459</v>
      </c>
      <c r="V78" s="72" t="s">
        <v>30</v>
      </c>
      <c r="W78" s="81" t="s">
        <v>457</v>
      </c>
      <c r="X78" s="50" t="s">
        <v>76</v>
      </c>
      <c r="Y78" s="50" t="s">
        <v>76</v>
      </c>
      <c r="Z78" s="50" t="s">
        <v>76</v>
      </c>
      <c r="AA78" s="67" t="s">
        <v>88</v>
      </c>
      <c r="AB78" s="86"/>
      <c r="AC78" s="86"/>
      <c r="AD78" s="55"/>
      <c r="AE78" s="86"/>
      <c r="AF78" s="86"/>
      <c r="AG78" s="79">
        <v>1</v>
      </c>
      <c r="AH78" s="86"/>
      <c r="AI78" s="86"/>
      <c r="AJ78" s="55"/>
      <c r="AK78" s="86"/>
      <c r="AL78" s="86"/>
      <c r="AM78" s="79">
        <v>1</v>
      </c>
      <c r="AN78" s="79">
        <v>2</v>
      </c>
      <c r="AO78" s="67"/>
      <c r="AP78" s="67"/>
      <c r="AQ78" s="67"/>
      <c r="AR78" s="67"/>
      <c r="AS78" s="67"/>
      <c r="AT78" s="67"/>
      <c r="AU78" s="67">
        <v>1</v>
      </c>
      <c r="AV78" s="56">
        <v>1</v>
      </c>
      <c r="AW78" s="14">
        <v>0.25</v>
      </c>
      <c r="AX78" s="14">
        <v>0.25</v>
      </c>
      <c r="AY78" s="14">
        <v>0.25</v>
      </c>
      <c r="AZ78" s="14">
        <v>0.25</v>
      </c>
      <c r="BA78" s="67"/>
      <c r="BB78" s="67"/>
      <c r="BC78" s="67"/>
      <c r="BD78" s="67"/>
      <c r="BE78" s="67"/>
      <c r="BF78" s="67"/>
      <c r="BG78" s="67">
        <v>1</v>
      </c>
      <c r="BH78" s="56">
        <f>BI78+BJ78+BK78+BL78</f>
        <v>1</v>
      </c>
      <c r="BI78" s="56">
        <v>0.25</v>
      </c>
      <c r="BJ78" s="56">
        <v>0.25</v>
      </c>
      <c r="BK78" s="56">
        <v>0.25</v>
      </c>
      <c r="BL78" s="56">
        <v>0.25</v>
      </c>
      <c r="BM78" s="67"/>
      <c r="BN78" s="67"/>
      <c r="BO78" s="67"/>
      <c r="BP78" s="67"/>
      <c r="BQ78" s="67"/>
      <c r="BR78" s="67"/>
      <c r="BS78" s="67">
        <v>1</v>
      </c>
      <c r="BT78" s="56">
        <f>BU78+BV78+BW78+BX78</f>
        <v>1</v>
      </c>
      <c r="BU78" s="14">
        <v>0.25</v>
      </c>
      <c r="BV78" s="14">
        <v>0.25</v>
      </c>
      <c r="BW78" s="14">
        <v>0.25</v>
      </c>
      <c r="BX78" s="14">
        <v>0.25</v>
      </c>
      <c r="BY78" s="67"/>
      <c r="BZ78" s="67"/>
      <c r="CA78" s="67"/>
      <c r="CB78" s="67"/>
      <c r="CC78" s="67"/>
      <c r="CD78" s="67"/>
      <c r="CE78" s="67">
        <v>1</v>
      </c>
      <c r="CF78" s="56">
        <f t="shared" si="58"/>
        <v>1</v>
      </c>
      <c r="CG78" s="56">
        <v>0.25</v>
      </c>
      <c r="CH78" s="56">
        <v>0.25</v>
      </c>
      <c r="CI78" s="56">
        <v>0.25</v>
      </c>
      <c r="CJ78" s="56">
        <v>0.25</v>
      </c>
      <c r="CK78" s="56">
        <v>1</v>
      </c>
      <c r="CL78" s="56">
        <f>CK78</f>
        <v>1</v>
      </c>
      <c r="CM78" s="17">
        <v>6.6600000000000006E-2</v>
      </c>
    </row>
    <row r="79" spans="1:91" s="60" customFormat="1" ht="120" x14ac:dyDescent="0.25">
      <c r="A79" s="167"/>
      <c r="B79" s="160"/>
      <c r="C79" s="160"/>
      <c r="D79" s="165"/>
      <c r="E79" s="165"/>
      <c r="F79" s="169"/>
      <c r="G79" s="152"/>
      <c r="H79" s="153"/>
      <c r="I79" s="153"/>
      <c r="J79" s="154"/>
      <c r="K79" s="50" t="s">
        <v>460</v>
      </c>
      <c r="L79" s="81" t="s">
        <v>117</v>
      </c>
      <c r="M79" s="143"/>
      <c r="N79" s="58" t="s">
        <v>461</v>
      </c>
      <c r="O79" s="85">
        <v>6.6600000000000006E-2</v>
      </c>
      <c r="P79" s="103" t="s">
        <v>462</v>
      </c>
      <c r="Q79" s="104">
        <v>3000000000</v>
      </c>
      <c r="R79" s="50" t="s">
        <v>463</v>
      </c>
      <c r="S79" s="51" t="s">
        <v>464</v>
      </c>
      <c r="T79" s="72" t="s">
        <v>78</v>
      </c>
      <c r="U79" s="51" t="s">
        <v>465</v>
      </c>
      <c r="V79" s="72" t="s">
        <v>80</v>
      </c>
      <c r="W79" s="81" t="s">
        <v>466</v>
      </c>
      <c r="X79" s="50" t="s">
        <v>76</v>
      </c>
      <c r="Y79" s="81" t="s">
        <v>463</v>
      </c>
      <c r="Z79" s="34">
        <v>3000000000</v>
      </c>
      <c r="AA79" s="97" t="s">
        <v>137</v>
      </c>
      <c r="AB79" s="86"/>
      <c r="AC79" s="86"/>
      <c r="AD79" s="55"/>
      <c r="AE79" s="86"/>
      <c r="AF79" s="86"/>
      <c r="AG79" s="79"/>
      <c r="AH79" s="86"/>
      <c r="AI79" s="86"/>
      <c r="AJ79" s="55"/>
      <c r="AK79" s="86"/>
      <c r="AL79" s="86"/>
      <c r="AM79" s="55">
        <v>1</v>
      </c>
      <c r="AN79" s="55">
        <v>1</v>
      </c>
      <c r="AO79" s="67"/>
      <c r="AP79" s="67"/>
      <c r="AQ79" s="67"/>
      <c r="AR79" s="67"/>
      <c r="AS79" s="67"/>
      <c r="AT79" s="67"/>
      <c r="AU79" s="67"/>
      <c r="AV79" s="67"/>
      <c r="AW79" s="67"/>
      <c r="AX79" s="67"/>
      <c r="AY79" s="67"/>
      <c r="AZ79" s="67"/>
      <c r="BA79" s="67"/>
      <c r="BB79" s="67"/>
      <c r="BC79" s="67"/>
      <c r="BD79" s="67"/>
      <c r="BE79" s="67"/>
      <c r="BF79" s="67"/>
      <c r="BG79" s="56">
        <v>1</v>
      </c>
      <c r="BH79" s="56">
        <v>1</v>
      </c>
      <c r="BI79" s="56">
        <v>0.25</v>
      </c>
      <c r="BJ79" s="56">
        <v>0.25</v>
      </c>
      <c r="BK79" s="56">
        <v>0.25</v>
      </c>
      <c r="BL79" s="56">
        <v>0.25</v>
      </c>
      <c r="BM79" s="67"/>
      <c r="BN79" s="67"/>
      <c r="BO79" s="67"/>
      <c r="BP79" s="67"/>
      <c r="BQ79" s="67"/>
      <c r="BR79" s="67"/>
      <c r="BS79" s="67"/>
      <c r="BT79" s="67"/>
      <c r="BU79" s="67"/>
      <c r="BV79" s="67"/>
      <c r="BW79" s="67"/>
      <c r="BX79" s="67"/>
      <c r="BY79" s="67"/>
      <c r="BZ79" s="67"/>
      <c r="CA79" s="67"/>
      <c r="CB79" s="67"/>
      <c r="CC79" s="67"/>
      <c r="CD79" s="67"/>
      <c r="CE79" s="14">
        <f>4/4</f>
        <v>1</v>
      </c>
      <c r="CF79" s="14">
        <f t="shared" si="58"/>
        <v>1</v>
      </c>
      <c r="CG79" s="56">
        <v>0.25</v>
      </c>
      <c r="CH79" s="56">
        <v>0.25</v>
      </c>
      <c r="CI79" s="56">
        <v>0.25</v>
      </c>
      <c r="CJ79" s="56">
        <v>0.25</v>
      </c>
      <c r="CK79" s="56">
        <f>(BM79+BS79)/2</f>
        <v>0</v>
      </c>
      <c r="CL79" s="56">
        <f t="shared" ref="CL79" si="60">CK79</f>
        <v>0</v>
      </c>
      <c r="CM79" s="19">
        <v>0</v>
      </c>
    </row>
    <row r="80" spans="1:91" s="60" customFormat="1" ht="120" x14ac:dyDescent="0.25">
      <c r="A80" s="167"/>
      <c r="B80" s="160"/>
      <c r="C80" s="160"/>
      <c r="D80" s="165"/>
      <c r="E80" s="165"/>
      <c r="F80" s="169"/>
      <c r="G80" s="152"/>
      <c r="H80" s="153"/>
      <c r="I80" s="153"/>
      <c r="J80" s="154"/>
      <c r="K80" s="50" t="s">
        <v>460</v>
      </c>
      <c r="L80" s="81" t="s">
        <v>117</v>
      </c>
      <c r="M80" s="143"/>
      <c r="N80" s="58" t="s">
        <v>467</v>
      </c>
      <c r="O80" s="85">
        <v>6.6600000000000006E-2</v>
      </c>
      <c r="P80" s="105" t="s">
        <v>468</v>
      </c>
      <c r="Q80" s="104">
        <v>3000000000</v>
      </c>
      <c r="R80" s="50" t="s">
        <v>463</v>
      </c>
      <c r="S80" s="51" t="s">
        <v>469</v>
      </c>
      <c r="T80" s="63" t="s">
        <v>86</v>
      </c>
      <c r="U80" s="51" t="s">
        <v>469</v>
      </c>
      <c r="V80" s="72" t="s">
        <v>30</v>
      </c>
      <c r="W80" s="81" t="s">
        <v>466</v>
      </c>
      <c r="X80" s="50" t="s">
        <v>76</v>
      </c>
      <c r="Y80" s="81" t="s">
        <v>463</v>
      </c>
      <c r="Z80" s="34">
        <v>3000000000</v>
      </c>
      <c r="AA80" s="67" t="s">
        <v>82</v>
      </c>
      <c r="AB80" s="86"/>
      <c r="AC80" s="86"/>
      <c r="AD80" s="79">
        <v>1</v>
      </c>
      <c r="AE80" s="79"/>
      <c r="AF80" s="79"/>
      <c r="AG80" s="79">
        <v>1</v>
      </c>
      <c r="AH80" s="79"/>
      <c r="AI80" s="79"/>
      <c r="AJ80" s="79">
        <v>1</v>
      </c>
      <c r="AK80" s="79"/>
      <c r="AL80" s="79"/>
      <c r="AM80" s="79">
        <v>1</v>
      </c>
      <c r="AN80" s="79">
        <v>4</v>
      </c>
      <c r="AO80" s="67">
        <v>1</v>
      </c>
      <c r="AP80" s="67">
        <v>100</v>
      </c>
      <c r="AQ80" s="67">
        <v>25</v>
      </c>
      <c r="AR80" s="67">
        <v>25</v>
      </c>
      <c r="AS80" s="67">
        <v>25</v>
      </c>
      <c r="AT80" s="67">
        <v>25</v>
      </c>
      <c r="AU80" s="67">
        <v>1</v>
      </c>
      <c r="AV80" s="56">
        <v>1</v>
      </c>
      <c r="AW80" s="56">
        <v>0.25</v>
      </c>
      <c r="AX80" s="56">
        <v>0.25</v>
      </c>
      <c r="AY80" s="56">
        <v>0.25</v>
      </c>
      <c r="AZ80" s="56">
        <v>0.25</v>
      </c>
      <c r="BA80" s="67">
        <v>1</v>
      </c>
      <c r="BB80" s="56">
        <v>1</v>
      </c>
      <c r="BC80" s="56">
        <v>0.25</v>
      </c>
      <c r="BD80" s="56">
        <v>0.25</v>
      </c>
      <c r="BE80" s="56">
        <v>0.25</v>
      </c>
      <c r="BF80" s="56">
        <v>0.25</v>
      </c>
      <c r="BG80" s="101">
        <v>1</v>
      </c>
      <c r="BH80" s="56">
        <v>1</v>
      </c>
      <c r="BI80" s="56">
        <v>0.25</v>
      </c>
      <c r="BJ80" s="56">
        <v>0.25</v>
      </c>
      <c r="BK80" s="56">
        <v>0.25</v>
      </c>
      <c r="BL80" s="56">
        <v>0.25</v>
      </c>
      <c r="BM80" s="67">
        <v>1</v>
      </c>
      <c r="BN80" s="14">
        <f>BO80+BP80+BQ80+BR80</f>
        <v>1</v>
      </c>
      <c r="BO80" s="56">
        <v>0.25</v>
      </c>
      <c r="BP80" s="56">
        <v>0.25</v>
      </c>
      <c r="BQ80" s="56">
        <v>0.25</v>
      </c>
      <c r="BR80" s="56">
        <v>0.25</v>
      </c>
      <c r="BS80" s="67">
        <v>1</v>
      </c>
      <c r="BT80" s="14">
        <f t="shared" ref="BT80:BT84" si="61">BU80+BV80+BW80+BX80</f>
        <v>1</v>
      </c>
      <c r="BU80" s="56">
        <v>0.25</v>
      </c>
      <c r="BV80" s="56">
        <v>0.25</v>
      </c>
      <c r="BW80" s="56">
        <v>0.25</v>
      </c>
      <c r="BX80" s="56">
        <v>0.25</v>
      </c>
      <c r="BY80" s="67">
        <v>1</v>
      </c>
      <c r="BZ80" s="14">
        <f>CA80+CB80+CC80+CD80</f>
        <v>1</v>
      </c>
      <c r="CA80" s="56">
        <v>0.25</v>
      </c>
      <c r="CB80" s="56">
        <v>0.25</v>
      </c>
      <c r="CC80" s="56">
        <v>0.25</v>
      </c>
      <c r="CD80" s="56">
        <v>0.25</v>
      </c>
      <c r="CE80" s="67">
        <v>1</v>
      </c>
      <c r="CF80" s="14">
        <f t="shared" si="58"/>
        <v>1</v>
      </c>
      <c r="CG80" s="56">
        <v>0.25</v>
      </c>
      <c r="CH80" s="56">
        <v>0.25</v>
      </c>
      <c r="CI80" s="56">
        <v>0.25</v>
      </c>
      <c r="CJ80" s="56">
        <v>0.25</v>
      </c>
      <c r="CK80" s="56">
        <f>(BM80+BS80+BY80+CE80)/4</f>
        <v>1</v>
      </c>
      <c r="CL80" s="56">
        <f>4/4</f>
        <v>1</v>
      </c>
      <c r="CM80" s="17">
        <v>6.6799999999999998E-2</v>
      </c>
    </row>
    <row r="81" spans="1:91" s="60" customFormat="1" ht="30" x14ac:dyDescent="0.25">
      <c r="A81" s="167"/>
      <c r="B81" s="160"/>
      <c r="C81" s="160"/>
      <c r="D81" s="165"/>
      <c r="E81" s="165"/>
      <c r="F81" s="169"/>
      <c r="G81" s="152"/>
      <c r="H81" s="153"/>
      <c r="I81" s="153"/>
      <c r="J81" s="154"/>
      <c r="K81" s="50" t="s">
        <v>470</v>
      </c>
      <c r="L81" s="81" t="s">
        <v>117</v>
      </c>
      <c r="M81" s="143"/>
      <c r="N81" s="58" t="s">
        <v>471</v>
      </c>
      <c r="O81" s="85">
        <v>6.6600000000000006E-2</v>
      </c>
      <c r="P81" s="62" t="s">
        <v>472</v>
      </c>
      <c r="Q81" s="50" t="s">
        <v>76</v>
      </c>
      <c r="R81" s="50" t="s">
        <v>76</v>
      </c>
      <c r="S81" s="51" t="s">
        <v>473</v>
      </c>
      <c r="T81" s="72" t="s">
        <v>78</v>
      </c>
      <c r="U81" s="51" t="s">
        <v>474</v>
      </c>
      <c r="V81" s="72" t="s">
        <v>236</v>
      </c>
      <c r="W81" s="81" t="s">
        <v>303</v>
      </c>
      <c r="X81" s="50" t="s">
        <v>76</v>
      </c>
      <c r="Y81" s="50" t="s">
        <v>76</v>
      </c>
      <c r="Z81" s="50" t="s">
        <v>76</v>
      </c>
      <c r="AA81" s="67" t="s">
        <v>475</v>
      </c>
      <c r="AB81" s="86"/>
      <c r="AC81" s="86"/>
      <c r="AD81" s="55"/>
      <c r="AE81" s="55">
        <v>0.75</v>
      </c>
      <c r="AF81" s="86"/>
      <c r="AG81" s="55"/>
      <c r="AH81" s="86"/>
      <c r="AI81" s="55">
        <v>0.8</v>
      </c>
      <c r="AJ81" s="55"/>
      <c r="AK81" s="86"/>
      <c r="AL81" s="86"/>
      <c r="AM81" s="55">
        <v>0.8</v>
      </c>
      <c r="AN81" s="55">
        <v>0.8</v>
      </c>
      <c r="AO81" s="67"/>
      <c r="AP81" s="67"/>
      <c r="AQ81" s="67"/>
      <c r="AR81" s="67"/>
      <c r="AS81" s="67"/>
      <c r="AT81" s="67"/>
      <c r="AU81" s="14">
        <f>(75/100)*1</f>
        <v>0.75</v>
      </c>
      <c r="AV81" s="14">
        <f>AW81+AX81+AY81+AZ81</f>
        <v>1</v>
      </c>
      <c r="AW81" s="14">
        <v>0.25</v>
      </c>
      <c r="AX81" s="14">
        <v>0.25</v>
      </c>
      <c r="AY81" s="14">
        <v>0.25</v>
      </c>
      <c r="AZ81" s="14">
        <v>0.25</v>
      </c>
      <c r="BA81" s="14">
        <f>80/100</f>
        <v>0.8</v>
      </c>
      <c r="BB81" s="14">
        <v>1</v>
      </c>
      <c r="BC81" s="14">
        <v>0.25</v>
      </c>
      <c r="BD81" s="14">
        <v>0.25</v>
      </c>
      <c r="BE81" s="14">
        <v>0.25</v>
      </c>
      <c r="BF81" s="14">
        <v>0.25</v>
      </c>
      <c r="BG81" s="14">
        <f>(80/100)*1</f>
        <v>0.8</v>
      </c>
      <c r="BH81" s="14">
        <f>BI81+BJ81+BK81+BL81</f>
        <v>1</v>
      </c>
      <c r="BI81" s="14">
        <v>0.25</v>
      </c>
      <c r="BJ81" s="14">
        <v>0.25</v>
      </c>
      <c r="BK81" s="14">
        <v>0.25</v>
      </c>
      <c r="BL81" s="14">
        <v>0.25</v>
      </c>
      <c r="BM81" s="14"/>
      <c r="BN81" s="56"/>
      <c r="BO81" s="56"/>
      <c r="BP81" s="56"/>
      <c r="BQ81" s="56"/>
      <c r="BR81" s="56"/>
      <c r="BS81" s="14">
        <f>75/100</f>
        <v>0.75</v>
      </c>
      <c r="BT81" s="56">
        <f t="shared" si="61"/>
        <v>1</v>
      </c>
      <c r="BU81" s="56">
        <v>0.25</v>
      </c>
      <c r="BV81" s="56">
        <v>0.25</v>
      </c>
      <c r="BW81" s="56">
        <v>0.25</v>
      </c>
      <c r="BX81" s="56">
        <v>0.25</v>
      </c>
      <c r="BY81" s="14">
        <f>80/100</f>
        <v>0.8</v>
      </c>
      <c r="BZ81" s="67">
        <f>CD81+CC81+CB81+CA81</f>
        <v>1</v>
      </c>
      <c r="CA81" s="56">
        <v>0.25</v>
      </c>
      <c r="CB81" s="56">
        <v>0.25</v>
      </c>
      <c r="CC81" s="56">
        <v>0.25</v>
      </c>
      <c r="CD81" s="56">
        <v>0.25</v>
      </c>
      <c r="CE81" s="14">
        <f>(80/100)*1</f>
        <v>0.8</v>
      </c>
      <c r="CF81" s="14">
        <f t="shared" si="58"/>
        <v>1</v>
      </c>
      <c r="CG81" s="14">
        <v>0.25</v>
      </c>
      <c r="CH81" s="14">
        <v>0.25</v>
      </c>
      <c r="CI81" s="14">
        <v>0.25</v>
      </c>
      <c r="CJ81" s="14">
        <v>0.25</v>
      </c>
      <c r="CK81" s="56">
        <v>1</v>
      </c>
      <c r="CL81" s="59">
        <v>0.33329999999999999</v>
      </c>
      <c r="CM81" s="17">
        <v>6.6600000000000006E-2</v>
      </c>
    </row>
    <row r="82" spans="1:91" s="60" customFormat="1" ht="30" x14ac:dyDescent="0.25">
      <c r="A82" s="167"/>
      <c r="B82" s="160"/>
      <c r="C82" s="160"/>
      <c r="D82" s="165"/>
      <c r="E82" s="165"/>
      <c r="F82" s="169"/>
      <c r="G82" s="138"/>
      <c r="H82" s="153"/>
      <c r="I82" s="140"/>
      <c r="J82" s="142"/>
      <c r="K82" s="50" t="s">
        <v>476</v>
      </c>
      <c r="L82" s="81" t="s">
        <v>117</v>
      </c>
      <c r="M82" s="143"/>
      <c r="N82" s="58" t="s">
        <v>477</v>
      </c>
      <c r="O82" s="85">
        <v>6.6600000000000006E-2</v>
      </c>
      <c r="P82" s="62" t="s">
        <v>478</v>
      </c>
      <c r="Q82" s="50" t="s">
        <v>76</v>
      </c>
      <c r="R82" s="50" t="s">
        <v>76</v>
      </c>
      <c r="S82" s="51" t="s">
        <v>479</v>
      </c>
      <c r="T82" s="106" t="s">
        <v>78</v>
      </c>
      <c r="U82" s="51" t="s">
        <v>480</v>
      </c>
      <c r="V82" s="72" t="s">
        <v>236</v>
      </c>
      <c r="W82" s="81" t="s">
        <v>481</v>
      </c>
      <c r="X82" s="50" t="s">
        <v>76</v>
      </c>
      <c r="Y82" s="50" t="s">
        <v>76</v>
      </c>
      <c r="Z82" s="50" t="s">
        <v>76</v>
      </c>
      <c r="AA82" s="67" t="s">
        <v>82</v>
      </c>
      <c r="AB82" s="86"/>
      <c r="AC82" s="86"/>
      <c r="AD82" s="55">
        <v>0.38</v>
      </c>
      <c r="AE82" s="55"/>
      <c r="AF82" s="55"/>
      <c r="AG82" s="55">
        <v>0.3</v>
      </c>
      <c r="AH82" s="55"/>
      <c r="AI82" s="55"/>
      <c r="AJ82" s="55">
        <v>0.23</v>
      </c>
      <c r="AK82" s="55"/>
      <c r="AL82" s="55"/>
      <c r="AM82" s="55">
        <v>0.09</v>
      </c>
      <c r="AN82" s="55">
        <f>AD82+AG82+AJ82+AM82</f>
        <v>0.99999999999999989</v>
      </c>
      <c r="AO82" s="56">
        <v>0.38</v>
      </c>
      <c r="AP82" s="14">
        <f>AQ82+AR82+AS82+AT82</f>
        <v>1</v>
      </c>
      <c r="AQ82" s="14">
        <v>0.25</v>
      </c>
      <c r="AR82" s="14">
        <v>0.25</v>
      </c>
      <c r="AS82" s="14">
        <v>0.25</v>
      </c>
      <c r="AT82" s="14">
        <v>0.25</v>
      </c>
      <c r="AU82" s="13">
        <f>117/250</f>
        <v>0.46800000000000003</v>
      </c>
      <c r="AV82" s="14">
        <v>1</v>
      </c>
      <c r="AW82" s="14">
        <v>0.25</v>
      </c>
      <c r="AX82" s="14">
        <v>0.25</v>
      </c>
      <c r="AY82" s="14">
        <v>0.25</v>
      </c>
      <c r="AZ82" s="14">
        <v>0.25</v>
      </c>
      <c r="BA82" s="56">
        <v>0.48</v>
      </c>
      <c r="BB82" s="56">
        <v>1</v>
      </c>
      <c r="BC82" s="56">
        <v>0.25</v>
      </c>
      <c r="BD82" s="56">
        <v>0.25</v>
      </c>
      <c r="BE82" s="56">
        <v>0.25</v>
      </c>
      <c r="BF82" s="56">
        <v>0.25</v>
      </c>
      <c r="BG82" s="14">
        <f>117/250</f>
        <v>0.46800000000000003</v>
      </c>
      <c r="BH82" s="56">
        <v>1</v>
      </c>
      <c r="BI82" s="56">
        <v>0.25</v>
      </c>
      <c r="BJ82" s="56">
        <v>0.25</v>
      </c>
      <c r="BK82" s="56">
        <v>0.25</v>
      </c>
      <c r="BL82" s="56">
        <v>0.25</v>
      </c>
      <c r="BM82" s="13">
        <f>96/250</f>
        <v>0.38400000000000001</v>
      </c>
      <c r="BN82" s="56">
        <f>BO82+BP82+BQ82+BR82</f>
        <v>0.75</v>
      </c>
      <c r="BO82" s="56">
        <v>0.25</v>
      </c>
      <c r="BP82" s="56">
        <v>0.25</v>
      </c>
      <c r="BQ82" s="56">
        <v>0</v>
      </c>
      <c r="BR82" s="56">
        <v>0.25</v>
      </c>
      <c r="BS82" s="13">
        <f>117/250</f>
        <v>0.46800000000000003</v>
      </c>
      <c r="BT82" s="14">
        <f t="shared" si="61"/>
        <v>1</v>
      </c>
      <c r="BU82" s="56">
        <v>0.25</v>
      </c>
      <c r="BV82" s="56">
        <v>0.25</v>
      </c>
      <c r="BW82" s="56">
        <v>0.25</v>
      </c>
      <c r="BX82" s="56">
        <v>0.25</v>
      </c>
      <c r="BY82" s="13">
        <f>121/250</f>
        <v>0.48399999999999999</v>
      </c>
      <c r="BZ82" s="14">
        <f>CA82+CB82+CC82+CD82</f>
        <v>1</v>
      </c>
      <c r="CA82" s="56">
        <v>0.25</v>
      </c>
      <c r="CB82" s="56">
        <v>0.25</v>
      </c>
      <c r="CC82" s="56">
        <v>0.25</v>
      </c>
      <c r="CD82" s="56">
        <v>0.25</v>
      </c>
      <c r="CE82" s="13">
        <f>117/250</f>
        <v>0.46800000000000003</v>
      </c>
      <c r="CF82" s="14">
        <f t="shared" si="58"/>
        <v>1</v>
      </c>
      <c r="CG82" s="56">
        <v>0.25</v>
      </c>
      <c r="CH82" s="56">
        <v>0.25</v>
      </c>
      <c r="CI82" s="56">
        <v>0.25</v>
      </c>
      <c r="CJ82" s="56">
        <v>0.25</v>
      </c>
      <c r="CK82" s="56">
        <v>1</v>
      </c>
      <c r="CL82" s="56">
        <v>1</v>
      </c>
      <c r="CM82" s="17">
        <v>6.6799999999999998E-2</v>
      </c>
    </row>
    <row r="83" spans="1:91" s="60" customFormat="1" ht="45" x14ac:dyDescent="0.25">
      <c r="A83" s="167"/>
      <c r="B83" s="160"/>
      <c r="C83" s="160"/>
      <c r="D83" s="165"/>
      <c r="E83" s="165"/>
      <c r="F83" s="169"/>
      <c r="G83" s="143">
        <v>0.1</v>
      </c>
      <c r="H83" s="153"/>
      <c r="I83" s="155" t="s">
        <v>482</v>
      </c>
      <c r="J83" s="141" t="s">
        <v>71</v>
      </c>
      <c r="K83" s="50" t="s">
        <v>483</v>
      </c>
      <c r="L83" s="50" t="s">
        <v>73</v>
      </c>
      <c r="M83" s="143">
        <v>1</v>
      </c>
      <c r="N83" s="58" t="s">
        <v>484</v>
      </c>
      <c r="O83" s="52">
        <v>0.5</v>
      </c>
      <c r="P83" s="51" t="s">
        <v>485</v>
      </c>
      <c r="Q83" s="50" t="s">
        <v>76</v>
      </c>
      <c r="R83" s="50" t="s">
        <v>76</v>
      </c>
      <c r="S83" s="51" t="s">
        <v>486</v>
      </c>
      <c r="T83" s="63" t="s">
        <v>86</v>
      </c>
      <c r="U83" s="51" t="s">
        <v>486</v>
      </c>
      <c r="V83" s="72" t="s">
        <v>30</v>
      </c>
      <c r="W83" s="50" t="s">
        <v>81</v>
      </c>
      <c r="X83" s="50" t="s">
        <v>76</v>
      </c>
      <c r="Y83" s="50" t="s">
        <v>76</v>
      </c>
      <c r="Z83" s="50" t="s">
        <v>76</v>
      </c>
      <c r="AA83" s="67" t="s">
        <v>82</v>
      </c>
      <c r="AB83" s="54"/>
      <c r="AC83" s="54"/>
      <c r="AD83" s="79">
        <v>1</v>
      </c>
      <c r="AE83" s="54"/>
      <c r="AF83" s="54"/>
      <c r="AG83" s="79">
        <v>1</v>
      </c>
      <c r="AH83" s="20"/>
      <c r="AI83" s="54"/>
      <c r="AJ83" s="79">
        <v>1</v>
      </c>
      <c r="AK83" s="54"/>
      <c r="AL83" s="54"/>
      <c r="AM83" s="79">
        <v>1</v>
      </c>
      <c r="AN83" s="79">
        <v>4</v>
      </c>
      <c r="AO83" s="14">
        <f>1/1</f>
        <v>1</v>
      </c>
      <c r="AP83" s="56">
        <v>1</v>
      </c>
      <c r="AQ83" s="14">
        <v>0.25</v>
      </c>
      <c r="AR83" s="14">
        <v>0.25</v>
      </c>
      <c r="AS83" s="14">
        <v>0.25</v>
      </c>
      <c r="AT83" s="14">
        <v>0.25</v>
      </c>
      <c r="AU83" s="101">
        <v>1</v>
      </c>
      <c r="AV83" s="56">
        <f>AW83+AX83+AY83+AZ83</f>
        <v>1</v>
      </c>
      <c r="AW83" s="14">
        <v>0.25</v>
      </c>
      <c r="AX83" s="14">
        <v>0.25</v>
      </c>
      <c r="AY83" s="14">
        <v>0.25</v>
      </c>
      <c r="AZ83" s="14">
        <v>0.25</v>
      </c>
      <c r="BA83" s="81">
        <v>1</v>
      </c>
      <c r="BB83" s="15">
        <f>BC83+BD83+BE83+BF83</f>
        <v>1</v>
      </c>
      <c r="BC83" s="16">
        <v>0.25</v>
      </c>
      <c r="BD83" s="16">
        <v>0.25</v>
      </c>
      <c r="BE83" s="16">
        <v>0.25</v>
      </c>
      <c r="BF83" s="16">
        <v>0.25</v>
      </c>
      <c r="BG83" s="35">
        <v>1</v>
      </c>
      <c r="BH83" s="15">
        <f>BL83+BK83+BJ83+BI83</f>
        <v>1</v>
      </c>
      <c r="BI83" s="16">
        <v>0.25</v>
      </c>
      <c r="BJ83" s="16">
        <v>0.25</v>
      </c>
      <c r="BK83" s="16">
        <v>0.25</v>
      </c>
      <c r="BL83" s="16">
        <v>0.25</v>
      </c>
      <c r="BM83" s="101">
        <v>1</v>
      </c>
      <c r="BN83" s="56">
        <f>BO83+BP83+BQ83+BR83</f>
        <v>1</v>
      </c>
      <c r="BO83" s="56">
        <v>0.25</v>
      </c>
      <c r="BP83" s="56">
        <v>0.25</v>
      </c>
      <c r="BQ83" s="56">
        <v>0.25</v>
      </c>
      <c r="BR83" s="56">
        <v>0.25</v>
      </c>
      <c r="BS83" s="101">
        <f>1/1</f>
        <v>1</v>
      </c>
      <c r="BT83" s="14">
        <f t="shared" si="61"/>
        <v>1</v>
      </c>
      <c r="BU83" s="14">
        <v>0.25</v>
      </c>
      <c r="BV83" s="14">
        <v>0.25</v>
      </c>
      <c r="BW83" s="14">
        <v>0.25</v>
      </c>
      <c r="BX83" s="14">
        <v>0.25</v>
      </c>
      <c r="BY83" s="67">
        <v>1</v>
      </c>
      <c r="BZ83" s="14">
        <f>CA83+CB83+CC83+CD83</f>
        <v>1</v>
      </c>
      <c r="CA83" s="56">
        <v>0.25</v>
      </c>
      <c r="CB83" s="56">
        <v>0.25</v>
      </c>
      <c r="CC83" s="56">
        <v>0.25</v>
      </c>
      <c r="CD83" s="56">
        <v>0.25</v>
      </c>
      <c r="CE83" s="67">
        <v>1</v>
      </c>
      <c r="CF83" s="56">
        <v>1</v>
      </c>
      <c r="CG83" s="16">
        <v>0.25</v>
      </c>
      <c r="CH83" s="16">
        <v>0.25</v>
      </c>
      <c r="CI83" s="16">
        <v>0.25</v>
      </c>
      <c r="CJ83" s="16">
        <v>0.25</v>
      </c>
      <c r="CK83" s="56">
        <v>1</v>
      </c>
      <c r="CL83" s="56">
        <f>4/4</f>
        <v>1</v>
      </c>
      <c r="CM83" s="19">
        <v>0.5</v>
      </c>
    </row>
    <row r="84" spans="1:91" s="60" customFormat="1" ht="30" x14ac:dyDescent="0.25">
      <c r="A84" s="167"/>
      <c r="B84" s="160"/>
      <c r="C84" s="160"/>
      <c r="D84" s="165"/>
      <c r="E84" s="165"/>
      <c r="F84" s="169"/>
      <c r="G84" s="143"/>
      <c r="H84" s="153"/>
      <c r="I84" s="155"/>
      <c r="J84" s="142"/>
      <c r="K84" s="50" t="s">
        <v>487</v>
      </c>
      <c r="L84" s="50" t="s">
        <v>73</v>
      </c>
      <c r="M84" s="143"/>
      <c r="N84" s="58" t="s">
        <v>488</v>
      </c>
      <c r="O84" s="52">
        <v>0.5</v>
      </c>
      <c r="P84" s="51" t="s">
        <v>489</v>
      </c>
      <c r="Q84" s="50" t="s">
        <v>76</v>
      </c>
      <c r="R84" s="50" t="s">
        <v>76</v>
      </c>
      <c r="S84" s="51" t="s">
        <v>490</v>
      </c>
      <c r="T84" s="72" t="s">
        <v>78</v>
      </c>
      <c r="U84" s="51" t="s">
        <v>491</v>
      </c>
      <c r="V84" s="50" t="s">
        <v>80</v>
      </c>
      <c r="W84" s="81" t="s">
        <v>298</v>
      </c>
      <c r="X84" s="50" t="s">
        <v>76</v>
      </c>
      <c r="Y84" s="50" t="s">
        <v>76</v>
      </c>
      <c r="Z84" s="50" t="s">
        <v>76</v>
      </c>
      <c r="AA84" s="67" t="s">
        <v>88</v>
      </c>
      <c r="AB84" s="54"/>
      <c r="AC84" s="54"/>
      <c r="AD84" s="54"/>
      <c r="AE84" s="54"/>
      <c r="AF84" s="54"/>
      <c r="AG84" s="55">
        <v>1</v>
      </c>
      <c r="AH84" s="54"/>
      <c r="AI84" s="54"/>
      <c r="AJ84" s="54"/>
      <c r="AK84" s="54"/>
      <c r="AL84" s="54"/>
      <c r="AM84" s="55">
        <v>1</v>
      </c>
      <c r="AN84" s="55">
        <v>1</v>
      </c>
      <c r="AO84" s="67"/>
      <c r="AP84" s="67"/>
      <c r="AQ84" s="67"/>
      <c r="AR84" s="67"/>
      <c r="AS84" s="67"/>
      <c r="AT84" s="67"/>
      <c r="AU84" s="56">
        <v>1</v>
      </c>
      <c r="AV84" s="56">
        <v>1</v>
      </c>
      <c r="AW84" s="56">
        <v>0.25</v>
      </c>
      <c r="AX84" s="56">
        <v>0.25</v>
      </c>
      <c r="AY84" s="56">
        <v>0.25</v>
      </c>
      <c r="AZ84" s="56">
        <v>0.25</v>
      </c>
      <c r="BA84" s="67"/>
      <c r="BB84" s="67"/>
      <c r="BC84" s="67"/>
      <c r="BD84" s="67"/>
      <c r="BE84" s="67"/>
      <c r="BF84" s="67"/>
      <c r="BG84" s="56">
        <v>1</v>
      </c>
      <c r="BH84" s="56">
        <v>1</v>
      </c>
      <c r="BI84" s="56">
        <v>0.25</v>
      </c>
      <c r="BJ84" s="56">
        <v>0.25</v>
      </c>
      <c r="BK84" s="56">
        <v>0.25</v>
      </c>
      <c r="BL84" s="56">
        <v>0.25</v>
      </c>
      <c r="BM84" s="67"/>
      <c r="BN84" s="67"/>
      <c r="BO84" s="67"/>
      <c r="BP84" s="67"/>
      <c r="BQ84" s="67"/>
      <c r="BR84" s="67"/>
      <c r="BS84" s="56">
        <v>1</v>
      </c>
      <c r="BT84" s="14">
        <f t="shared" si="61"/>
        <v>1</v>
      </c>
      <c r="BU84" s="56">
        <v>0.25</v>
      </c>
      <c r="BV84" s="56">
        <v>0.25</v>
      </c>
      <c r="BW84" s="56">
        <v>0.25</v>
      </c>
      <c r="BX84" s="56">
        <v>0.25</v>
      </c>
      <c r="BY84" s="67"/>
      <c r="BZ84" s="67"/>
      <c r="CA84" s="67"/>
      <c r="CB84" s="67"/>
      <c r="CC84" s="67"/>
      <c r="CD84" s="67"/>
      <c r="CE84" s="14">
        <f>4/4</f>
        <v>1</v>
      </c>
      <c r="CF84" s="14">
        <f>CG84+CH84+CI84+CJ84</f>
        <v>1</v>
      </c>
      <c r="CG84" s="56">
        <v>0.25</v>
      </c>
      <c r="CH84" s="56">
        <v>0.25</v>
      </c>
      <c r="CI84" s="56">
        <v>0.25</v>
      </c>
      <c r="CJ84" s="56">
        <v>0.25</v>
      </c>
      <c r="CK84" s="56">
        <f>4/4</f>
        <v>1</v>
      </c>
      <c r="CL84" s="56">
        <f>CK84</f>
        <v>1</v>
      </c>
      <c r="CM84" s="19">
        <v>0.5</v>
      </c>
    </row>
    <row r="85" spans="1:91" s="60" customFormat="1" ht="60" x14ac:dyDescent="0.25">
      <c r="A85" s="167"/>
      <c r="B85" s="160"/>
      <c r="C85" s="160"/>
      <c r="D85" s="165"/>
      <c r="E85" s="165"/>
      <c r="F85" s="169"/>
      <c r="G85" s="137">
        <v>0.1</v>
      </c>
      <c r="H85" s="153"/>
      <c r="I85" s="139" t="s">
        <v>492</v>
      </c>
      <c r="J85" s="141" t="s">
        <v>71</v>
      </c>
      <c r="K85" s="50" t="s">
        <v>493</v>
      </c>
      <c r="L85" s="50" t="s">
        <v>494</v>
      </c>
      <c r="M85" s="143">
        <v>1</v>
      </c>
      <c r="N85" s="51" t="s">
        <v>495</v>
      </c>
      <c r="O85" s="52">
        <v>0.5</v>
      </c>
      <c r="P85" s="51" t="s">
        <v>496</v>
      </c>
      <c r="Q85" s="50" t="s">
        <v>76</v>
      </c>
      <c r="R85" s="50" t="s">
        <v>76</v>
      </c>
      <c r="S85" s="51" t="s">
        <v>497</v>
      </c>
      <c r="T85" s="63" t="s">
        <v>86</v>
      </c>
      <c r="U85" s="51" t="s">
        <v>498</v>
      </c>
      <c r="V85" s="50" t="s">
        <v>30</v>
      </c>
      <c r="W85" s="50" t="s">
        <v>136</v>
      </c>
      <c r="X85" s="50" t="s">
        <v>76</v>
      </c>
      <c r="Y85" s="50" t="s">
        <v>76</v>
      </c>
      <c r="Z85" s="50" t="s">
        <v>76</v>
      </c>
      <c r="AA85" s="54" t="s">
        <v>137</v>
      </c>
      <c r="AB85" s="54"/>
      <c r="AC85" s="54"/>
      <c r="AD85" s="79">
        <v>1</v>
      </c>
      <c r="AE85" s="54"/>
      <c r="AF85" s="54"/>
      <c r="AG85" s="55"/>
      <c r="AH85" s="54"/>
      <c r="AI85" s="54"/>
      <c r="AJ85" s="55"/>
      <c r="AK85" s="54"/>
      <c r="AL85" s="54"/>
      <c r="AM85" s="79"/>
      <c r="AN85" s="79">
        <v>1</v>
      </c>
      <c r="AO85" s="54">
        <f>(1/1)*1</f>
        <v>1</v>
      </c>
      <c r="AP85" s="20">
        <v>1</v>
      </c>
      <c r="AQ85" s="55">
        <v>0.25</v>
      </c>
      <c r="AR85" s="55">
        <v>0.25</v>
      </c>
      <c r="AS85" s="55">
        <v>0.25</v>
      </c>
      <c r="AT85" s="55">
        <v>0.25</v>
      </c>
      <c r="AU85" s="54"/>
      <c r="AV85" s="54"/>
      <c r="AW85" s="54"/>
      <c r="AX85" s="54"/>
      <c r="AY85" s="54"/>
      <c r="AZ85" s="54"/>
      <c r="BA85" s="54"/>
      <c r="BB85" s="54"/>
      <c r="BC85" s="54"/>
      <c r="BD85" s="54"/>
      <c r="BE85" s="54"/>
      <c r="BF85" s="54"/>
      <c r="BG85" s="86"/>
      <c r="BH85" s="86"/>
      <c r="BI85" s="86"/>
      <c r="BJ85" s="86"/>
      <c r="BK85" s="86"/>
      <c r="BL85" s="86"/>
      <c r="BM85" s="54"/>
      <c r="BN85" s="54"/>
      <c r="BO85" s="54"/>
      <c r="BP85" s="54"/>
      <c r="BQ85" s="54"/>
      <c r="BR85" s="54"/>
      <c r="BS85" s="54"/>
      <c r="BT85" s="54"/>
      <c r="BU85" s="54"/>
      <c r="BV85" s="54"/>
      <c r="BW85" s="54"/>
      <c r="BX85" s="54"/>
      <c r="BY85" s="86"/>
      <c r="BZ85" s="86"/>
      <c r="CA85" s="86"/>
      <c r="CB85" s="86"/>
      <c r="CC85" s="86"/>
      <c r="CD85" s="86"/>
      <c r="CE85" s="54">
        <v>1</v>
      </c>
      <c r="CF85" s="107">
        <v>1</v>
      </c>
      <c r="CG85" s="55">
        <v>0.25</v>
      </c>
      <c r="CH85" s="55">
        <v>0.25</v>
      </c>
      <c r="CI85" s="55">
        <v>0</v>
      </c>
      <c r="CJ85" s="55">
        <v>0.25</v>
      </c>
      <c r="CK85" s="55">
        <v>1</v>
      </c>
      <c r="CL85" s="55">
        <v>1</v>
      </c>
      <c r="CM85" s="20">
        <v>0.5</v>
      </c>
    </row>
    <row r="86" spans="1:91" s="60" customFormat="1" ht="60" x14ac:dyDescent="0.25">
      <c r="A86" s="168"/>
      <c r="B86" s="161"/>
      <c r="C86" s="161"/>
      <c r="D86" s="165"/>
      <c r="E86" s="165"/>
      <c r="F86" s="169"/>
      <c r="G86" s="138"/>
      <c r="H86" s="140"/>
      <c r="I86" s="140"/>
      <c r="J86" s="142"/>
      <c r="K86" s="50" t="s">
        <v>499</v>
      </c>
      <c r="L86" s="50" t="s">
        <v>117</v>
      </c>
      <c r="M86" s="143"/>
      <c r="N86" s="51" t="s">
        <v>500</v>
      </c>
      <c r="O86" s="52">
        <v>0.5</v>
      </c>
      <c r="P86" s="51" t="s">
        <v>501</v>
      </c>
      <c r="Q86" s="50" t="s">
        <v>76</v>
      </c>
      <c r="R86" s="50" t="s">
        <v>76</v>
      </c>
      <c r="S86" s="51" t="s">
        <v>502</v>
      </c>
      <c r="T86" s="63" t="s">
        <v>86</v>
      </c>
      <c r="U86" s="51" t="s">
        <v>503</v>
      </c>
      <c r="V86" s="50" t="s">
        <v>30</v>
      </c>
      <c r="W86" s="50" t="s">
        <v>406</v>
      </c>
      <c r="X86" s="50" t="s">
        <v>76</v>
      </c>
      <c r="Y86" s="50" t="s">
        <v>76</v>
      </c>
      <c r="Z86" s="50" t="s">
        <v>76</v>
      </c>
      <c r="AA86" s="54" t="s">
        <v>137</v>
      </c>
      <c r="AB86" s="54"/>
      <c r="AC86" s="54"/>
      <c r="AD86" s="55"/>
      <c r="AE86" s="54"/>
      <c r="AF86" s="54"/>
      <c r="AG86" s="55"/>
      <c r="AH86" s="54">
        <v>1</v>
      </c>
      <c r="AI86" s="54"/>
      <c r="AJ86" s="55"/>
      <c r="AK86" s="54"/>
      <c r="AL86" s="54"/>
      <c r="AM86" s="55"/>
      <c r="AN86" s="79">
        <v>1</v>
      </c>
      <c r="AO86" s="54"/>
      <c r="AP86" s="54"/>
      <c r="AQ86" s="54"/>
      <c r="AR86" s="54"/>
      <c r="AS86" s="54"/>
      <c r="AT86" s="54"/>
      <c r="AU86" s="54"/>
      <c r="AV86" s="54"/>
      <c r="AW86" s="54"/>
      <c r="AX86" s="54"/>
      <c r="AY86" s="54"/>
      <c r="AZ86" s="54"/>
      <c r="BA86" s="54">
        <v>1</v>
      </c>
      <c r="BB86" s="55">
        <v>1</v>
      </c>
      <c r="BC86" s="55">
        <v>0.25</v>
      </c>
      <c r="BD86" s="55">
        <v>0.25</v>
      </c>
      <c r="BE86" s="55">
        <v>0.25</v>
      </c>
      <c r="BF86" s="55">
        <v>0.25</v>
      </c>
      <c r="BG86" s="86"/>
      <c r="BH86" s="86"/>
      <c r="BI86" s="86"/>
      <c r="BJ86" s="86"/>
      <c r="BK86" s="86"/>
      <c r="BL86" s="86"/>
      <c r="BM86" s="54"/>
      <c r="BN86" s="54"/>
      <c r="BO86" s="54"/>
      <c r="BP86" s="54"/>
      <c r="BQ86" s="54"/>
      <c r="BR86" s="54"/>
      <c r="BS86" s="54"/>
      <c r="BT86" s="54"/>
      <c r="BU86" s="54"/>
      <c r="BV86" s="54"/>
      <c r="BW86" s="54"/>
      <c r="BX86" s="54"/>
      <c r="BY86" s="54">
        <v>1</v>
      </c>
      <c r="BZ86" s="20">
        <f>CA86+CB86+CC86+CD86</f>
        <v>1</v>
      </c>
      <c r="CA86" s="55">
        <v>0.25</v>
      </c>
      <c r="CB86" s="55">
        <v>0.25</v>
      </c>
      <c r="CC86" s="55">
        <v>0.25</v>
      </c>
      <c r="CD86" s="55">
        <v>0.25</v>
      </c>
      <c r="CE86" s="86"/>
      <c r="CF86" s="86"/>
      <c r="CG86" s="54"/>
      <c r="CH86" s="54"/>
      <c r="CI86" s="54"/>
      <c r="CJ86" s="54"/>
      <c r="CK86" s="20">
        <v>1</v>
      </c>
      <c r="CL86" s="108">
        <f>CK86</f>
        <v>1</v>
      </c>
      <c r="CM86" s="20">
        <v>0.5</v>
      </c>
    </row>
    <row r="87" spans="1:91" ht="15.75" x14ac:dyDescent="0.25">
      <c r="A87" s="144" t="s">
        <v>504</v>
      </c>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c r="AK87" s="145"/>
      <c r="AL87" s="145"/>
      <c r="AM87" s="145"/>
      <c r="AN87" s="145"/>
      <c r="AO87" s="145"/>
      <c r="AP87" s="145"/>
      <c r="AQ87" s="145"/>
      <c r="AR87" s="145"/>
      <c r="AS87" s="145"/>
      <c r="AT87" s="145"/>
      <c r="AU87" s="145"/>
      <c r="AV87" s="145"/>
      <c r="AW87" s="145"/>
      <c r="AX87" s="145"/>
      <c r="AY87" s="145"/>
      <c r="AZ87" s="145"/>
      <c r="BA87" s="145"/>
      <c r="BB87" s="145"/>
      <c r="BC87" s="145"/>
      <c r="BD87" s="145"/>
      <c r="BE87" s="145"/>
      <c r="BF87" s="145"/>
      <c r="BG87" s="145"/>
      <c r="BH87" s="145"/>
      <c r="BI87" s="145"/>
      <c r="BJ87" s="145"/>
      <c r="BK87" s="145"/>
      <c r="BL87" s="145"/>
      <c r="BM87" s="145"/>
      <c r="BN87" s="145"/>
      <c r="BO87" s="145"/>
      <c r="BP87" s="145"/>
      <c r="BQ87" s="145"/>
      <c r="BR87" s="145"/>
      <c r="BS87" s="145"/>
      <c r="BT87" s="145"/>
      <c r="BU87" s="145"/>
      <c r="BV87" s="145"/>
      <c r="BW87" s="145"/>
      <c r="BX87" s="145"/>
      <c r="BY87" s="145"/>
      <c r="BZ87" s="145"/>
      <c r="CA87" s="145"/>
      <c r="CB87" s="145"/>
      <c r="CC87" s="145"/>
      <c r="CD87" s="145"/>
      <c r="CE87" s="145"/>
      <c r="CF87" s="145"/>
      <c r="CG87" s="145"/>
      <c r="CH87" s="145"/>
      <c r="CI87" s="145"/>
      <c r="CJ87" s="145"/>
      <c r="CK87" s="145"/>
      <c r="CL87" s="145"/>
      <c r="CM87" s="146"/>
    </row>
    <row r="88" spans="1:91" x14ac:dyDescent="0.25">
      <c r="A88" s="147" t="s">
        <v>505</v>
      </c>
      <c r="B88" s="148"/>
      <c r="C88" s="148"/>
      <c r="D88" s="148"/>
      <c r="E88" s="148"/>
      <c r="F88" s="148"/>
      <c r="G88" s="148"/>
      <c r="H88" s="148"/>
      <c r="I88" s="148"/>
      <c r="J88" s="148"/>
      <c r="K88" s="148"/>
      <c r="L88" s="148"/>
      <c r="M88" s="149"/>
      <c r="N88" s="147" t="s">
        <v>506</v>
      </c>
      <c r="O88" s="148"/>
      <c r="P88" s="148"/>
      <c r="Q88" s="148"/>
      <c r="R88" s="148"/>
      <c r="S88" s="148"/>
      <c r="T88" s="148"/>
      <c r="U88" s="148"/>
      <c r="V88" s="148"/>
      <c r="W88" s="149"/>
      <c r="X88" s="150" t="s">
        <v>507</v>
      </c>
      <c r="Y88" s="151"/>
      <c r="Z88" s="151"/>
      <c r="AA88" s="151"/>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51"/>
      <c r="BC88" s="151"/>
      <c r="BD88" s="151"/>
      <c r="BE88" s="151"/>
      <c r="BF88" s="151"/>
      <c r="BG88" s="151"/>
      <c r="BH88" s="151"/>
      <c r="BI88" s="151"/>
      <c r="BJ88" s="151"/>
      <c r="BK88" s="151"/>
      <c r="BL88" s="151"/>
      <c r="BM88" s="151"/>
      <c r="BN88" s="151"/>
      <c r="BO88" s="151"/>
      <c r="BP88" s="151"/>
      <c r="BQ88" s="151"/>
      <c r="BR88" s="151"/>
      <c r="BS88" s="151"/>
      <c r="BT88" s="151"/>
      <c r="BU88" s="151"/>
      <c r="BV88" s="151"/>
      <c r="BW88" s="151"/>
      <c r="BX88" s="151"/>
      <c r="BY88" s="151"/>
      <c r="BZ88" s="151"/>
      <c r="CA88" s="151"/>
      <c r="CB88" s="151"/>
      <c r="CC88" s="151"/>
      <c r="CD88" s="151"/>
      <c r="CE88" s="151"/>
      <c r="CF88" s="151"/>
      <c r="CG88" s="151"/>
      <c r="CH88" s="151"/>
      <c r="CI88" s="151"/>
      <c r="CJ88" s="151"/>
      <c r="CK88" s="151"/>
      <c r="CL88" s="151"/>
      <c r="CM88" s="151"/>
    </row>
    <row r="89" spans="1:91" x14ac:dyDescent="0.25">
      <c r="A89" s="129" t="s">
        <v>508</v>
      </c>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c r="BZ89" s="130"/>
      <c r="CA89" s="130"/>
      <c r="CB89" s="130"/>
      <c r="CC89" s="130"/>
      <c r="CD89" s="130"/>
      <c r="CE89" s="130"/>
      <c r="CF89" s="130"/>
      <c r="CG89" s="130"/>
      <c r="CH89" s="130"/>
      <c r="CI89" s="130"/>
      <c r="CJ89" s="130"/>
      <c r="CK89" s="130"/>
      <c r="CL89" s="130"/>
      <c r="CM89" s="130"/>
    </row>
    <row r="90" spans="1:91" x14ac:dyDescent="0.25">
      <c r="A90" s="131" t="s">
        <v>509</v>
      </c>
      <c r="B90" s="132"/>
      <c r="C90" s="132"/>
      <c r="D90" s="132"/>
      <c r="E90" s="132"/>
      <c r="F90" s="132"/>
      <c r="G90" s="132"/>
      <c r="H90" s="132"/>
      <c r="I90" s="132"/>
      <c r="J90" s="132"/>
      <c r="K90" s="132"/>
      <c r="L90" s="132"/>
      <c r="M90" s="133"/>
      <c r="N90" s="131" t="s">
        <v>510</v>
      </c>
      <c r="O90" s="132"/>
      <c r="P90" s="132"/>
      <c r="Q90" s="132"/>
      <c r="R90" s="132"/>
      <c r="S90" s="132"/>
      <c r="T90" s="132"/>
      <c r="U90" s="133"/>
      <c r="V90" s="134" t="s">
        <v>511</v>
      </c>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6"/>
      <c r="BC90" s="131" t="s">
        <v>512</v>
      </c>
      <c r="BD90" s="132"/>
      <c r="BE90" s="132"/>
      <c r="BF90" s="132"/>
      <c r="BG90" s="132"/>
      <c r="BH90" s="132"/>
      <c r="BI90" s="132"/>
      <c r="BJ90" s="132"/>
      <c r="BK90" s="132"/>
      <c r="BL90" s="132"/>
      <c r="BM90" s="132"/>
      <c r="BN90" s="132"/>
      <c r="BO90" s="132"/>
      <c r="BP90" s="132"/>
      <c r="BQ90" s="132"/>
      <c r="BR90" s="132"/>
      <c r="BS90" s="132"/>
      <c r="BT90" s="132"/>
      <c r="BU90" s="132"/>
      <c r="BV90" s="132"/>
      <c r="BW90" s="132"/>
      <c r="BX90" s="132"/>
      <c r="BY90" s="132"/>
      <c r="BZ90" s="132"/>
      <c r="CA90" s="132"/>
      <c r="CB90" s="132"/>
      <c r="CC90" s="132"/>
      <c r="CD90" s="132"/>
      <c r="CE90" s="132"/>
      <c r="CF90" s="132"/>
      <c r="CG90" s="132"/>
      <c r="CH90" s="132"/>
      <c r="CI90" s="132"/>
      <c r="CJ90" s="132"/>
      <c r="CK90" s="132"/>
      <c r="CL90" s="132"/>
      <c r="CM90" s="133"/>
    </row>
    <row r="91" spans="1:91" x14ac:dyDescent="0.25">
      <c r="A91" s="126">
        <v>9</v>
      </c>
      <c r="B91" s="127"/>
      <c r="C91" s="127"/>
      <c r="D91" s="127"/>
      <c r="E91" s="127"/>
      <c r="F91" s="127"/>
      <c r="G91" s="127"/>
      <c r="H91" s="127"/>
      <c r="I91" s="127"/>
      <c r="J91" s="127"/>
      <c r="K91" s="127"/>
      <c r="L91" s="127"/>
      <c r="M91" s="128"/>
      <c r="N91" s="114" t="s">
        <v>513</v>
      </c>
      <c r="O91" s="115"/>
      <c r="P91" s="115"/>
      <c r="Q91" s="115"/>
      <c r="R91" s="115"/>
      <c r="S91" s="115"/>
      <c r="T91" s="115"/>
      <c r="U91" s="116"/>
      <c r="V91" s="117" t="s">
        <v>514</v>
      </c>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118"/>
      <c r="AZ91" s="118"/>
      <c r="BA91" s="118"/>
      <c r="BB91" s="119"/>
      <c r="BC91" s="120">
        <v>10</v>
      </c>
      <c r="BD91" s="121"/>
      <c r="BE91" s="121"/>
      <c r="BF91" s="121"/>
      <c r="BG91" s="121"/>
      <c r="BH91" s="121"/>
      <c r="BI91" s="121"/>
      <c r="BJ91" s="121"/>
      <c r="BK91" s="121"/>
      <c r="BL91" s="121"/>
      <c r="BM91" s="121"/>
      <c r="BN91" s="121"/>
      <c r="BO91" s="121"/>
      <c r="BP91" s="121"/>
      <c r="BQ91" s="121"/>
      <c r="BR91" s="121"/>
      <c r="BS91" s="121"/>
      <c r="BT91" s="121"/>
      <c r="BU91" s="121"/>
      <c r="BV91" s="121"/>
      <c r="BW91" s="121"/>
      <c r="BX91" s="121"/>
      <c r="BY91" s="121"/>
      <c r="BZ91" s="121"/>
      <c r="CA91" s="121"/>
      <c r="CB91" s="121"/>
      <c r="CC91" s="121"/>
      <c r="CD91" s="121"/>
      <c r="CE91" s="121"/>
      <c r="CF91" s="121"/>
      <c r="CG91" s="121"/>
      <c r="CH91" s="121"/>
      <c r="CI91" s="121"/>
      <c r="CJ91" s="121"/>
      <c r="CK91" s="121"/>
      <c r="CL91" s="121"/>
      <c r="CM91" s="122"/>
    </row>
    <row r="92" spans="1:91" x14ac:dyDescent="0.25">
      <c r="A92" s="126">
        <v>10</v>
      </c>
      <c r="B92" s="127"/>
      <c r="C92" s="127"/>
      <c r="D92" s="127"/>
      <c r="E92" s="127"/>
      <c r="F92" s="127"/>
      <c r="G92" s="127"/>
      <c r="H92" s="127"/>
      <c r="I92" s="127"/>
      <c r="J92" s="127"/>
      <c r="K92" s="127"/>
      <c r="L92" s="127"/>
      <c r="M92" s="128"/>
      <c r="N92" s="114" t="s">
        <v>515</v>
      </c>
      <c r="O92" s="115"/>
      <c r="P92" s="115"/>
      <c r="Q92" s="115"/>
      <c r="R92" s="115"/>
      <c r="S92" s="115"/>
      <c r="T92" s="115"/>
      <c r="U92" s="116"/>
      <c r="V92" s="117" t="s">
        <v>516</v>
      </c>
      <c r="W92" s="118"/>
      <c r="X92" s="118"/>
      <c r="Y92" s="118"/>
      <c r="Z92" s="118"/>
      <c r="AA92" s="118"/>
      <c r="AB92" s="118"/>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9"/>
      <c r="BC92" s="120">
        <v>11</v>
      </c>
      <c r="BD92" s="121"/>
      <c r="BE92" s="121"/>
      <c r="BF92" s="121"/>
      <c r="BG92" s="121"/>
      <c r="BH92" s="121"/>
      <c r="BI92" s="121"/>
      <c r="BJ92" s="121"/>
      <c r="BK92" s="121"/>
      <c r="BL92" s="121"/>
      <c r="BM92" s="121"/>
      <c r="BN92" s="121"/>
      <c r="BO92" s="121"/>
      <c r="BP92" s="121"/>
      <c r="BQ92" s="121"/>
      <c r="BR92" s="121"/>
      <c r="BS92" s="121"/>
      <c r="BT92" s="121"/>
      <c r="BU92" s="121"/>
      <c r="BV92" s="121"/>
      <c r="BW92" s="121"/>
      <c r="BX92" s="121"/>
      <c r="BY92" s="121"/>
      <c r="BZ92" s="121"/>
      <c r="CA92" s="121"/>
      <c r="CB92" s="121"/>
      <c r="CC92" s="121"/>
      <c r="CD92" s="121"/>
      <c r="CE92" s="121"/>
      <c r="CF92" s="121"/>
      <c r="CG92" s="121"/>
      <c r="CH92" s="121"/>
      <c r="CI92" s="121"/>
      <c r="CJ92" s="121"/>
      <c r="CK92" s="121"/>
      <c r="CL92" s="121"/>
      <c r="CM92" s="122"/>
    </row>
    <row r="93" spans="1:91" x14ac:dyDescent="0.25">
      <c r="A93" s="111">
        <v>11</v>
      </c>
      <c r="B93" s="112"/>
      <c r="C93" s="112"/>
      <c r="D93" s="112"/>
      <c r="E93" s="112"/>
      <c r="F93" s="112"/>
      <c r="G93" s="112"/>
      <c r="H93" s="112"/>
      <c r="I93" s="112"/>
      <c r="J93" s="112"/>
      <c r="K93" s="112"/>
      <c r="L93" s="112"/>
      <c r="M93" s="113"/>
      <c r="N93" s="114" t="s">
        <v>517</v>
      </c>
      <c r="O93" s="115"/>
      <c r="P93" s="115"/>
      <c r="Q93" s="115"/>
      <c r="R93" s="115"/>
      <c r="S93" s="115"/>
      <c r="T93" s="115"/>
      <c r="U93" s="116"/>
      <c r="V93" s="117">
        <v>44023</v>
      </c>
      <c r="W93" s="118"/>
      <c r="X93" s="118"/>
      <c r="Y93" s="118"/>
      <c r="Z93" s="118"/>
      <c r="AA93" s="118"/>
      <c r="AB93" s="118"/>
      <c r="AC93" s="118"/>
      <c r="AD93" s="118"/>
      <c r="AE93" s="118"/>
      <c r="AF93" s="118"/>
      <c r="AG93" s="118"/>
      <c r="AH93" s="118"/>
      <c r="AI93" s="118"/>
      <c r="AJ93" s="118"/>
      <c r="AK93" s="118"/>
      <c r="AL93" s="118"/>
      <c r="AM93" s="118"/>
      <c r="AN93" s="118"/>
      <c r="AO93" s="118"/>
      <c r="AP93" s="118"/>
      <c r="AQ93" s="118"/>
      <c r="AR93" s="118"/>
      <c r="AS93" s="118"/>
      <c r="AT93" s="118"/>
      <c r="AU93" s="118"/>
      <c r="AV93" s="118"/>
      <c r="AW93" s="118"/>
      <c r="AX93" s="118"/>
      <c r="AY93" s="118"/>
      <c r="AZ93" s="118"/>
      <c r="BA93" s="118"/>
      <c r="BB93" s="119"/>
      <c r="BC93" s="120">
        <v>12</v>
      </c>
      <c r="BD93" s="121"/>
      <c r="BE93" s="121"/>
      <c r="BF93" s="121"/>
      <c r="BG93" s="121"/>
      <c r="BH93" s="121"/>
      <c r="BI93" s="121"/>
      <c r="BJ93" s="121"/>
      <c r="BK93" s="121"/>
      <c r="BL93" s="121"/>
      <c r="BM93" s="121"/>
      <c r="BN93" s="121"/>
      <c r="BO93" s="121"/>
      <c r="BP93" s="121"/>
      <c r="BQ93" s="121"/>
      <c r="BR93" s="121"/>
      <c r="BS93" s="121"/>
      <c r="BT93" s="121"/>
      <c r="BU93" s="121"/>
      <c r="BV93" s="121"/>
      <c r="BW93" s="121"/>
      <c r="BX93" s="121"/>
      <c r="BY93" s="121"/>
      <c r="BZ93" s="121"/>
      <c r="CA93" s="121"/>
      <c r="CB93" s="121"/>
      <c r="CC93" s="121"/>
      <c r="CD93" s="121"/>
      <c r="CE93" s="121"/>
      <c r="CF93" s="121"/>
      <c r="CG93" s="121"/>
      <c r="CH93" s="121"/>
      <c r="CI93" s="121"/>
      <c r="CJ93" s="121"/>
      <c r="CK93" s="121"/>
      <c r="CL93" s="121"/>
      <c r="CM93" s="122"/>
    </row>
    <row r="94" spans="1:91" x14ac:dyDescent="0.25">
      <c r="A94" s="111">
        <v>12</v>
      </c>
      <c r="B94" s="112"/>
      <c r="C94" s="112"/>
      <c r="D94" s="112"/>
      <c r="E94" s="112"/>
      <c r="F94" s="112"/>
      <c r="G94" s="112"/>
      <c r="H94" s="112"/>
      <c r="I94" s="112"/>
      <c r="J94" s="112"/>
      <c r="K94" s="112"/>
      <c r="L94" s="112"/>
      <c r="M94" s="113"/>
      <c r="N94" s="114" t="s">
        <v>518</v>
      </c>
      <c r="O94" s="115"/>
      <c r="P94" s="115"/>
      <c r="Q94" s="115"/>
      <c r="R94" s="115"/>
      <c r="S94" s="115"/>
      <c r="T94" s="115"/>
      <c r="U94" s="116"/>
      <c r="V94" s="117">
        <v>44215</v>
      </c>
      <c r="W94" s="118"/>
      <c r="X94" s="118"/>
      <c r="Y94" s="118"/>
      <c r="Z94" s="118"/>
      <c r="AA94" s="118"/>
      <c r="AB94" s="118"/>
      <c r="AC94" s="118"/>
      <c r="AD94" s="118"/>
      <c r="AE94" s="118"/>
      <c r="AF94" s="118"/>
      <c r="AG94" s="118"/>
      <c r="AH94" s="118"/>
      <c r="AI94" s="118"/>
      <c r="AJ94" s="118"/>
      <c r="AK94" s="118"/>
      <c r="AL94" s="118"/>
      <c r="AM94" s="118"/>
      <c r="AN94" s="118"/>
      <c r="AO94" s="118"/>
      <c r="AP94" s="118"/>
      <c r="AQ94" s="118"/>
      <c r="AR94" s="118"/>
      <c r="AS94" s="118"/>
      <c r="AT94" s="118"/>
      <c r="AU94" s="118"/>
      <c r="AV94" s="118"/>
      <c r="AW94" s="118"/>
      <c r="AX94" s="118"/>
      <c r="AY94" s="118"/>
      <c r="AZ94" s="118"/>
      <c r="BA94" s="118"/>
      <c r="BB94" s="119"/>
      <c r="BC94" s="120">
        <v>13</v>
      </c>
      <c r="BD94" s="121"/>
      <c r="BE94" s="121"/>
      <c r="BF94" s="121"/>
      <c r="BG94" s="121"/>
      <c r="BH94" s="121"/>
      <c r="BI94" s="121"/>
      <c r="BJ94" s="121"/>
      <c r="BK94" s="121"/>
      <c r="BL94" s="121"/>
      <c r="BM94" s="121"/>
      <c r="BN94" s="121"/>
      <c r="BO94" s="121"/>
      <c r="BP94" s="121"/>
      <c r="BQ94" s="121"/>
      <c r="BR94" s="121"/>
      <c r="BS94" s="121"/>
      <c r="BT94" s="121"/>
      <c r="BU94" s="121"/>
      <c r="BV94" s="121"/>
      <c r="BW94" s="121"/>
      <c r="BX94" s="121"/>
      <c r="BY94" s="121"/>
      <c r="BZ94" s="121"/>
      <c r="CA94" s="121"/>
      <c r="CB94" s="121"/>
      <c r="CC94" s="121"/>
      <c r="CD94" s="121"/>
      <c r="CE94" s="121"/>
      <c r="CF94" s="121"/>
      <c r="CG94" s="121"/>
      <c r="CH94" s="121"/>
      <c r="CI94" s="121"/>
      <c r="CJ94" s="121"/>
      <c r="CK94" s="121"/>
      <c r="CL94" s="121"/>
      <c r="CM94" s="122"/>
    </row>
    <row r="95" spans="1:91" x14ac:dyDescent="0.25">
      <c r="A95" s="111">
        <v>13</v>
      </c>
      <c r="B95" s="112"/>
      <c r="C95" s="112"/>
      <c r="D95" s="112"/>
      <c r="E95" s="112"/>
      <c r="F95" s="112"/>
      <c r="G95" s="112"/>
      <c r="H95" s="112"/>
      <c r="I95" s="112"/>
      <c r="J95" s="112"/>
      <c r="K95" s="112"/>
      <c r="L95" s="112"/>
      <c r="M95" s="113"/>
      <c r="N95" s="123" t="s">
        <v>519</v>
      </c>
      <c r="O95" s="124"/>
      <c r="P95" s="124"/>
      <c r="Q95" s="124"/>
      <c r="R95" s="124"/>
      <c r="S95" s="124"/>
      <c r="T95" s="124"/>
      <c r="U95" s="125"/>
      <c r="V95" s="117">
        <v>44281</v>
      </c>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8"/>
      <c r="AZ95" s="118"/>
      <c r="BA95" s="118"/>
      <c r="BB95" s="119"/>
      <c r="BC95" s="120">
        <v>14</v>
      </c>
      <c r="BD95" s="121"/>
      <c r="BE95" s="121"/>
      <c r="BF95" s="121"/>
      <c r="BG95" s="121"/>
      <c r="BH95" s="121"/>
      <c r="BI95" s="121"/>
      <c r="BJ95" s="121"/>
      <c r="BK95" s="121"/>
      <c r="BL95" s="121"/>
      <c r="BM95" s="121"/>
      <c r="BN95" s="121"/>
      <c r="BO95" s="121"/>
      <c r="BP95" s="121"/>
      <c r="BQ95" s="121"/>
      <c r="BR95" s="121"/>
      <c r="BS95" s="121"/>
      <c r="BT95" s="121"/>
      <c r="BU95" s="121"/>
      <c r="BV95" s="121"/>
      <c r="BW95" s="121"/>
      <c r="BX95" s="121"/>
      <c r="BY95" s="121"/>
      <c r="BZ95" s="121"/>
      <c r="CA95" s="121"/>
      <c r="CB95" s="121"/>
      <c r="CC95" s="121"/>
      <c r="CD95" s="121"/>
      <c r="CE95" s="121"/>
      <c r="CF95" s="121"/>
      <c r="CG95" s="121"/>
      <c r="CH95" s="121"/>
      <c r="CI95" s="121"/>
      <c r="CJ95" s="121"/>
      <c r="CK95" s="121"/>
      <c r="CL95" s="121"/>
      <c r="CM95" s="121"/>
    </row>
    <row r="96" spans="1:91" x14ac:dyDescent="0.25">
      <c r="A96" s="36"/>
      <c r="B96" s="36"/>
      <c r="C96" s="36"/>
      <c r="D96" s="36"/>
      <c r="E96" s="36"/>
      <c r="F96" s="37"/>
      <c r="G96" s="37"/>
      <c r="H96" s="37"/>
      <c r="I96" s="36"/>
      <c r="J96" s="37"/>
      <c r="K96" s="38"/>
      <c r="L96" s="38"/>
      <c r="M96" s="38"/>
      <c r="N96" s="36"/>
      <c r="O96" s="39"/>
      <c r="P96" s="36"/>
      <c r="Q96" s="40"/>
      <c r="R96" s="40"/>
      <c r="S96" s="37"/>
      <c r="T96" s="40"/>
      <c r="U96" s="37" t="s">
        <v>520</v>
      </c>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36"/>
      <c r="BH96" s="36"/>
      <c r="BI96" s="36"/>
      <c r="BJ96" s="36"/>
      <c r="BK96" s="36"/>
      <c r="BL96" s="36"/>
      <c r="BM96" s="40"/>
      <c r="BN96" s="40"/>
      <c r="BO96" s="40"/>
      <c r="BP96" s="40"/>
      <c r="BQ96" s="40"/>
      <c r="BR96" s="40"/>
      <c r="BS96" s="40"/>
      <c r="BT96" s="40"/>
      <c r="BU96" s="40"/>
      <c r="BV96" s="40"/>
      <c r="BW96" s="40"/>
      <c r="BX96" s="40"/>
      <c r="BY96" s="40"/>
      <c r="BZ96" s="40"/>
      <c r="CA96" s="40"/>
      <c r="CB96" s="40"/>
      <c r="CC96" s="40"/>
      <c r="CD96" s="40"/>
      <c r="CE96" s="36"/>
      <c r="CF96" s="36"/>
      <c r="CG96" s="40"/>
      <c r="CH96" s="40"/>
      <c r="CI96" s="40"/>
      <c r="CJ96" s="40"/>
      <c r="CK96" s="36"/>
      <c r="CL96" s="36"/>
      <c r="CM96" s="36"/>
    </row>
    <row r="97" spans="1:91" x14ac:dyDescent="0.25">
      <c r="A97" s="41"/>
      <c r="B97" s="41"/>
      <c r="C97" s="41"/>
      <c r="D97" s="41"/>
      <c r="E97" s="41"/>
      <c r="F97" s="42"/>
      <c r="G97" s="42"/>
      <c r="H97" s="42"/>
      <c r="I97" s="41"/>
      <c r="J97" s="43"/>
      <c r="K97" s="44"/>
      <c r="L97" s="44"/>
      <c r="M97" s="44"/>
      <c r="N97" s="41"/>
      <c r="O97" s="45"/>
      <c r="P97" s="41"/>
      <c r="Q97" s="46"/>
      <c r="R97" s="46"/>
      <c r="S97" s="42"/>
      <c r="T97" s="46"/>
      <c r="U97" s="42"/>
      <c r="V97" s="46"/>
      <c r="W97" s="46"/>
      <c r="X97" s="46"/>
      <c r="Y97" s="46"/>
      <c r="Z97" s="46"/>
      <c r="AA97" s="46"/>
      <c r="AB97" s="46"/>
      <c r="AC97" s="46"/>
      <c r="AD97" s="46"/>
      <c r="AE97" s="46"/>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1"/>
      <c r="BH97" s="41"/>
      <c r="BI97" s="41"/>
      <c r="BJ97" s="41"/>
      <c r="BK97" s="41"/>
      <c r="BL97" s="41"/>
      <c r="BM97" s="46"/>
      <c r="BN97" s="46"/>
      <c r="BO97" s="46"/>
      <c r="BP97" s="46"/>
      <c r="BQ97" s="46"/>
      <c r="BR97" s="46"/>
      <c r="BS97" s="46"/>
      <c r="BT97" s="46"/>
      <c r="BU97" s="46"/>
      <c r="BV97" s="46"/>
      <c r="BW97" s="46"/>
      <c r="BX97" s="46"/>
      <c r="BY97" s="46"/>
      <c r="BZ97" s="46"/>
      <c r="CA97" s="46"/>
      <c r="CB97" s="46"/>
      <c r="CC97" s="46"/>
      <c r="CD97" s="46"/>
      <c r="CE97" s="41"/>
      <c r="CF97" s="41"/>
      <c r="CG97" s="46"/>
      <c r="CH97" s="46"/>
      <c r="CI97" s="46"/>
      <c r="CJ97" s="46"/>
      <c r="CK97" s="41"/>
      <c r="CL97" s="41"/>
      <c r="CM97" s="41"/>
    </row>
    <row r="98" spans="1:91" x14ac:dyDescent="0.25">
      <c r="A98" s="41"/>
      <c r="B98" s="41"/>
      <c r="C98" s="41"/>
      <c r="D98" s="41"/>
      <c r="E98" s="41"/>
      <c r="F98" s="42"/>
      <c r="G98" s="42"/>
      <c r="H98" s="42"/>
      <c r="I98" s="41"/>
      <c r="J98" s="43"/>
      <c r="K98" s="44"/>
      <c r="L98" s="44"/>
      <c r="M98" s="44"/>
      <c r="N98" s="41"/>
      <c r="O98" s="45"/>
      <c r="P98" s="41"/>
      <c r="Q98" s="46"/>
      <c r="R98" s="46"/>
      <c r="S98" s="42"/>
      <c r="T98" s="46"/>
      <c r="U98" s="42"/>
      <c r="V98" s="46"/>
      <c r="W98" s="46"/>
      <c r="X98" s="46"/>
      <c r="Y98" s="46"/>
      <c r="Z98" s="46"/>
      <c r="AA98" s="46"/>
      <c r="AB98" s="46"/>
      <c r="AC98" s="46"/>
      <c r="AD98" s="46"/>
      <c r="AE98" s="46"/>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1"/>
      <c r="BH98" s="41"/>
      <c r="BI98" s="41"/>
      <c r="BJ98" s="41"/>
      <c r="BK98" s="41"/>
      <c r="BL98" s="41"/>
      <c r="BM98" s="46"/>
      <c r="BN98" s="46"/>
      <c r="BO98" s="46"/>
      <c r="BP98" s="46"/>
      <c r="BQ98" s="46"/>
      <c r="BR98" s="46"/>
      <c r="BS98" s="46"/>
      <c r="BT98" s="46"/>
      <c r="BU98" s="46"/>
      <c r="BV98" s="46"/>
      <c r="BW98" s="46"/>
      <c r="BX98" s="46"/>
      <c r="BY98" s="46"/>
      <c r="BZ98" s="46"/>
      <c r="CA98" s="46"/>
      <c r="CB98" s="46"/>
      <c r="CC98" s="46"/>
      <c r="CD98" s="46"/>
      <c r="CE98" s="41"/>
      <c r="CF98" s="41"/>
      <c r="CG98" s="46"/>
      <c r="CH98" s="46"/>
      <c r="CI98" s="46"/>
      <c r="CJ98" s="46"/>
      <c r="CK98" s="41"/>
      <c r="CL98" s="41"/>
      <c r="CM98" s="41"/>
    </row>
    <row r="99" spans="1:91" x14ac:dyDescent="0.25">
      <c r="A99" s="41"/>
      <c r="B99" s="41"/>
      <c r="C99" s="41"/>
      <c r="D99" s="41"/>
      <c r="E99" s="41"/>
      <c r="F99" s="42"/>
      <c r="G99" s="42"/>
      <c r="H99" s="42"/>
      <c r="I99" s="41"/>
      <c r="J99" s="43"/>
      <c r="K99" s="44"/>
      <c r="L99" s="44"/>
      <c r="M99" s="44"/>
      <c r="N99" s="41"/>
      <c r="O99" s="45"/>
      <c r="P99" s="41"/>
      <c r="Q99" s="46"/>
      <c r="R99" s="46"/>
      <c r="S99" s="42"/>
      <c r="T99" s="46"/>
      <c r="U99" s="42"/>
      <c r="V99" s="46"/>
      <c r="W99" s="46"/>
      <c r="X99" s="46"/>
      <c r="Y99" s="46"/>
      <c r="Z99" s="46"/>
      <c r="AA99" s="46"/>
      <c r="AB99" s="46"/>
      <c r="AC99" s="46"/>
      <c r="AD99" s="46"/>
      <c r="AE99" s="46"/>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1"/>
      <c r="BH99" s="41"/>
      <c r="BI99" s="41"/>
      <c r="BJ99" s="41"/>
      <c r="BK99" s="41"/>
      <c r="BL99" s="41"/>
      <c r="BM99" s="46"/>
      <c r="BN99" s="46"/>
      <c r="BO99" s="46"/>
      <c r="BP99" s="46"/>
      <c r="BQ99" s="46"/>
      <c r="BR99" s="46"/>
      <c r="BS99" s="46"/>
      <c r="BT99" s="46"/>
      <c r="BU99" s="46"/>
      <c r="BV99" s="46"/>
      <c r="BW99" s="46"/>
      <c r="BX99" s="46"/>
      <c r="BY99" s="46"/>
      <c r="BZ99" s="46"/>
      <c r="CA99" s="46"/>
      <c r="CB99" s="46"/>
      <c r="CC99" s="46"/>
      <c r="CD99" s="46"/>
      <c r="CE99" s="41"/>
      <c r="CF99" s="41"/>
      <c r="CG99" s="46"/>
      <c r="CH99" s="46"/>
      <c r="CI99" s="46"/>
      <c r="CJ99" s="46"/>
      <c r="CK99" s="41"/>
      <c r="CL99" s="41"/>
      <c r="CM99" s="41"/>
    </row>
    <row r="100" spans="1:91" x14ac:dyDescent="0.25">
      <c r="A100" s="41"/>
      <c r="B100" s="41"/>
      <c r="C100" s="41"/>
      <c r="D100" s="41"/>
      <c r="E100" s="41"/>
      <c r="F100" s="42"/>
      <c r="G100" s="42"/>
      <c r="H100" s="42"/>
      <c r="I100" s="41"/>
      <c r="J100" s="43"/>
      <c r="K100" s="44"/>
      <c r="L100" s="44"/>
      <c r="M100" s="44"/>
      <c r="N100" s="41"/>
      <c r="O100" s="45"/>
      <c r="P100" s="41"/>
      <c r="Q100" s="46"/>
      <c r="R100" s="46"/>
      <c r="S100" s="42"/>
      <c r="T100" s="46"/>
      <c r="U100" s="42"/>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1"/>
      <c r="BH100" s="47"/>
      <c r="BI100" s="47"/>
      <c r="BJ100" s="41"/>
      <c r="BK100" s="41"/>
      <c r="BL100" s="41"/>
      <c r="BM100" s="46"/>
      <c r="BN100" s="46"/>
      <c r="BO100" s="46"/>
      <c r="BP100" s="46"/>
      <c r="BQ100" s="46"/>
      <c r="BR100" s="46"/>
      <c r="BS100" s="46"/>
      <c r="BT100" s="46"/>
      <c r="BU100" s="46"/>
      <c r="BV100" s="46"/>
      <c r="BW100" s="46"/>
      <c r="BX100" s="46"/>
      <c r="BY100" s="46"/>
      <c r="BZ100" s="46"/>
      <c r="CA100" s="46"/>
      <c r="CB100" s="46"/>
      <c r="CC100" s="46"/>
      <c r="CD100" s="46"/>
      <c r="CE100" s="41"/>
      <c r="CF100" s="41"/>
      <c r="CG100" s="46"/>
      <c r="CH100" s="46"/>
      <c r="CI100" s="46"/>
      <c r="CJ100" s="46"/>
      <c r="CK100" s="41"/>
      <c r="CL100" s="41"/>
      <c r="CM100" s="41"/>
    </row>
    <row r="101" spans="1:91" x14ac:dyDescent="0.25">
      <c r="A101" s="41"/>
      <c r="B101" s="41"/>
      <c r="C101" s="41"/>
      <c r="D101" s="41"/>
      <c r="E101" s="41"/>
      <c r="F101" s="42"/>
      <c r="G101" s="42"/>
      <c r="H101" s="42"/>
      <c r="I101" s="41"/>
      <c r="J101" s="43"/>
      <c r="K101" s="44"/>
      <c r="L101" s="44"/>
      <c r="M101" s="44"/>
      <c r="N101" s="41"/>
      <c r="O101" s="45"/>
      <c r="P101" s="41"/>
      <c r="Q101" s="46"/>
      <c r="R101" s="46"/>
      <c r="S101" s="42"/>
      <c r="T101" s="46"/>
      <c r="U101" s="42"/>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1"/>
      <c r="BH101" s="41"/>
      <c r="BI101" s="41"/>
      <c r="BJ101" s="41"/>
      <c r="BK101" s="41"/>
      <c r="BL101" s="41"/>
      <c r="BM101" s="46"/>
      <c r="BN101" s="46"/>
      <c r="BO101" s="46"/>
      <c r="BP101" s="46"/>
      <c r="BQ101" s="46"/>
      <c r="BR101" s="46"/>
      <c r="BS101" s="46"/>
      <c r="BT101" s="46"/>
      <c r="BU101" s="46"/>
      <c r="BV101" s="46"/>
      <c r="BW101" s="46"/>
      <c r="BX101" s="46"/>
      <c r="BY101" s="46"/>
      <c r="BZ101" s="46"/>
      <c r="CA101" s="46"/>
      <c r="CB101" s="46"/>
      <c r="CC101" s="46"/>
      <c r="CD101" s="46"/>
      <c r="CE101" s="41"/>
      <c r="CF101" s="41"/>
      <c r="CG101" s="46"/>
      <c r="CH101" s="46"/>
      <c r="CI101" s="46"/>
      <c r="CJ101" s="46"/>
      <c r="CK101" s="41"/>
      <c r="CL101" s="41"/>
      <c r="CM101" s="41"/>
    </row>
    <row r="102" spans="1:91" x14ac:dyDescent="0.25">
      <c r="A102" s="41"/>
      <c r="B102" s="41"/>
      <c r="C102" s="41"/>
      <c r="D102" s="41"/>
      <c r="E102" s="41"/>
      <c r="F102" s="42"/>
      <c r="G102" s="42"/>
      <c r="H102" s="42"/>
      <c r="I102" s="41"/>
      <c r="J102" s="43"/>
      <c r="K102" s="44"/>
      <c r="L102" s="44"/>
      <c r="M102" s="44"/>
      <c r="N102" s="41"/>
      <c r="O102" s="45"/>
      <c r="P102" s="41"/>
      <c r="Q102" s="46"/>
      <c r="R102" s="46"/>
      <c r="S102" s="42"/>
      <c r="T102" s="46"/>
      <c r="U102" s="42"/>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1"/>
      <c r="BH102" s="41"/>
      <c r="BI102" s="41"/>
      <c r="BJ102" s="41"/>
      <c r="BK102" s="41"/>
      <c r="BL102" s="41"/>
      <c r="BM102" s="46"/>
      <c r="BN102" s="46"/>
      <c r="BO102" s="46"/>
      <c r="BP102" s="46"/>
      <c r="BQ102" s="46"/>
      <c r="BR102" s="46"/>
      <c r="BS102" s="46"/>
      <c r="BT102" s="46"/>
      <c r="BU102" s="46"/>
      <c r="BV102" s="46"/>
      <c r="BW102" s="46"/>
      <c r="BX102" s="46"/>
      <c r="BY102" s="46"/>
      <c r="BZ102" s="46"/>
      <c r="CA102" s="46"/>
      <c r="CB102" s="46"/>
      <c r="CC102" s="46"/>
      <c r="CD102" s="46"/>
      <c r="CE102" s="41"/>
      <c r="CF102" s="41"/>
      <c r="CG102" s="46"/>
      <c r="CH102" s="46"/>
      <c r="CI102" s="46"/>
      <c r="CJ102" s="46"/>
      <c r="CK102" s="41"/>
      <c r="CL102" s="41"/>
      <c r="CM102" s="41"/>
    </row>
    <row r="103" spans="1:91" x14ac:dyDescent="0.25">
      <c r="A103" s="41"/>
      <c r="B103" s="41"/>
      <c r="C103" s="41"/>
      <c r="D103" s="41"/>
      <c r="E103" s="41"/>
      <c r="F103" s="42"/>
      <c r="G103" s="42"/>
      <c r="H103" s="42"/>
      <c r="I103" s="41"/>
      <c r="J103" s="43"/>
      <c r="K103" s="44"/>
      <c r="L103" s="44"/>
      <c r="M103" s="44"/>
      <c r="N103" s="41"/>
      <c r="O103" s="45"/>
      <c r="P103" s="41"/>
      <c r="Q103" s="46"/>
      <c r="R103" s="46"/>
      <c r="S103" s="42"/>
      <c r="T103" s="46"/>
      <c r="U103" s="42"/>
      <c r="V103" s="46"/>
      <c r="W103" s="46"/>
      <c r="X103" s="46"/>
      <c r="Y103" s="46"/>
      <c r="Z103" s="46"/>
      <c r="AA103" s="46"/>
      <c r="AB103" s="46"/>
      <c r="AC103" s="46"/>
      <c r="AD103" s="46"/>
      <c r="AE103" s="46"/>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1"/>
      <c r="BH103" s="41"/>
      <c r="BI103" s="41"/>
      <c r="BJ103" s="41"/>
      <c r="BK103" s="41"/>
      <c r="BL103" s="41"/>
      <c r="BM103" s="46"/>
      <c r="BN103" s="46"/>
      <c r="BO103" s="46"/>
      <c r="BP103" s="46"/>
      <c r="BQ103" s="46"/>
      <c r="BR103" s="46"/>
      <c r="BS103" s="46"/>
      <c r="BT103" s="46"/>
      <c r="BU103" s="46"/>
      <c r="BV103" s="46"/>
      <c r="BW103" s="46"/>
      <c r="BX103" s="46"/>
      <c r="BY103" s="46"/>
      <c r="BZ103" s="46"/>
      <c r="CA103" s="46"/>
      <c r="CB103" s="46"/>
      <c r="CC103" s="46"/>
      <c r="CD103" s="46"/>
      <c r="CE103" s="41"/>
      <c r="CF103" s="41"/>
      <c r="CG103" s="46"/>
      <c r="CH103" s="46"/>
      <c r="CI103" s="46"/>
      <c r="CJ103" s="46"/>
      <c r="CK103" s="41"/>
      <c r="CL103" s="41"/>
      <c r="CM103" s="41"/>
    </row>
    <row r="104" spans="1:91" x14ac:dyDescent="0.25">
      <c r="A104" s="41"/>
      <c r="B104" s="41"/>
      <c r="C104" s="41"/>
      <c r="D104" s="41"/>
      <c r="E104" s="41"/>
      <c r="F104" s="42"/>
      <c r="G104" s="42"/>
      <c r="H104" s="42"/>
      <c r="I104" s="41"/>
      <c r="J104" s="43"/>
      <c r="K104" s="44"/>
      <c r="L104" s="44"/>
      <c r="M104" s="44"/>
      <c r="N104" s="41"/>
      <c r="O104" s="45"/>
      <c r="P104" s="41"/>
      <c r="Q104" s="46"/>
      <c r="R104" s="46"/>
      <c r="S104" s="42"/>
      <c r="T104" s="46"/>
      <c r="U104" s="42"/>
      <c r="V104" s="46"/>
      <c r="W104" s="48"/>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1"/>
      <c r="BH104" s="41"/>
      <c r="BI104" s="41"/>
      <c r="BJ104" s="41"/>
      <c r="BK104" s="41"/>
      <c r="BL104" s="41"/>
      <c r="BM104" s="46"/>
      <c r="BN104" s="46"/>
      <c r="BO104" s="46"/>
      <c r="BP104" s="46"/>
      <c r="BQ104" s="46"/>
      <c r="BR104" s="46"/>
      <c r="BS104" s="46"/>
      <c r="BT104" s="46"/>
      <c r="BU104" s="46"/>
      <c r="BV104" s="46"/>
      <c r="BW104" s="46"/>
      <c r="BX104" s="46"/>
      <c r="BY104" s="46"/>
      <c r="BZ104" s="46"/>
      <c r="CA104" s="46"/>
      <c r="CB104" s="46"/>
      <c r="CC104" s="46"/>
      <c r="CD104" s="46"/>
      <c r="CE104" s="41"/>
      <c r="CF104" s="41"/>
      <c r="CG104" s="46"/>
      <c r="CH104" s="46"/>
      <c r="CI104" s="46"/>
      <c r="CJ104" s="46"/>
      <c r="CK104" s="41"/>
      <c r="CL104" s="41"/>
      <c r="CM104" s="41"/>
    </row>
    <row r="105" spans="1:91" x14ac:dyDescent="0.25">
      <c r="A105" s="41"/>
      <c r="B105" s="41"/>
      <c r="C105" s="41"/>
      <c r="D105" s="41"/>
      <c r="E105" s="41"/>
      <c r="F105" s="42"/>
      <c r="G105" s="42"/>
      <c r="H105" s="42"/>
      <c r="I105" s="41"/>
      <c r="J105" s="43"/>
      <c r="K105" s="44"/>
      <c r="L105" s="44"/>
      <c r="M105" s="44"/>
      <c r="N105" s="41"/>
      <c r="O105" s="45"/>
      <c r="P105" s="41"/>
      <c r="Q105" s="46"/>
      <c r="R105" s="46"/>
      <c r="S105" s="42"/>
      <c r="T105" s="46"/>
      <c r="U105" s="42"/>
      <c r="V105" s="46"/>
      <c r="W105" s="46"/>
      <c r="X105" s="46"/>
      <c r="Y105" s="46"/>
      <c r="Z105" s="46"/>
      <c r="AA105" s="46"/>
      <c r="AB105" s="46"/>
      <c r="AC105" s="46"/>
      <c r="AD105" s="46"/>
      <c r="AE105" s="46"/>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1"/>
      <c r="BH105" s="41"/>
      <c r="BI105" s="41"/>
      <c r="BJ105" s="41"/>
      <c r="BK105" s="41"/>
      <c r="BL105" s="41"/>
      <c r="BM105" s="46"/>
      <c r="BN105" s="46"/>
      <c r="BO105" s="46"/>
      <c r="BP105" s="46"/>
      <c r="BQ105" s="46"/>
      <c r="BR105" s="46"/>
      <c r="BS105" s="46"/>
      <c r="BT105" s="46"/>
      <c r="BU105" s="46"/>
      <c r="BV105" s="46"/>
      <c r="BW105" s="46"/>
      <c r="BX105" s="46"/>
      <c r="BY105" s="46"/>
      <c r="BZ105" s="46"/>
      <c r="CA105" s="46"/>
      <c r="CB105" s="46"/>
      <c r="CC105" s="46"/>
      <c r="CD105" s="46"/>
      <c r="CE105" s="41"/>
      <c r="CF105" s="41"/>
      <c r="CG105" s="46"/>
      <c r="CH105" s="46"/>
      <c r="CI105" s="46"/>
      <c r="CJ105" s="46"/>
      <c r="CK105" s="41"/>
      <c r="CL105" s="41"/>
      <c r="CM105" s="41"/>
    </row>
    <row r="106" spans="1:91" x14ac:dyDescent="0.25">
      <c r="A106" s="41"/>
      <c r="B106" s="41"/>
      <c r="C106" s="41"/>
      <c r="D106" s="41"/>
      <c r="E106" s="41"/>
      <c r="F106" s="42"/>
      <c r="G106" s="42"/>
      <c r="H106" s="42"/>
      <c r="I106" s="41"/>
      <c r="J106" s="43"/>
      <c r="K106" s="44"/>
      <c r="L106" s="44"/>
      <c r="M106" s="44"/>
      <c r="N106" s="41"/>
      <c r="O106" s="45"/>
      <c r="P106" s="41"/>
      <c r="Q106" s="46"/>
      <c r="R106" s="46"/>
      <c r="S106" s="42"/>
      <c r="T106" s="46"/>
      <c r="U106" s="42"/>
      <c r="V106" s="46"/>
      <c r="W106" s="46"/>
      <c r="X106" s="46"/>
      <c r="Y106" s="46"/>
      <c r="Z106" s="46"/>
      <c r="AA106" s="46"/>
      <c r="AB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1"/>
      <c r="BH106" s="41"/>
      <c r="BI106" s="41"/>
      <c r="BJ106" s="41"/>
      <c r="BK106" s="41"/>
      <c r="BL106" s="41"/>
      <c r="BM106" s="46"/>
      <c r="BN106" s="46"/>
      <c r="BO106" s="46"/>
      <c r="BP106" s="46"/>
      <c r="BQ106" s="46"/>
      <c r="BR106" s="46"/>
      <c r="BS106" s="46"/>
      <c r="BT106" s="46"/>
      <c r="BU106" s="46"/>
      <c r="BV106" s="46"/>
      <c r="BW106" s="46"/>
      <c r="BX106" s="46"/>
      <c r="BY106" s="46"/>
      <c r="BZ106" s="46"/>
      <c r="CA106" s="46"/>
      <c r="CB106" s="46"/>
      <c r="CC106" s="46"/>
      <c r="CD106" s="46"/>
      <c r="CE106" s="41"/>
      <c r="CF106" s="41"/>
      <c r="CG106" s="46"/>
      <c r="CH106" s="46"/>
      <c r="CI106" s="46"/>
      <c r="CJ106" s="46"/>
      <c r="CK106" s="41"/>
      <c r="CL106" s="41"/>
      <c r="CM106" s="41"/>
    </row>
  </sheetData>
  <mergeCells count="150">
    <mergeCell ref="AN4:AN5"/>
    <mergeCell ref="AO4:BL4"/>
    <mergeCell ref="BM4:CM4"/>
    <mergeCell ref="A1:B3"/>
    <mergeCell ref="C1:BL1"/>
    <mergeCell ref="BM1:CM3"/>
    <mergeCell ref="C2:BL2"/>
    <mergeCell ref="C3:BL3"/>
    <mergeCell ref="A4:D4"/>
    <mergeCell ref="F4:M4"/>
    <mergeCell ref="N4:W4"/>
    <mergeCell ref="X4:X5"/>
    <mergeCell ref="Y4:Y5"/>
    <mergeCell ref="A6:A32"/>
    <mergeCell ref="B6:B9"/>
    <mergeCell ref="C6:C9"/>
    <mergeCell ref="D6:D9"/>
    <mergeCell ref="E6:E9"/>
    <mergeCell ref="F6:F9"/>
    <mergeCell ref="Z4:Z5"/>
    <mergeCell ref="AA4:AA5"/>
    <mergeCell ref="AB4:AM4"/>
    <mergeCell ref="G6:G9"/>
    <mergeCell ref="H6:H9"/>
    <mergeCell ref="I6:I9"/>
    <mergeCell ref="J6:J9"/>
    <mergeCell ref="M6:M9"/>
    <mergeCell ref="B10:B32"/>
    <mergeCell ref="C10:C32"/>
    <mergeCell ref="D10:D32"/>
    <mergeCell ref="E10:E32"/>
    <mergeCell ref="F10:F32"/>
    <mergeCell ref="G10:G14"/>
    <mergeCell ref="H10:H32"/>
    <mergeCell ref="I10:I14"/>
    <mergeCell ref="J10:J14"/>
    <mergeCell ref="M10:M14"/>
    <mergeCell ref="G15:G19"/>
    <mergeCell ref="I15:I19"/>
    <mergeCell ref="J15:J19"/>
    <mergeCell ref="M15:M19"/>
    <mergeCell ref="G20:G22"/>
    <mergeCell ref="G27:G30"/>
    <mergeCell ref="I27:I30"/>
    <mergeCell ref="J27:J30"/>
    <mergeCell ref="M27:M30"/>
    <mergeCell ref="G31:G32"/>
    <mergeCell ref="I31:I32"/>
    <mergeCell ref="J31:J32"/>
    <mergeCell ref="M31:M32"/>
    <mergeCell ref="I20:I22"/>
    <mergeCell ref="J20:J22"/>
    <mergeCell ref="M20:M22"/>
    <mergeCell ref="G23:G25"/>
    <mergeCell ref="I23:I25"/>
    <mergeCell ref="J23:J25"/>
    <mergeCell ref="M23:M25"/>
    <mergeCell ref="G33:G40"/>
    <mergeCell ref="H33:H50"/>
    <mergeCell ref="I33:I40"/>
    <mergeCell ref="J33:J40"/>
    <mergeCell ref="M33:M40"/>
    <mergeCell ref="G41:G48"/>
    <mergeCell ref="I41:I48"/>
    <mergeCell ref="J41:J48"/>
    <mergeCell ref="M41:M48"/>
    <mergeCell ref="G49:G50"/>
    <mergeCell ref="I49:I50"/>
    <mergeCell ref="J49:J50"/>
    <mergeCell ref="M49:M50"/>
    <mergeCell ref="A51:A54"/>
    <mergeCell ref="B51:B54"/>
    <mergeCell ref="C51:C54"/>
    <mergeCell ref="D51:D54"/>
    <mergeCell ref="E51:E86"/>
    <mergeCell ref="F51:F54"/>
    <mergeCell ref="H51:H54"/>
    <mergeCell ref="A33:A50"/>
    <mergeCell ref="B33:B50"/>
    <mergeCell ref="C33:C50"/>
    <mergeCell ref="D33:D50"/>
    <mergeCell ref="E33:E50"/>
    <mergeCell ref="F33:F50"/>
    <mergeCell ref="G52:G54"/>
    <mergeCell ref="I52:I54"/>
    <mergeCell ref="J52:J54"/>
    <mergeCell ref="M52:M54"/>
    <mergeCell ref="A55:A86"/>
    <mergeCell ref="B55:B86"/>
    <mergeCell ref="C55:C86"/>
    <mergeCell ref="D55:D86"/>
    <mergeCell ref="F55:F86"/>
    <mergeCell ref="G55:G56"/>
    <mergeCell ref="J63:J64"/>
    <mergeCell ref="M63:M64"/>
    <mergeCell ref="G65:G67"/>
    <mergeCell ref="I65:I67"/>
    <mergeCell ref="J65:J67"/>
    <mergeCell ref="M65:M67"/>
    <mergeCell ref="H55:H86"/>
    <mergeCell ref="I55:I56"/>
    <mergeCell ref="J55:J56"/>
    <mergeCell ref="M55:M56"/>
    <mergeCell ref="G57:G59"/>
    <mergeCell ref="I57:I59"/>
    <mergeCell ref="J57:J59"/>
    <mergeCell ref="M57:M59"/>
    <mergeCell ref="G63:G64"/>
    <mergeCell ref="I63:I64"/>
    <mergeCell ref="G85:G86"/>
    <mergeCell ref="I85:I86"/>
    <mergeCell ref="J85:J86"/>
    <mergeCell ref="M85:M86"/>
    <mergeCell ref="A87:CM87"/>
    <mergeCell ref="A88:M88"/>
    <mergeCell ref="N88:W88"/>
    <mergeCell ref="X88:CM88"/>
    <mergeCell ref="G68:G82"/>
    <mergeCell ref="I68:I82"/>
    <mergeCell ref="J68:J82"/>
    <mergeCell ref="M68:M82"/>
    <mergeCell ref="G83:G84"/>
    <mergeCell ref="I83:I84"/>
    <mergeCell ref="J83:J84"/>
    <mergeCell ref="M83:M84"/>
    <mergeCell ref="A89:CM89"/>
    <mergeCell ref="A90:M90"/>
    <mergeCell ref="N90:U90"/>
    <mergeCell ref="V90:BB90"/>
    <mergeCell ref="BC90:CM90"/>
    <mergeCell ref="A91:M91"/>
    <mergeCell ref="N91:U91"/>
    <mergeCell ref="V91:BB91"/>
    <mergeCell ref="BC91:CM91"/>
    <mergeCell ref="A94:M94"/>
    <mergeCell ref="N94:U94"/>
    <mergeCell ref="V94:BB94"/>
    <mergeCell ref="BC94:CM94"/>
    <mergeCell ref="A95:M95"/>
    <mergeCell ref="N95:U95"/>
    <mergeCell ref="V95:BB95"/>
    <mergeCell ref="BC95:CM95"/>
    <mergeCell ref="A92:M92"/>
    <mergeCell ref="N92:U92"/>
    <mergeCell ref="V92:BB92"/>
    <mergeCell ref="BC92:CM92"/>
    <mergeCell ref="A93:M93"/>
    <mergeCell ref="N93:U93"/>
    <mergeCell ref="V93:BB93"/>
    <mergeCell ref="BC93:CM93"/>
  </mergeCells>
  <dataValidations count="38">
    <dataValidation allowBlank="1" showInputMessage="1" showErrorMessage="1" prompt="Diligenciar el nivel de cumplimiento de la estratégia del PEI" sqref="CM5" xr:uid="{0E1F2005-8597-426E-9DCC-E6F18D4CC406}"/>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89E39CFD-0266-46FA-BAC8-6D4393DA9B18}"/>
    <dataValidation allowBlank="1" showInputMessage="1" showErrorMessage="1" prompt="Diligenciar el proyecto de Inversión asociado a los planes de Decreto 612 de 2018_x000a_Nota: Para en caso no tener proyecto indicar con la abreviación N/A" sqref="Y4:Y5" xr:uid="{21288EAC-B458-4A4D-8BB7-05ED16E13F5D}"/>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13EA2ECE-357D-47EC-85C4-66D0631A0C0D}"/>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C306A1DE-4948-4014-9D7F-EED6F61E49D6}"/>
    <dataValidation allowBlank="1" showInputMessage="1" showErrorMessage="1" prompt="Escribir el Monto a un proyecto de inversión asignado del indicador del PAI_x000a_Nota: Para en caso no tener presupuestoasigado diligenciar, indicar con la abreviación N/A" sqref="Q5" xr:uid="{14EE1E0B-9408-4F81-BDAD-6F15158336FD}"/>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7BDFD30E-0AF3-41A6-9EBF-D1F96EB694EC}"/>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2AB1FBB4-1811-4815-8535-1EFD8F879138}"/>
    <dataValidation allowBlank="1" showInputMessage="1" showErrorMessage="1" prompt="Establece el mes en el cual se debe hacer el reporte teniendo en cuenta la periocidad definida del indicador." sqref="AB4:AM4" xr:uid="{7596C476-C950-4EE4-911B-8866AE154FDF}"/>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7AFAC91C-7301-43CD-9899-A077F0427554}"/>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FAC8C2EA-1CF3-43D8-AA3A-F5307B3D3BD1}"/>
    <dataValidation allowBlank="1" showInputMessage="1" showErrorMessage="1" prompt="Es el porcentaje de cada estrategia con el nivel de importancia que tiene respecto al objetivo estratégico. La sumatoria de las estrategias deben ser el 100%" sqref="G5" xr:uid="{AE7342FA-CAFC-4D75-BAD4-889819114362}"/>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1527ED5E-1779-42A6-9EF3-F2CB6CE10974}"/>
    <dataValidation allowBlank="1" showInputMessage="1" showErrorMessage="1" prompt="Seguimiento realizado por los responsables de los planes, programas y proyectos" sqref="AO4:BL4" xr:uid="{C9705FE6-344F-4243-A322-775B0AD3FD16}"/>
    <dataValidation allowBlank="1" showInputMessage="1" showErrorMessage="1" prompt="Es la ponderación porcentual de cada estrategia del Plan referente a la actividad que tiene asociada, debe dar un 100%" sqref="M5" xr:uid="{FF018B94-633C-45C5-A551-6447FE2384EB}"/>
    <dataValidation allowBlank="1" showInputMessage="1" showErrorMessage="1" prompt="Definición clara del propósito fundamental y el contexto dentro del cual se desarrollan las actividades de la Unidad. Debe iniciar con un verbo en infinitivo. " sqref="F5" xr:uid="{D0714A81-120A-4855-9DE0-8B9EC5CE9D6C}"/>
    <dataValidation allowBlank="1" showInputMessage="1" showErrorMessage="1" prompt="Describe el número al cual se encuentra asociada la actividad y aporta al objetivo estrategico y a la estrategia institucional." sqref="K5" xr:uid="{0FD8D51A-28A4-44B7-94F6-B388C4F5716F}"/>
    <dataValidation allowBlank="1" showInputMessage="1" showErrorMessage="1" prompt="Diligenciar el Nombre del  proceso" sqref="W5" xr:uid="{AA6E73D9-5B15-4FDE-8423-5A9A29CA934A}"/>
    <dataValidation allowBlank="1" showInputMessage="1" showErrorMessage="1" prompt="Describe la actividad que va hacer medida con el indicador. Debe iniciar con un verbo en infinitivo, ser cuantificable y clara" sqref="N5" xr:uid="{094A047B-3A5E-4FDA-AED4-B9C37FA98060}"/>
    <dataValidation allowBlank="1" showInputMessage="1" showErrorMessage="1" prompt="Es el entregable de la actividad definida" sqref="P5" xr:uid="{A53C570A-F6B2-4C35-9CCC-A6B7DC331D4F}"/>
    <dataValidation allowBlank="1" showInputMessage="1" showErrorMessage="1" prompt="Corresponde a la ecuación, la cual indica la forma en que se calcula el indicador" sqref="U5" xr:uid="{FCB0ED13-6EB3-42FE-8EE6-E46B71DC3C49}"/>
    <dataValidation allowBlank="1" showInputMessage="1" showErrorMessage="1" prompt="Pueden ser de eficiencia, eficacia, efectividad y de producto." sqref="V5" xr:uid="{3C69D1A7-2F42-4776-BAE2-7690B22E3B06}"/>
    <dataValidation allowBlank="1" showInputMessage="1" showErrorMessage="1" prompt="Establece la periocidad en que se debe realizar el reporte del indicador." sqref="AA4:AA5" xr:uid="{CD22F3F9-1E4A-481C-89E5-1355A8902411}"/>
    <dataValidation allowBlank="1" showInputMessage="1" showErrorMessage="1" prompt="Indica el nombre de la estrategia estipulada dentro del PND. " sqref="D5" xr:uid="{28E98DE3-A3CE-4F7E-8ED9-04075C9ECFD7}"/>
    <dataValidation allowBlank="1" showInputMessage="1" showErrorMessage="1" prompt="Indica el nombre de la línea estratégica estipulada dentro del PND. " sqref="B5" xr:uid="{AF716F12-8A56-45D8-BF3E-3955A305F228}"/>
    <dataValidation allowBlank="1" showInputMessage="1" showErrorMessage="1" prompt="Indica el nombre del Pacto estipulado dentro del PND._x000a_" sqref="A5" xr:uid="{B47C6A3B-FD77-49A5-B0BC-8BCC21D7E569}"/>
    <dataValidation allowBlank="1" showInputMessage="1" showErrorMessage="1" prompt="Define los cursos de acción que muestran los medios, recursos y esfuerzos para el cumplimiento de los objetivos estratégicos." sqref="I5" xr:uid="{24D932E3-831F-408D-91EB-F9001794773B}"/>
    <dataValidation allowBlank="1" showInputMessage="1" showErrorMessage="1" prompt="Nombre del indicador relacionado directamente con la Estrategia Institucional" sqref="J5" xr:uid="{5AC555C3-B223-4BED-BC32-13C9E87833B3}"/>
    <dataValidation allowBlank="1" showInputMessage="1" showErrorMessage="1" prompt="Definición clara del propósito fundamental y el contexto dentro del cual se desarrollan las actividades de la Unidad. Debe iniciar con un verbo en infinitivo." sqref="H5" xr:uid="{74D10D1C-5172-4C4C-92E7-6B0E0ADE2868}"/>
    <dataValidation allowBlank="1" showInputMessage="1" showErrorMessage="1" prompt="Diligenciar las perspectivas del cuadro de Mando Integral( Perspectivas Usuuario/Beneficiario, Perspectiva  procesos Internos, Perspectiva  Financiera, Perspectiva Aprendizaje y Desarrollo) " sqref="L5" xr:uid="{B67F8C88-4F86-41BC-B2D1-9F347D11AD97}"/>
    <dataValidation allowBlank="1" showInputMessage="1" showErrorMessage="1" prompt="Diligencair el Plan Institucional Asociado" sqref="X4:X5" xr:uid="{65B0A2DF-F6ED-4AA3-867A-DF7D663E61D9}"/>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E9E5E83D-B284-4A69-972C-70FA2E8A6D34}"/>
    <dataValidation allowBlank="1" showInputMessage="1" showErrorMessage="1" prompt="Diligenciar el Avance Obtenido en reporte del Indicador (PAI)" sqref="AO5 AU5 BA5:BA6 BG5:BG6 BM5 BS5 BY5 CE5 BA83 BG83" xr:uid="{D954E652-DA83-41B6-9A73-727490752285}"/>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BB6 BH5:BH6 BN5 BZ5 BT5 CF5 BB83 BH83" xr:uid="{7E189F20-C777-4445-8D07-737E93FCC3DE}"/>
    <dataValidation allowBlank="1" showInputMessage="1" showErrorMessage="1" prompt="Diligenciar la calificación entre 0% o 25% de acuerdo a los criterios Recopilación de datos y evidencia( PIN-MA-04) " sqref="AQ5:AT5 AW5:AZ5 BI5:BL6 BU5:BX5 BO5:BR5 CA5:CD5 BC83:BF83 BC5:BF6 CG5:CJ6 BI83:BL83 CG83:CJ83" xr:uid="{CCF4FC3E-7BC9-4440-9967-439BC5A64654}"/>
    <dataValidation allowBlank="1" showInputMessage="1" showErrorMessage="1" prompt="Diligenciar el avance del reporte del indicador dependiendo la frecuencia" sqref="CK5" xr:uid="{476782C4-0C2C-4650-BD64-7E43F3A8E313}"/>
    <dataValidation allowBlank="1" showInputMessage="1" showErrorMessage="1" prompt="Diligenciar el cumplimiento del reporte Total al Indicador al PAI" sqref="CL5" xr:uid="{00F06741-0C50-46BF-B573-DBB6F5C385CF}"/>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B0869138-9D24-419A-BFFE-62C071EAE3DD}"/>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81DB14-81C1-4E19-8BC5-3621A6BBA863}"/>
</file>

<file path=customXml/itemProps2.xml><?xml version="1.0" encoding="utf-8"?>
<ds:datastoreItem xmlns:ds="http://schemas.openxmlformats.org/officeDocument/2006/customXml" ds:itemID="{EE60AA4B-A6A2-4618-BFB8-B89E06781ED0}"/>
</file>

<file path=customXml/itemProps3.xml><?xml version="1.0" encoding="utf-8"?>
<ds:datastoreItem xmlns:ds="http://schemas.openxmlformats.org/officeDocument/2006/customXml" ds:itemID="{C02F0D73-2841-4443-8C0F-7F1407A8FC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Marlon Augusto Aceros Bueno</cp:lastModifiedBy>
  <dcterms:created xsi:type="dcterms:W3CDTF">2022-02-11T14:57:52Z</dcterms:created>
  <dcterms:modified xsi:type="dcterms:W3CDTF">2022-03-09T21:25:57Z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