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gina.diaz\OneDrive - Unidad Nacional de Protección\Escritorio\"/>
    </mc:Choice>
  </mc:AlternateContent>
  <xr:revisionPtr revIDLastSave="1" documentId="13_ncr:1_{193CF9E3-56E6-4584-8E4F-6CFEB01EE48B}" xr6:coauthVersionLast="45" xr6:coauthVersionMax="45" xr10:uidLastSave="{E5A06439-8C8B-45EC-AA88-93822CD2139E}"/>
  <bookViews>
    <workbookView xWindow="-120" yWindow="-120" windowWidth="20730" windowHeight="11160" xr2:uid="{E7186DF6-C699-41F4-B07B-E6DED4F4A4A9}"/>
  </bookViews>
  <sheets>
    <sheet name="PAI 2020" sheetId="3" r:id="rId1"/>
  </sheets>
  <externalReferences>
    <externalReference r:id="rId2"/>
  </externalReferences>
  <definedNames>
    <definedName name="_xlnm._FilterDatabase" localSheetId="0" hidden="1">'PAI 2020'!$A$5:$AP$128</definedName>
    <definedName name="_xlcn.WorksheetConnection_PLANEACIÓNINST.B2C101" hidden="1">'[1]PLANEACIÓN INST'!$C$2:$D$6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o" name="Rango" connection="WorksheetConnection_PLANEACIÓN INST.!$B$2:$C$1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76" i="3" l="1"/>
  <c r="AM77" i="3" l="1"/>
  <c r="AK67" i="3"/>
  <c r="AK116" i="3" l="1"/>
  <c r="AM116" i="3"/>
  <c r="AM98" i="3"/>
  <c r="AM115" i="3" l="1"/>
  <c r="AM19" i="3" l="1"/>
  <c r="AK44" i="3"/>
  <c r="AK43" i="3"/>
  <c r="AK14" i="3"/>
  <c r="AK83" i="3"/>
  <c r="AK72" i="3"/>
  <c r="AK71" i="3"/>
  <c r="AK126" i="3"/>
  <c r="AK122" i="3"/>
  <c r="AK112" i="3"/>
  <c r="AK111" i="3"/>
  <c r="AM111" i="3" s="1"/>
  <c r="AK60" i="3"/>
  <c r="AK23" i="3"/>
  <c r="AK22" i="3"/>
  <c r="AK21" i="3"/>
  <c r="AK53" i="3"/>
  <c r="AK77" i="3"/>
  <c r="AK76" i="3"/>
  <c r="AK75" i="3"/>
  <c r="AK87" i="3"/>
  <c r="AK85" i="3"/>
  <c r="AK93" i="3"/>
  <c r="AK27" i="3"/>
  <c r="AK25" i="3"/>
  <c r="AK18" i="3"/>
  <c r="AK17" i="3"/>
  <c r="AK16" i="3"/>
  <c r="AK15" i="3"/>
  <c r="AK119" i="3"/>
  <c r="AK101" i="3"/>
  <c r="AK100" i="3"/>
  <c r="AK98" i="3"/>
  <c r="AK97" i="3"/>
  <c r="AM52" i="3"/>
  <c r="AK52" i="3"/>
  <c r="AK51" i="3"/>
  <c r="AK47" i="3"/>
  <c r="AK50" i="3"/>
  <c r="AK49" i="3"/>
  <c r="AK41" i="3"/>
  <c r="AK33" i="3"/>
  <c r="AK20" i="3"/>
  <c r="AK19" i="3"/>
  <c r="AK9" i="3"/>
  <c r="AK73" i="3"/>
  <c r="AK69" i="3"/>
  <c r="AK104" i="3"/>
  <c r="AM104" i="3" s="1"/>
  <c r="AK66" i="3"/>
  <c r="AK115" i="3"/>
  <c r="AK114" i="3"/>
  <c r="AK113" i="3"/>
  <c r="AJ126" i="3"/>
  <c r="AI126" i="3"/>
  <c r="AM126" i="3" s="1"/>
  <c r="AJ125" i="3"/>
  <c r="AM125" i="3" s="1"/>
  <c r="AI124" i="3"/>
  <c r="AM123" i="3"/>
  <c r="AM122" i="3"/>
  <c r="AJ122" i="3"/>
  <c r="AI122" i="3"/>
  <c r="AM121" i="3"/>
  <c r="AM120" i="3"/>
  <c r="AJ119" i="3"/>
  <c r="AI119" i="3"/>
  <c r="AJ118" i="3"/>
  <c r="AM118" i="3" s="1"/>
  <c r="AM117" i="3"/>
  <c r="AJ116" i="3"/>
  <c r="AJ115" i="3"/>
  <c r="AI115" i="3"/>
  <c r="AM114" i="3"/>
  <c r="AJ114" i="3"/>
  <c r="AM113" i="3"/>
  <c r="AJ112" i="3"/>
  <c r="AI112" i="3"/>
  <c r="AJ111" i="3"/>
  <c r="AI111" i="3"/>
  <c r="AM110" i="3"/>
  <c r="AJ109" i="3"/>
  <c r="AM109" i="3" s="1"/>
  <c r="AM108" i="3"/>
  <c r="AJ107" i="3"/>
  <c r="AM107" i="3" s="1"/>
  <c r="AM106" i="3"/>
  <c r="AM105" i="3"/>
  <c r="AM103" i="3"/>
  <c r="AJ103" i="3"/>
  <c r="AM102" i="3"/>
  <c r="AJ101" i="3"/>
  <c r="AI101" i="3"/>
  <c r="AM100" i="3"/>
  <c r="AJ100" i="3"/>
  <c r="AM99" i="3"/>
  <c r="AM97" i="3"/>
  <c r="AJ96" i="3"/>
  <c r="AM96" i="3" s="1"/>
  <c r="AJ95" i="3"/>
  <c r="AM95" i="3" s="1"/>
  <c r="AM94" i="3"/>
  <c r="AJ93" i="3"/>
  <c r="AM93" i="3" s="1"/>
  <c r="AM92" i="3"/>
  <c r="AJ92" i="3"/>
  <c r="AI91" i="3"/>
  <c r="AM91" i="3" s="1"/>
  <c r="AM90" i="3"/>
  <c r="AI89" i="3"/>
  <c r="AM89" i="3" s="1"/>
  <c r="AM88" i="3"/>
  <c r="AM87" i="3"/>
  <c r="AM86" i="3"/>
  <c r="AJ86" i="3"/>
  <c r="AM85" i="3"/>
  <c r="AM84" i="3"/>
  <c r="AJ83" i="3"/>
  <c r="AI83" i="3"/>
  <c r="AM83" i="3" s="1"/>
  <c r="AI82" i="3"/>
  <c r="AI81" i="3"/>
  <c r="AK80" i="3"/>
  <c r="AM79" i="3"/>
  <c r="AM78" i="3"/>
  <c r="AJ77" i="3"/>
  <c r="AI77" i="3"/>
  <c r="AJ76" i="3"/>
  <c r="AI76" i="3"/>
  <c r="AJ75" i="3"/>
  <c r="AI75" i="3"/>
  <c r="AJ74" i="3"/>
  <c r="AM74" i="3" s="1"/>
  <c r="AM73" i="3"/>
  <c r="AJ73" i="3"/>
  <c r="AI73" i="3"/>
  <c r="AJ72" i="3"/>
  <c r="AI72" i="3"/>
  <c r="AM72" i="3" s="1"/>
  <c r="AM71" i="3"/>
  <c r="AJ71" i="3"/>
  <c r="AI71" i="3"/>
  <c r="AI70" i="3"/>
  <c r="AJ69" i="3"/>
  <c r="AM69" i="3" s="1"/>
  <c r="AM68" i="3"/>
  <c r="AJ68" i="3"/>
  <c r="AJ67" i="3"/>
  <c r="AM67" i="3" s="1"/>
  <c r="AI67" i="3"/>
  <c r="AJ66" i="3"/>
  <c r="AI66" i="3"/>
  <c r="AM65" i="3"/>
  <c r="AM64" i="3"/>
  <c r="AM63" i="3"/>
  <c r="AJ62" i="3"/>
  <c r="AM62" i="3" s="1"/>
  <c r="AM61" i="3"/>
  <c r="AJ60" i="3"/>
  <c r="AI60" i="3"/>
  <c r="AI59" i="3"/>
  <c r="AM59" i="3" s="1"/>
  <c r="AM58" i="3"/>
  <c r="AJ57" i="3"/>
  <c r="AM57" i="3" s="1"/>
  <c r="AJ56" i="3"/>
  <c r="AM56" i="3" s="1"/>
  <c r="AM55" i="3"/>
  <c r="AJ55" i="3"/>
  <c r="AJ54" i="3"/>
  <c r="AM54" i="3" s="1"/>
  <c r="AJ53" i="3"/>
  <c r="AI53" i="3"/>
  <c r="AM53" i="3" s="1"/>
  <c r="AJ52" i="3"/>
  <c r="AJ51" i="3"/>
  <c r="AI51" i="3"/>
  <c r="AM51" i="3" s="1"/>
  <c r="AM50" i="3"/>
  <c r="AJ50" i="3"/>
  <c r="AI50" i="3"/>
  <c r="AJ49" i="3"/>
  <c r="AI49" i="3"/>
  <c r="AM49" i="3" s="1"/>
  <c r="AM48" i="3"/>
  <c r="AJ47" i="3"/>
  <c r="AI47" i="3"/>
  <c r="AM47" i="3" s="1"/>
  <c r="AJ46" i="3"/>
  <c r="AM46" i="3" s="1"/>
  <c r="AM45" i="3"/>
  <c r="AJ44" i="3"/>
  <c r="AJ43" i="3"/>
  <c r="AI43" i="3"/>
  <c r="AM42" i="3"/>
  <c r="AJ41" i="3"/>
  <c r="AM40" i="3"/>
  <c r="AJ40" i="3"/>
  <c r="AM39" i="3"/>
  <c r="AM38" i="3"/>
  <c r="AJ37" i="3"/>
  <c r="AM37" i="3" s="1"/>
  <c r="AM36" i="3"/>
  <c r="AJ36" i="3"/>
  <c r="AJ35" i="3"/>
  <c r="AM35" i="3" s="1"/>
  <c r="AM34" i="3"/>
  <c r="AJ33" i="3"/>
  <c r="AM33" i="3" s="1"/>
  <c r="AI33" i="3"/>
  <c r="AJ32" i="3"/>
  <c r="AM32" i="3" s="1"/>
  <c r="AM31" i="3"/>
  <c r="AJ30" i="3"/>
  <c r="AM30" i="3" s="1"/>
  <c r="AJ29" i="3"/>
  <c r="AM29" i="3" s="1"/>
  <c r="AM28" i="3"/>
  <c r="AJ28" i="3"/>
  <c r="AJ27" i="3"/>
  <c r="AM27" i="3" s="1"/>
  <c r="AI27" i="3"/>
  <c r="AJ26" i="3"/>
  <c r="AM26" i="3" s="1"/>
  <c r="AJ25" i="3"/>
  <c r="AI25" i="3"/>
  <c r="AM25" i="3" s="1"/>
  <c r="AM24" i="3"/>
  <c r="AJ23" i="3"/>
  <c r="AI23" i="3"/>
  <c r="AJ22" i="3"/>
  <c r="AM22" i="3" s="1"/>
  <c r="AI22" i="3"/>
  <c r="AJ21" i="3"/>
  <c r="AM21" i="3" s="1"/>
  <c r="AI21" i="3"/>
  <c r="AJ20" i="3"/>
  <c r="AI20" i="3"/>
  <c r="AJ19" i="3"/>
  <c r="AI19" i="3"/>
  <c r="AJ18" i="3"/>
  <c r="AJ17" i="3"/>
  <c r="AJ16" i="3"/>
  <c r="AJ15" i="3"/>
  <c r="AI15" i="3"/>
  <c r="AM15" i="3" s="1"/>
  <c r="AJ14" i="3"/>
  <c r="AI14" i="3"/>
  <c r="AM13" i="3"/>
  <c r="AM12" i="3"/>
  <c r="AM11" i="3"/>
  <c r="AJ10" i="3"/>
  <c r="AI10" i="3"/>
  <c r="AJ9" i="3"/>
  <c r="AI9" i="3"/>
  <c r="AM9" i="3" s="1"/>
  <c r="AM7" i="3"/>
  <c r="AM6" i="3"/>
  <c r="AM44" i="3" l="1"/>
  <c r="AM43" i="3"/>
  <c r="AM14" i="3"/>
  <c r="AM112" i="3"/>
  <c r="AM60" i="3"/>
  <c r="AM23" i="3"/>
  <c r="AM119" i="3"/>
  <c r="AM101" i="3"/>
  <c r="AM41" i="3"/>
  <c r="AM6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tc={A07B3614-59B6-4E1F-AA40-37D57923ADAD}</author>
    <author>tc={E608F5B1-31D6-4A25-A44C-88F7848CFF18}</author>
    <author>tc={6B58D1A8-ED75-4A71-8461-68BC42A28589}</author>
    <author>tc={0D3817D4-ED22-426E-A183-03EDACED3675}</author>
    <author>tc={597FAB55-5164-4DD4-B762-64D1F49E8DD2}</author>
    <author>tc={94378D32-400C-40B0-AE02-37FF86DEC892}</author>
    <author>tc={DB5C4E02-54BE-40F3-A6F0-3C4E02A2C59B}</author>
    <author>tc={B65B5A1F-4858-4675-BD5A-E9D7307E8E19}</author>
    <author>tc={D3DE7E20-26AF-4AFF-BECC-A3F85DEB5546}</author>
    <author>tc={416B01A7-A9C0-4A63-B767-2BCC7DD725F4}</author>
    <author>tc={17AC1C26-4FA4-4D43-B377-DA7B8B1DB509}</author>
    <author>tc={14399CCF-4743-48E5-BC11-7DC5C07F5622}</author>
    <author>tc={72208091-D4BC-4EE8-9EB5-027AC4083373}</author>
    <author>tc={4036889E-CEA7-4225-9924-7737F4370390}</author>
    <author>tc={93B1D7B4-3570-4568-AF5F-FF61EAAB3173}</author>
    <author>tc={ABC9ECDB-C3F2-4DC1-ADCE-7DF8E7E74C3D}</author>
    <author>tc={01658229-C968-431D-A1C3-010F48C2C562}</author>
    <author>tc={233670E2-6279-4F3D-B76C-AC159C60D11F}</author>
    <author>tc={D3B04E84-0760-46F7-BFBC-9E87CFBC225C}</author>
  </authors>
  <commentList>
    <comment ref="L7" authorId="0" shapeId="0" xr:uid="{A07B3614-59B6-4E1F-AA40-37D57923ADA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solciitud del lider del proceso segun MEM20-00004964 de fecha 27 de febrero 2020</t>
      </text>
    </comment>
    <comment ref="AM20" authorId="1" shapeId="0" xr:uid="{E608F5B1-31D6-4A25-A44C-88F7848CFF1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ajusta a solicitud del proceso de la medicion del resultado del indicador mesa de retroalimentación III Trimestre 17-11-2020</t>
      </text>
    </comment>
    <comment ref="AK29" authorId="2" shapeId="0" xr:uid="{6B58D1A8-ED75-4A71-8461-68BC42A2858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deja como no cumplido teniendo en cuenta que se afecta la no implementacion del PPESP y asi se concluyo en la mesa de trabajo del grupo de indicadores el 26/10/2020</t>
      </text>
    </comment>
    <comment ref="AI30" authorId="3" shapeId="0" xr:uid="{0D3817D4-ED22-426E-A183-03EDACED367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21 marzo 2020 no se evidencia reporte en el aplicativo socrates del indicador en mención
Respuesta:
    Se realiza el reporte del indicador extemporaneamente segun planeador estaba para el mes de marzo I trimestre y se reporta en junio paraa el II trimestre del año</t>
      </text>
    </comment>
    <comment ref="AJ30" authorId="4" shapeId="0" xr:uid="{597FAB55-5164-4DD4-B762-64D1F49E8DD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21 marzo 2020 no se evidencia reporte en el aplicativo socrates del indicador en mención
Respuesta:
    Se realiza el reporte del indicador extemporaneamente segun planeador estaba para el mes de marzo I trimestre y se reporta en junio paraa el II trimestre del año</t>
      </text>
    </comment>
    <comment ref="L39" authorId="5" shapeId="0" xr:uid="{94378D32-400C-40B0-AE02-37FF86DEC89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crea a solcitud del lider del proceso segun MEM20-00004964 de fecha 27 de febrero 2020</t>
      </text>
    </comment>
    <comment ref="L45" authorId="6" shapeId="0" xr:uid="{DB5C4E02-54BE-40F3-A6F0-3C4E02A2C59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solciitud del lider del proceso segun MEM20-00004964 de fecha 27 de febrero 2020</t>
      </text>
    </comment>
    <comment ref="L48" authorId="7" shapeId="0" xr:uid="{B65B5A1F-4858-4675-BD5A-E9D7307E8E1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solciitud del lider del proceso segun MEM20-00004964 de fecha 27 de febrero 2020</t>
      </text>
    </comment>
    <comment ref="M75" authorId="8" shapeId="0" xr:uid="{D3DE7E20-26AF-4AFF-BECC-A3F85DEB554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SOLICITUD DEL PROCESO Y AUTORIZADO POR LA COORDINADORA DEL GPEMC</t>
      </text>
    </comment>
    <comment ref="M76" authorId="9" shapeId="0" xr:uid="{416B01A7-A9C0-4A63-B767-2BCC7DD725F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CREA A SOLICITUD DEL PROCESO Y AUTORIZADO POR LA COORDINADORA DEL GPEMC</t>
      </text>
    </comment>
    <comment ref="AM76" authorId="10" shapeId="0" xr:uid="{17AC1C26-4FA4-4D43-B377-DA7B8B1DB50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falta el avance del III trimestre</t>
      </text>
    </comment>
    <comment ref="AM77" authorId="11" shapeId="0" xr:uid="{14399CCF-4743-48E5-BC11-7DC5C07F562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 el 75% cumplio la meta</t>
      </text>
    </comment>
    <comment ref="AI80" authorId="12" shapeId="0" xr:uid="{72208091-D4BC-4EE8-9EB5-027AC408337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ajusta a solcitud del proceso toda vez que en este reporte realizado se describio un avance mas no el cumplimiento de la meta la cual se da hasta el mes de septiembre y segun lo acordado en la mesa de retroalimentacion del III Trimestre 17-11-2020</t>
      </text>
    </comment>
    <comment ref="J87" authorId="13" shapeId="0" xr:uid="{4036889E-CEA7-4225-9924-7737F437039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actualiza en el planeador mes del reporte segun solicitud del proceso MEM20-00002787 de fecha 6 de febrero de 2020 y aprobado por la coordiandora del GPEMC</t>
      </text>
    </comment>
    <comment ref="J88" authorId="14" shapeId="0" xr:uid="{93B1D7B4-3570-4568-AF5F-FF61EAAB317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actualiza en el planeador mes del reporte segun solicitud del proceso MEM20-00002787 de fecha 6 de febrero de 2020 y aprobado por la coordiandora del GPEMC</t>
      </text>
    </comment>
    <comment ref="M114" authorId="15" shapeId="0" xr:uid="{ABC9ECDB-C3F2-4DC1-ADCE-7DF8E7E74C3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solciitud del proceso segun MEM20-00003665 del 14 de febrero 2020</t>
      </text>
    </comment>
    <comment ref="M115" authorId="16" shapeId="0" xr:uid="{01658229-C968-431D-A1C3-010F48C2C56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solciitud del proceso segun MEM20-00003665 del 14 de febrero 2020</t>
      </text>
    </comment>
    <comment ref="M116" authorId="17" shapeId="0" xr:uid="{233670E2-6279-4F3D-B76C-AC159C60D11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solicitud del proceso segun MEM20-00003665 del 14 febrero 2020</t>
      </text>
    </comment>
    <comment ref="L117" authorId="18" shapeId="0" xr:uid="{D3B04E84-0760-46F7-BFBC-9E87CFBC225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solciitud del lider del proceso segun MEM20-00004964 de fecha 27 de febrero 2020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9A7FAEF-95A9-40E7-A56B-AA910D3E52DB}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E7614436-0787-404A-AE44-D547431048AB}" name="WorksheetConnection_PLANEACIÓN INST.!$B$2:$C$10" type="102" refreshedVersion="6" minRefreshableVersion="5">
    <extLst>
      <ext xmlns:x15="http://schemas.microsoft.com/office/spreadsheetml/2010/11/main" uri="{DE250136-89BD-433C-8126-D09CA5730AF9}">
        <x15:connection id="Rango">
          <x15:rangePr sourceName="_xlcn.WorksheetConnection_PLANEACIÓNINST.B2C101"/>
        </x15:connection>
      </ext>
    </extLst>
  </connection>
</connections>
</file>

<file path=xl/sharedStrings.xml><?xml version="1.0" encoding="utf-8"?>
<sst xmlns="http://schemas.openxmlformats.org/spreadsheetml/2006/main" count="1377" uniqueCount="640">
  <si>
    <t>Carpeta físicas( proceso de Sistema de Gestion) y en carpeta digital control de documentos- Sistema de Gestión</t>
  </si>
  <si>
    <t xml:space="preserve">ARCHÍVESE EN: 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</si>
  <si>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</si>
  <si>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</si>
  <si>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</si>
  <si>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</si>
  <si>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</si>
  <si>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</si>
  <si>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</si>
  <si>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</si>
  <si>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</si>
  <si>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</si>
  <si>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</si>
  <si>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</si>
  <si>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Proceso Responsable</t>
  </si>
  <si>
    <t>Tipo de Indicador</t>
  </si>
  <si>
    <t>Formula del Indicador</t>
  </si>
  <si>
    <t>Indicador</t>
  </si>
  <si>
    <t>Producto</t>
  </si>
  <si>
    <t>Actividades</t>
  </si>
  <si>
    <t>Identificador</t>
  </si>
  <si>
    <t>Estratégias Institucionales</t>
  </si>
  <si>
    <t>Meta</t>
  </si>
  <si>
    <t>PLANEADOR ANUAL - PAI</t>
  </si>
  <si>
    <t>Frecuencia Reporte</t>
  </si>
  <si>
    <r>
      <t xml:space="preserve">PLANES INSTITUCIONALES ASOCIADOS 
</t>
    </r>
    <r>
      <rPr>
        <sz val="12"/>
        <color theme="1"/>
        <rFont val="Myanmar Text"/>
        <family val="2"/>
      </rPr>
      <t>(Decreto 612 de 2018)</t>
    </r>
  </si>
  <si>
    <t>PLAN DE ACCIÓN INSTITUCIONAL - PAI</t>
  </si>
  <si>
    <t>UNIDAD NACIONAL DE PROTECCIÓN</t>
  </si>
  <si>
    <t>PLANEACIÓN INSTITUCIONAL</t>
  </si>
  <si>
    <t>MONTO PROYECTO DE INVERSIÓN</t>
  </si>
  <si>
    <t>Oficialización:  23/01/2020</t>
  </si>
  <si>
    <t>1. RECONOCER LA ACTIVIDAD DE LOS LÍDERES Y LIDERESAS SOCIALES DEFENSORES Y DEFENSORAS DE DERECHOS HUMANOS, PARA ELIMINAR LA ESTIGMATIZACIÓN SOCIAL, A TRAVÉS DE LA DIFUSIÓN DE LOS DERECHOS CON ENFOQUES DIFERENCIALES.</t>
  </si>
  <si>
    <t>2. INCORPORAR EL ANÁLISIS DE CONTEXTO COMO MECANISMO PARA LA IDENTIFICACIÓN ANTICIPADA O TEMPRANA DE LAS AMENAZAS, RIESGOS Y VULNERABILIDADES DE LAS POBLACIONES OBJETO.</t>
  </si>
  <si>
    <t>3. ACTUAR DE MANERA PREVENTIVA ANTE LA PRESENCIA DE UN RIESGO O VULNERABILIDAD</t>
  </si>
  <si>
    <t>4. CONTRIBUIR A LA FORMULACIÓN DEL PLAN ESTRATÉGICO DE SEGURIDAD Y PROTECCIÓN</t>
  </si>
  <si>
    <t>6. ACTUALIZAR Y ADECUAR LAS MEDIDAS DE PREVENCIÓN Y PROTECCIÓN COLECTIVA CON ENFOQUES DIFERENCIALES CON ÉNFASIS EN EL FORTALECIMIENTO ORGANIZACIONAL, MEDIDAS DE TIPO PSICOSOCIAL Y CARTOGRAFÍAS DEL CUERPO RESPECTO A AGRESIONES FÍSICAS.</t>
  </si>
  <si>
    <t>7. IMPLEMENTACIÓN DEL PROGRAMA  DE PROTECCIÓN ESPECIALIZADA DE SEGURIDAD Y PROTECCIÓN Y SUS PROCEDIMIENTOS, EN LO QUE ES COMPETENCIA DE LA SESP</t>
  </si>
  <si>
    <t xml:space="preserve">8. ESTABLECER PROCESOS Y PROCEDIMIENTOS IDÓNEOS PARA LA GESTIÓN Y ADMINISTRACIÓN DEL PROGRAMA ESPECIALIZADO DE SEGURIDAD Y PROTECCIÓN </t>
  </si>
  <si>
    <t>9. CONSOLIDACIÓN DEL PPESP A NIVEL TERRITORIAL</t>
  </si>
  <si>
    <t>10. FORTALECER LOS CONOCIMIENTOS DE LOS FUNCIONARIOS Y COLABORADORES FRENTE A LOS ENFOQUES DIFERENCIALES</t>
  </si>
  <si>
    <t>11. LIDERAR LA ACTUALIZACIÓN Y ADECUACIÓN DE LAS MEDIDAS DE PREVENCIÓN Y PROTECCIÓN CON EFOQUES DIFERENCIALES EN COORDINACIÓN CON LOS ORGANISMOS E INSTANCIAS RESPONSABLES, CON ÉNFASIS EN LA PROTECCIÓN COLECTIVA LOS DERECHOS ANCESTRALES Y EL RECONOCIMIENTO DE LOS MECANISMOS DE AUTOPROTECCIÓN</t>
  </si>
  <si>
    <t>12. EJECUTAR LA RUTA DE PROTECCIÓN COLECTIVA Y EL PROTOCOLO DE ANÁLISIS DE NIVEL DE RIESGO PARA MUJERES LIDERESAS Y DEFENSORAS A NIVEL NACIONAL</t>
  </si>
  <si>
    <t>14. CERTIFICAR LA ENTIDAD EN LAS NORMAS INTERNACIONALES ISO 9001:2015, 14001:2015, 27001:2013 Y 45001:2018</t>
  </si>
  <si>
    <t>15. CONSOLIDAR LA ESTRATEGIA DE COOPERACIÓN INTERNACIONAL AL INTERIOR DE LA ENTIDAD COMO MECANISMO ALTERNO PARA EL DESARROLLO DE PROGRAMAS, PLANES E INICIATIVAS QUE CONTRIBUYAN A ALCANZAR LOS OBJETIVOS INSTITUCIONALES</t>
  </si>
  <si>
    <t>16. DESARROLLAR UNA CULTURA ORGANIZACIONAL FUNDAMENTADA EN LA INFORMACIÓN Y LA COMUNICACIÓN EFECTIVA</t>
  </si>
  <si>
    <t>17. DIRECCIONAR DE MANERA EFECTIVA Y OPORTUNA LAS SOLICITUDES ALLEGADAS A LA ENTIDAD.</t>
  </si>
  <si>
    <t>18. DISMINUIR EL TIEMPO DE RESPUESTA DE LOS RECURSOS DE REPOSICIÓN</t>
  </si>
  <si>
    <t>19. EJECUTAR EL PLAN INSTITUCIONAL DE ARCHIVOS - PINAR</t>
  </si>
  <si>
    <t>20. FOMENTAR EL CRECIMIENTO, APRENDIZAJE Y DESARROLLO DEL TALENTO HUMANO DE LA ENTIDAD</t>
  </si>
  <si>
    <t>21. FORTALECER HERRAMIENTAS TECNOLÓGICAS, EL ACCESO A LA INFORMACIÓN Y LA APROPIACIÓN DE LAS TECNOLOGÍAS DE LA INFORMACIÓN</t>
  </si>
  <si>
    <t>22. FORTALECER LOS PROCESOS EN LA GESTIÓN Y DESEMPEÑO EFICAZ Y EFICIENTE DE LA ENTIDAD</t>
  </si>
  <si>
    <t>23. GESTIONAR, ADMINISTRAR Y EJECUTAR EFICIENTEMENTE LOS RECURSOS FINANCIEROS NECESARIOS DESDE LA PROGRAMACIÓN, APROPIACIÓN Y EJECUCIÓN PARA DAR CUMPLIMIENTO A LAS METAS Y OBTENER LOS RESULTADOS DE DESEMPEÑO INSTITUCIONAL PLANIFICADOS</t>
  </si>
  <si>
    <t>24. IMPLEMENTAR EL  MODELO INTEGRADO DE PLANEACIÓN Y GESTIÓN (MIPG)</t>
  </si>
  <si>
    <t>25. MEJORAR LA PERCEPCIÓN DE CALIDAD DEL SERVICIO, EN VIRTUD DE LA PRESTACIÓN EFICIENTE Y EFECTIVA DEL PROGRAMA DE PREVENCIÓN Y PROTECCIÓN INDIVIDUAL Y COLECTIVA, EN CUMPLIMIENTO DE LA MISIONALIDAD DE LA ENTIDAD</t>
  </si>
  <si>
    <t>26. PROMOVER LA PARTICIPACIÓN CIUDADANA EN LA GESTIÓN DE LA ENTIDAD</t>
  </si>
  <si>
    <t>1.1.3</t>
  </si>
  <si>
    <t>DISEÑAR Y REALIZAR CAMPAÑAS DE RECONOCIMIENTO DE LÍDERES Y LIDERESAS DE LA VIGENCIA</t>
  </si>
  <si>
    <t>DOS CAMPAÑAS DE RECONOCIMIENTO DE LÍDERES Y LIDERAS DESARROLLADAS</t>
  </si>
  <si>
    <t>Nº DE CAMPAÑAS DE RECONOCIMIENTO A LIDERES Y LIDERESAS REALIZADAS</t>
  </si>
  <si>
    <t xml:space="preserve">Nº DE CAMPAÑAS REALIZADAS </t>
  </si>
  <si>
    <t>PRODUCTO</t>
  </si>
  <si>
    <t>GESTIÓN DE LAS COMUNICACIONES</t>
  </si>
  <si>
    <t>PLAN ESTRATÉGICO</t>
  </si>
  <si>
    <t>SEMESTRAL</t>
  </si>
  <si>
    <t>2.2.1</t>
  </si>
  <si>
    <t>PONER EN MARCHA EL OBSERVATORIO ESTRATÉGICO DE LA UNP</t>
  </si>
  <si>
    <t>EFICACIA</t>
  </si>
  <si>
    <t>DIRECCIONAMIENTO ESTRATÉGICO</t>
  </si>
  <si>
    <t>TRIMESTRAL</t>
  </si>
  <si>
    <t>2.2.6</t>
  </si>
  <si>
    <t>REALIZAR DOCUMENTO DE PREVENCIÓN SEGURIDAD Y PROTECCIÓN PARA TERRITORIOS RURALES DONDE SE CONCENTRE LA POBLACIÓN DEL PPESP PRODUCTO DE LOS ENCUENTROS REGIONALES</t>
  </si>
  <si>
    <t>UN DOCUMENTO DE PREVENCIÓN SEGURIDAD Y PROTECCIÓN PARA TERRITORIOS RURALES DONDE SE CONCENTRE LA POBLACIÓN DEL PPESP PRODUCTO DE LOS ENCUENTROS REGIONALES</t>
  </si>
  <si>
    <t xml:space="preserve">Nº DE ENCUENTROS REGIONALES DE PREVENCIÓN DEL RIESGO CON PARTICIPACIÓN DE LA UNP. </t>
  </si>
  <si>
    <t>Nº DE DOCUMENTOS DE LOS ENCUENTROS REGIONALES</t>
  </si>
  <si>
    <t>GESTIÓN ESPECIALIZADA SE SEGURIDAD Y PROTECCIÓN</t>
  </si>
  <si>
    <t>ANUAL</t>
  </si>
  <si>
    <t>2.2.7</t>
  </si>
  <si>
    <t>REALIZAR ASISTENCIA TÉCNICA EN EL COMPONENTE DE PREVENCIÓN (DIÁGNOSTICOS FOCALIZADOS DE RIESGO, PROYECCIÓN DE ESCENARIOS DE RIESGO Y PLANES DE PREVENCIÓN Y CONTIGENCIA)</t>
  </si>
  <si>
    <t>DIEZ (10) ASISTENCIAS TÉCNICAS EN EL COMPONENTE DE PREVENCIÓN REALIZADAS</t>
  </si>
  <si>
    <t>Nº DE MUNICIPIOS CON DIAGNÓSTICOS FOCALIZADOS DE RIESGO, PROYECCIÓN DE ESCENARIOS DE RIESGO O PLANES DE PREVENCIÓN Y CONTINGENCIA APOYADOS TÉCNICAMENTE POR LA UNP</t>
  </si>
  <si>
    <t>Nº DE MUNICIPIOS CON DIAGNÓSTICOS FOCALIZADOS DE RIESGO,  CONSTRUCCIÓN DE CONTEXTO, PROYECCIÓN DE ESCENARIOS DE RIESGO , O PLANES DE PREVENCIÓN Y CONTINGENCIA APOYADOS TÉCNICAMENTE POR LA UNP</t>
  </si>
  <si>
    <t>GESTIÓN DE EVALUACIÓN DEL RIESGO</t>
  </si>
  <si>
    <t>MENSUAL</t>
  </si>
  <si>
    <t>REALIZAR ASISTENCIA TÉCNICA EN EL COMPONENTE DE PREVENCIÒN (DIÁGNOSTICOS FOCALIZADOS DE RIESGO, PROYECCIÓN DE ESCENARIOS DE RIESGO Y PLANES DE PREVENCÓN Y CONTIGENCIA) DE ACUERDO A LA PROGRAMACIÓN DEL MINISTERIO DEL INTERIOR</t>
  </si>
  <si>
    <t>ASISTENCIAS TÉCNICAS EN EL COMPONENTE DE PREVENCION REALIZADAS DE ACUERDO A LA PROGRAMACION DEL MINISTERIO DEL INTERIOR</t>
  </si>
  <si>
    <t>PORCENTAJE DE MUNICIPIOS CON DIAGNÓSTICOS FOCALIZADOS DE RIESGO, PROYECCIÓN DE ESCENARIOS DE RIESGO O PLANES DE PREVENCIÓN Y CONTINGENCIA APOYADOS TÉCNICAMENTE EN MATERIIA DE PREVENCIÓN</t>
  </si>
  <si>
    <t>((Nº DE MUNICIPIOS CON DIAGNÓSTICOS FOCALIZADOS DE RIESGO, PROYECCIÓN DE ESCENARIOS DE RIESGO O PLANES DE PREVENCIÓN Y CONTINGENCIA APOYADOS TÉCNICAMENTE POR LA UNP)/(Nº DE MUNICIPIOS PROGRAMADOS POR EL MINISTERIO DEL INTERIOR PRIORIZADOS EN EL PAO))*100</t>
  </si>
  <si>
    <t>2.3.8</t>
  </si>
  <si>
    <t>FOMENTAR  EL DESARROLLO DE LOS CURSOS DE AUTOPROTECCIÓN Y AUTOSEGURIDAD A LOS BENEFICIARIOS, POBLACIÓN OBJETO DE LA UNP</t>
  </si>
  <si>
    <t>CURSOS DE AUTOPROTECCIÓN  Y AUTOSEGURIDAD REALIZADOS</t>
  </si>
  <si>
    <t>PORCENTAJE DE EJECUCION DE LOS CURSOS DE AUTOPROTECCIÓN Y AUTOSEGURIDAD A BENEFICIARIOS, POBLACION OBJETO DE LA UNP</t>
  </si>
  <si>
    <r>
      <t xml:space="preserve">((Nº. TOTAL DE CURSOS DE AUTOPROTECCIÓN Y AUTOSEGURIDAD  REALIZADOS A BENEFICIARIOS)/(Nº. TOTAL DE  CURSOS DE AUTOPROTECCIÓN Y AUTOSEGURIDAD </t>
    </r>
    <r>
      <rPr>
        <sz val="12"/>
        <rFont val="Myanmar Text"/>
        <family val="2"/>
      </rPr>
      <t>APROBADOS A</t>
    </r>
    <r>
      <rPr>
        <sz val="12"/>
        <color rgb="FFFF0000"/>
        <rFont val="Myanmar Text"/>
        <family val="2"/>
      </rPr>
      <t xml:space="preserve"> </t>
    </r>
    <r>
      <rPr>
        <sz val="12"/>
        <color theme="1"/>
        <rFont val="Myanmar Text"/>
        <family val="2"/>
      </rPr>
      <t>BENEFICIARIOS DE LA UNP  SEGÚN ACTO ADMINISTRATIVO))*100</t>
    </r>
  </si>
  <si>
    <t>GESTIÓN MEDIDAS DE PROTECCIÓN</t>
  </si>
  <si>
    <t>2.4.6</t>
  </si>
  <si>
    <t>PARTICIPAR EN LAS MESAS  DE SEGURIDAD Y PROTECCIÓN RELACIONADAS CON LA CONSTRUCCIÓN E IMPLEMENTACIÓN DEL PLAN ESTRATÉGICO DE SEGURIDAD Y PROTECCIÓN</t>
  </si>
  <si>
    <t xml:space="preserve">EVIDENCIAS DE LA PARTICIPACIÓN EN LAS MESAS  DE SEGURIDAD Y PROTECCIÓN </t>
  </si>
  <si>
    <t>PORCENTAJE DE PARTICIPACIÓN EN LAS MESAS TÉCNICA DE SEGURIDAD Y PROTECCIÓN, PARA LA CONSTRUCCIÓN E IMPLEMENTACIÓN DEL PLAN ESTRATÉGICO</t>
  </si>
  <si>
    <t>((Nº DE SESIONES ASISTIDAS DE LA MESA TÉCNICA DE SEGURIDAD Y PROTECCIÓN, PARA LA CONSTRUCCIÓN E IMPEMENTACIÓN DEL PLAN ESTRATÉGICO)/(Nº DE MESAS TÉCNICAS CONVOCADAS PARA ELABORACIÓN E IMPLENTACIÓN DEL PLAN ESTRATÉGICO DE SEGURIDAD Y PROTECCIÓN))*100</t>
  </si>
  <si>
    <t>IMPLEMENTAR LOS LINEAMIENTOS DEL PLAN ESTRATÉGICO DE SEGURIDAD Y PROTECCIÓN EN TEMAS DE COMPETENCIA DE LA UNP (INCLUIDAS LAS PROPUESTAS DE AJUSTES NORMATIVOS)</t>
  </si>
  <si>
    <t>DOCUMENTO CON LOS LINEAMIENTOS DEL PLAN ESTRATÉGICO DE SEGURIDAD Y PROTECCIÓN EN TEMAS DE COMPETENCIA DE LA UNP</t>
  </si>
  <si>
    <t>PORCENTAJE DE CUMPLIMIENTO DE LAS ACTIVIDADES DE IMPLEMENTACIÓN DE LOS LINEAMIENTOS EL PLAN ESTRATÉGICO DE SEGURIDAD Y PROTECCIÓN EN TEMAS DE COMPETENCIA DE LA UNP</t>
  </si>
  <si>
    <t>3.5.5</t>
  </si>
  <si>
    <t>HACER SEGUIMIENTO A LA IMPLEMENTACIÓN DE LA REINGENIERIA DE LA UNP</t>
  </si>
  <si>
    <t>INFORME DE SEGUIMIENTO A LA IMPLEMENTACIÓN DE LA REINGENIERIA</t>
  </si>
  <si>
    <t>PORCENTAJE DE AVANCE DE LAS ACTIVIDADES DEFINIDAS EN EL PROCESO DE REINGENIERIA</t>
  </si>
  <si>
    <t>((Nº DE ACTIVIDADES EJECUTADAS PARA LA IMPLEMENTACIÓN DEL PROCESO DE REINGENIERIA)/(Nº DE ACTIVIDADES PROGRAMADAS PARA LA IMPLEMENTACIÓN DEL PROCESO DE REINGENIERIA))*100</t>
  </si>
  <si>
    <t>SISTEMA DE GESTIÓN</t>
  </si>
  <si>
    <t>BPIN  2019011000117 OPTIMIZACIÓN DE LOS  PROCESOS  DE  EVALUACIÓN  DEL RIESGO E  IMPLEMENTACIÓN DE   MEDIDAS DE  LA UNIDAD NACIONAL DE  PROTECCIÓN</t>
  </si>
  <si>
    <t>3.5.6</t>
  </si>
  <si>
    <t>REALIZAR LAS EVALUACIONES DE RIESGO DE ACUERDO CON LAS ORDENES DE TRABAJO EMITIDAS</t>
  </si>
  <si>
    <t>EVALUACIONES Y REEVALUACIONES DE RIESGO REALIZADAS</t>
  </si>
  <si>
    <t xml:space="preserve">PORCENTAJE DE EVALUACIONES DE RIESGO REALIZADAS </t>
  </si>
  <si>
    <t>((Nº DE EVALUACIONES DE RIESGO REALIZADAS EN 65 O MENOS DIAS )/(Nº DE ÓRDENES DE TRABAJO EMITIDAS))*100</t>
  </si>
  <si>
    <t>EFICIENCIA</t>
  </si>
  <si>
    <t>REDUCIR EL TIEMPO QUE TOMA LA EVALUACIÓN DE RIESGO DE LA RUTA INDIVIDUAL DEL PROGRAMA DE PROTECCIÓN ESPECIALIZADA DE SEGURIDAD Y PROTECCIÓN</t>
  </si>
  <si>
    <t>EVALUACIONES DE RIESGO PRESENTADAS</t>
  </si>
  <si>
    <t>Nº DE DÍAS PROMEDIO QUE TOMA LA EVALUACIÓN DE RIESGO DEL PPESP</t>
  </si>
  <si>
    <t>((SUMATORIA DE DÍAS HÁBILES UTILIZADOS PARA LA REALIZACIÓN DE LA EVALUACIÓN DEL RIESGO PPESP)/(Nº DE EVALUACIONES DE RIESGOS PRESENTADAS))</t>
  </si>
  <si>
    <t>EVALUACIONES DE RIESGO VALORADAS POR MTSP</t>
  </si>
  <si>
    <t xml:space="preserve">Nº DE DÍAS PROMEDIO DESDE LA PRESENTACIÓN DE LOS CASOS QUE TOMA LA MESA TÉCNICA DE SEGURIDAD Y PROTECCIÓN EN VALORAR EL NIVEL DE RIESGO </t>
  </si>
  <si>
    <t>((SUMATORIA DE DÍAS HÁBILES UTILIZADOS PARA LA VALORACIÓN DE RIESGO POR PARTE DE LA MESA TÉCNICA DE SEGURIDAD Y PROTECCIÓN)/(Nº DE EVALUACIONES DE RIESGOS VALORADAS POR MESA TÉCNICA DE SEGURIDAD Y PROTECCIÓN))</t>
  </si>
  <si>
    <t>ACTOS ADMINISTRATIVOS EXPEDIDOS POR LA MTSP</t>
  </si>
  <si>
    <t>Nº DE DIAS QUE TOMA LA ADOPCIÓN DE LAS DECISIONES TOMADAS POR LA MTSP, MEDIANTE ACTO ADMINISTRATIVO</t>
  </si>
  <si>
    <t>((SUMATORIA DE DÍAS HÁBILES UTILIZADOS PARA LA ADOPCIÓN DE LAS DECISIONES DE LA MESA TÉCNICA DE SEGURIDAD Y PROTECCIÓN)/(NÚMERO DE ACTOS ADMINISTRATIVOS EXPEDIDOS POR MESA TÉCNICA DE SEGURIDAD Y PROTECCIÓN))</t>
  </si>
  <si>
    <t>3.5.7</t>
  </si>
  <si>
    <t xml:space="preserve">REALIZAR LAS EVALUACIONES  Y REEVALUACIONES DE RIESGO DE ACUERDO A LAS ORDENES DE TRABAJO DEL PROGRAMA DE PREVENCIÓN Y PROTECCIÓN  </t>
  </si>
  <si>
    <t>ORDENES DE TRABAJO TRAMITADAS</t>
  </si>
  <si>
    <t>PORCENTAJE DE OPORTUNIDAD EN LAS EVALUACIONES Y REEVALUACIONES DE RIESGO DEL PROGRAMA DE PREVENCIÓN Y PROTECCIÓN</t>
  </si>
  <si>
    <t>((Nº TOTAL DE EVALUACIONES Y REVALUACIONES DE RIESGO REALIZADAS OPORTUNAMENTE)/(Nº TOTAL DE ORDENES DE TRABAJO A TRAMITAR EN EL PERIODO))*100</t>
  </si>
  <si>
    <t>BPIN  2019011000117 OPTIMIZACIÓN  DE LOS  PROCESOS  DE  EVALUACIÓN  DEL RIESGO E  IMPLEMENTACIÓN DE   MEDIDAS DE  LA UNIDAD NACIONAL DE  PROTECCIÓN</t>
  </si>
  <si>
    <t>REDUCIR EL TIEMPO QUE TOMA LA EVALUACIÓN DE RIESGO DEL PROGRAMA DE PREVENCIÓN Y PROTECCIÓN</t>
  </si>
  <si>
    <t>Nº DE DÍAS PROMEDIO QUE TOMA LA EVALUACIÓN DE RIESGO DEL PROGRAMA DE PREVENCIÓN Y PROTECCIÓN</t>
  </si>
  <si>
    <t>3.5.8</t>
  </si>
  <si>
    <t xml:space="preserve">IMPLEMENTACIÓN OPORTUNA DE LAS MEDIDAS DE PROTECCIÓN INDIVIDUAL A NARP </t>
  </si>
  <si>
    <t>PORCENTAJE DE PERSONAS IDENTIFICADAS CON RIESGO EXTRAORDINARIO, EXTREMO O INMINENTE PERTENECIENTES A LA POBLACÓN DE DIRIGENTES, REPRESENTANTES O MIEMBROS DE GRUPOS DE LA POBLACIÓN NEGRA, AFROCOLOMBIANA, RAIZAL O PALENQUERA - NARP CON MEDIDAS DE PROTECCION IMPLEMENTADAS</t>
  </si>
  <si>
    <t>((Nº DE PERSONAS PERTENECIENTES A LA POBLACIÓN DE DIRIGENTES O MIEMBROS DE GRUPOS DE LA POBLACIÓN NARP CON MEDIDAS DE PROTECCIÓN DE COMPETENCIA DE LA UNP IMPLEMENTADAS EN LOS TERMINOS ESTABLECIDOS)/(Nº DE PERSONAS PERTENECIENTES A LA POBLACIÓN DIRIGENTES, REPRESENTANTES O MIEMBROS DE GRUPOS DE LA POBLACIÓN NARP IDENTIFICADOS CON RIESGO EXTRAORDINARIO, EXTREMO O INMINENTE CON MEDIDAS DE PROTECCIÓN A IMPLEMENTAR EN EL TRIMESTRE POR LA UNP))*100</t>
  </si>
  <si>
    <t>IMPLEMENTACIÓN DE LAS MEDIDAS DE PROTECCIÓN A LAS MUJERES VICTIMAS</t>
  </si>
  <si>
    <t>PORCENTAJE DE IMPLEMENTACIÓN A MUJERES VICTIMAS</t>
  </si>
  <si>
    <t>((Nº DE MUJERES VICTIMAS CON MEDIDAS IMPLEMENTADAS EN TÉRMINOS DURANTE EL PERIODO)/(Nº DE MUJERES VICTIMAS PARA IMPLEMENTAR EN EL PERIODO))*100</t>
  </si>
  <si>
    <t>REALIZAR LAS IMPLEMENTACIONES DE LAS MEDIDAS DE PROTECCIÓN A LOS BENEFICIARIOS OPORTUNAMENTE</t>
  </si>
  <si>
    <t>IMPLEMENTACIÓN DE LAS MEDIDAS DE PROTECCION SEGÚN LOS TERMINOS.</t>
  </si>
  <si>
    <t>PORCENTAJE DE IMPLEMENTACIÓN DE LAS MEDIDAS DE PROTECCIÓN A LOS BENEFICIARIOS OPORTUNAMENTE</t>
  </si>
  <si>
    <t>((Nº DE BENEFICIARIOS CON MEDIDAS DE PROTECCIÓN IMPLEMENTADAS OPORTUNAMENTE EN TÉRMINOS DURANTE EL PERIODO)/(Nº TOTAL DE BENEFICIARIOS CON MEDIDAS DE PROTECCIÓN APROBADAS PARA IMPLEMENTAR EN EL PERIODO))*100</t>
  </si>
  <si>
    <t>3.6.7</t>
  </si>
  <si>
    <t>REALIZAR LAS EVALUACIONES DE RIESGO COLECTIVO A MUJERES</t>
  </si>
  <si>
    <t>EVALUACIONES DE RIESGO COLECTIVO REALIZADAS A MUJERES</t>
  </si>
  <si>
    <t xml:space="preserve"> PORCENTAJE DE EVALUACIONES DE RIESGO COLECTIVO A MUJERES  REALIZADAS</t>
  </si>
  <si>
    <t>((Nº DE EVALUACIONES DE RIESGO COLECTIVO A MUJERES REALIZADAS EN  EL PERIODO)/(Nº DE ORDENES DE TRABAJO PROGRAMADAS COLECTIVO A MUJERES EN EL PERIODO))*100</t>
  </si>
  <si>
    <t>BPIN  2018011001174 - IMPLEMENTACIÓN DE LA RUTA DE PROTECCIÓN COLECTIVA DE LA UNP A NIVEL NACIONAL</t>
  </si>
  <si>
    <t>3.7.6</t>
  </si>
  <si>
    <t>ELABORAR LAS ACTAS DE LAS SESIONES DE LA MESA TÉCNICA DE SEGURIDAD Y PROTECCIÓN</t>
  </si>
  <si>
    <t>ACTAS DE SESIÓN DE LA MESA TÉCNICA DE SEGURIDAD Y PROTECCIÓN</t>
  </si>
  <si>
    <t>PORCENTAJE DE ACTAS ELABORADAS</t>
  </si>
  <si>
    <t xml:space="preserve"> ((Nº DE ACTAS ELABORADAS EN SESIONES DE MESA TECNICA DE SEGURIDAD Y PROTECCIÓN)/(Nº DE SESIONES DE MESA TECNICA DE SEGURIDAD Y PROTECCIÓN PROGRAMADAS))*100</t>
  </si>
  <si>
    <t>PARTICIPAR EN LAS INSTANCIAS DE PREVENCIÓN Y PROTECCIÓN A NIVEL NACIONAL Y TERRITORIAL</t>
  </si>
  <si>
    <t>ACTAS DE REUNIÓN Y/O LISTADOS DE ASISTENCIA</t>
  </si>
  <si>
    <t>PORCENTAJE DE PARTICIPACIÓN EN INSTANCIAS DE PREVENCIÓN Y PROTECCIÓN</t>
  </si>
  <si>
    <t>((Nº DE REUNIONES DE INSTANCIAS DE PREVENCIÓN Y PROTECCIÓN ASISTIDAS)/(Nº REUNIONES DE INSTANCIAS DE PREVENCIÓN Y PROTECCIÓN VIABILIZADAS Y APROBADAS EN EL PERIODO))*100</t>
  </si>
  <si>
    <t>IMPLEMENTAR LAS MEDIDAS DE PROTECCIÓN ADOPTADAS POR ACTO ADMINISTRATIVO</t>
  </si>
  <si>
    <t>ACTAS DE IMPLEMENTACIÓN DE MEDIDAS</t>
  </si>
  <si>
    <t>PORCENTAJE DE OPORTUNIDAD EN LA IMPLEMENTACIÓN DE LAS MEDIDAS DE PROTECCIÓN</t>
  </si>
  <si>
    <t>((Nº DE BENEFICIARIOS CON MEDIDAS IMPLEMENTADAS OPORTUNAMENTE)/(Nº DE BENEFICIARIOS CON MEDIDAS ADOPTADAS MEDIANTE ACTO ADMINISTRATIVO))*100</t>
  </si>
  <si>
    <t>3.8.6</t>
  </si>
  <si>
    <t>REALIZAR TALLERES DE SOCIALIZACIÓN A BENEFICIARIOS DEL PROGRAMA DE LA MISIONALIDAD DE LA SESP</t>
  </si>
  <si>
    <t>TALLERES, ACTAS Y/O LISTADOS DE ASISTENCIA</t>
  </si>
  <si>
    <t>PORCENTAJE DE TALLERES DE SOCIALIZACIÓN REALIZADOS  A LOS BENEFICIARIOS DEL PPESP</t>
  </si>
  <si>
    <t>((Nº DE TALLERES DE SOCIALIZACIÓN REALIZADOS)/(Nº DE TALLERES DE SOCIALIZACIÓN PROGRAMADOS))*100</t>
  </si>
  <si>
    <t>CONSTRUIR Y EJECUTAR EL PLAN DE AUTOPROTECCIÓN DEL PPESP</t>
  </si>
  <si>
    <t>PLAN DE AUTOPROTECCIÓN DEL PPESP</t>
  </si>
  <si>
    <t>PORCENTAJE DE AVANCE DEL CRONOGRAMA PARA LA CONSTRUCCIÓN Y EJECUCIÓN DEL PLAN DE AUTOPROTECCIÓN DEL PPESP</t>
  </si>
  <si>
    <t>((Nº DE ACTIVIDADES EJECUTADAS SEGÚN CRONOGRAMA PARA LA CONSTRUCCIÓN Y EJECUCIÓN DEL PLAN DE AUTOPROTECCIÓN DEL PPESP)/(Nº DE ACTIVIDADES PROGRAMADAS EN EL CRONOGRAMA PARA LA CONSTRUCCIÓN Y EJECUCIÓN DEL PLAN DE AUTOPROTECCIÓN DEL PPESP))*100</t>
  </si>
  <si>
    <t>ELABORAR EL PLAN DE ACCIÓN PARA EL FORTALACIMIENTO DE LA GESTIÓN  Y ADMINISTRACIÓN DEL PPESP ( INTEGRARÁ LA IDENTIFICACIÓN DE NECESIDADES, RESTRUCTURACIÓN DE GRUPOS INTERNOS DE TRABAJO, INSTANCIAS DE COORDINACIÓN INSTITUCIONAL, ETC)</t>
  </si>
  <si>
    <t>DOCUMENTO DE PLAN ELABORADO</t>
  </si>
  <si>
    <t>Nº DE DOCUMENTOS DEL PLAN DE ACCIÓN PARA EL FORTALACIMIENTO DE LA GESTIÓN Y ADMINISTRACIÓN DEL PPESP</t>
  </si>
  <si>
    <t>Nº DE DOCUMENTOS DEL PLAN DE ACCIÓN PARA EL FORTALECIMIENTO DE LA GESTIÓN Y ADMINISTRACIÓN DEL PPESP</t>
  </si>
  <si>
    <t>3.9.6</t>
  </si>
  <si>
    <t>REALIZAR SEGUIMIENTO AL AVANCE FRENTE A LA IMPLEMENTACIÓN DEL PPESP A NIVEL TERRITORIAL</t>
  </si>
  <si>
    <t>DOCUMENTO DE INFORME DE SEGUIMIENTO ELABORADO</t>
  </si>
  <si>
    <t>Nº DE INFORMES DE SEGUIMIENTO AL  AVANCE FRENTE A LA IMPLEMENTACIÓN DEL PPESP A NIVEL TERRITORIAL</t>
  </si>
  <si>
    <t>Nº DE INFORMES DE SEGUIMIENTO AL AVANCE FRENTE A LA IMPLEMENTACIÓN DEL PPESP A NIVEL TERRITORIAL</t>
  </si>
  <si>
    <t>4.10.3</t>
  </si>
  <si>
    <t>APOYAR EL DESARROLLO DE LA ESTRATEGIA DE FORTALECIMIENTO DE CONOCIMIENTOS DE LOS SERVIDORES DE LA ENTIDAD EN ENFOQUE DIFERENCIAL A TRAVÉS DE LA CREACIÓN Y  DIVULGACIÓN DE PRODUCTOS COMUNICATIVOS AUDIOVISUALES Y/O DIGITALES A TRAVÉS DE LOS CANALES DE COMUNICACIÓN INTERNA DE LA ENTIDAD</t>
  </si>
  <si>
    <t>PRODUCTOS COMUNICATIVOS AUDIOVISUALES Y/O  DIGITALES DIVULGADOS</t>
  </si>
  <si>
    <t>Nº DE CAMPAÑAS DE FORTALECIMIENTO DE ENFOQUES DIFRENCIALES A LOS SERVIDORES DE LA ENTIDAD</t>
  </si>
  <si>
    <t>Nº DE CAMPAÑAS DE FORTALECIMIENTO DE ENFOQE DIFRENCIAL A LOS SERVIDORES DE LA ENTIDAD</t>
  </si>
  <si>
    <t>4.11.7</t>
  </si>
  <si>
    <t>REALIZAR LAS EVALUACIONES DE RIESGO A LOS COLECTIVOS ÉTNICOS</t>
  </si>
  <si>
    <t xml:space="preserve">EVALUACIONES DE RIESGO COLECTIVO PARA GRUPOS ÉTNICOS REALIZADAS </t>
  </si>
  <si>
    <t xml:space="preserve"> PORCENTAJE DE EVALUACIONES DE RIESGO COLECTIVO ÉTNICO REALIZADAS</t>
  </si>
  <si>
    <t>((Nº DE EVALUACIONES DE RIESGO COLECTIVO ÉTNICO REALIZADAS EN  EL PERIODO)/(Nº DE ORDENES DE TRABAJO PROGRAMADAS DE COLECTIVOS ÉTNICOS EN EL PERIODO))*100</t>
  </si>
  <si>
    <t>4.11.8</t>
  </si>
  <si>
    <t>IMPLEMENTACIÓN OPORTUNA DE LAS MEDIDAS DE PROTECCIÓN COLECTIVA A NARP (RUTA DE PROTECCIÓN COLECTIVA)</t>
  </si>
  <si>
    <t>PORCENTAJE DE COLECTIVOS IDENTIFICADOS CON RIESGO EXTRAORDINARIO, EXTREMO O INMINENTE PERTENECIENTES A LA POBLACIÓN DE DIRIGENTES, REPRESENTANTES O MIEMBROS DE GRUPOS DE LA POBLACIÓN NEGRA, AFROCOLOMBIANA, RAIZAL O PALENQUERA-NARP CON MEDIDAS DE PROTECCIÓN IMPLEMENTADAS.</t>
  </si>
  <si>
    <t>((Nº DE COLECTIVOS PERTENECIENTES A LA POBLACIÓN DE DIRIGENTES, REPRESENTANTES O MIEMBROS DE GRUPOS DE LA POBLACIÓN NARP CON MEDIDAS DE PROTECCIÓN DE COMPETENCIAS DE LA UNP IMPLEMENTADAS DENTRO DE LOS TÉRMINOS ESTABLECIDOS)/(Nº DE COLECTIVOS PERTENECIENTES A LA POBLACIÓN DE DIRIGENTES, REPRESENTANTES O MIEMBROS DE GRUPOS DE LA POBLACIÓN NARP IDENTIFICADOS CON RIESGO EXTRAORDINARIO, EXTREMO O INMINENTE CON MEDIDAS DE PROTECCIÓN A IMPLEMENTAR POR LA UNP))*100</t>
  </si>
  <si>
    <t>IMPLEMENTACIÓN OPORTUNA DE LAS MEDIDAS DE PROTECCIÓN COLECTIVA (RUTA DE PROTECCIÓN COLECTIVA)</t>
  </si>
  <si>
    <t>PORCENTAJE DE IMPLEMENTACIÓN DE LAS MEDIDAS DE PROTECCIÓN COLECTIVA(RUTA DE PROTECCIÓN COLECTIVA)</t>
  </si>
  <si>
    <t>((Nº DE RESOLUCIONES IMPLEMENTADAS DE COLECTIVOS DE LAS VIGENCIAS 2013 AL 2020)/(Nº DE RESOLUCIONES COLECTIVAS APROBADAS SEGÚN ACTO ADMINISTRATIVO DE LAS VIGENCIAS 2013 AL 2020))*100</t>
  </si>
  <si>
    <t>FOMENTAR  EL DESARROLLO DE LOS CURSOS DE AUTOPROTECCIÓN Y AUTOSEGURIDAD A LOS BENEFICIARIOS COLECTIVOS CON ENFOQUE ÉTNICO</t>
  </si>
  <si>
    <t>CURSOS DE AUTOPROTECCIÓN Y AUTOSEGURIDAD A LOS BENEFICIARIOS COLECTIVOS CON ENFOQUE ÉTNICO</t>
  </si>
  <si>
    <t>PORCENTAJE DE CURSOS DE AUTOPROTECCIÓN  REALIZADOS A COLECTIVOS CON ENFOQUE ÉTNICO</t>
  </si>
  <si>
    <t>((Nº. TOTAL DE CURSOS DE AUTOPROTECCIÓN  REALIZADOS A COLECTIVOS CON ENFOQUE ÉTNICO)/(Nº TOTAL DE  CURSOS A COLECTIVOS CON ENFOQUE ÉTNICO APROBADOS SEGÚN ACTO ADMINISTRATIVO))*100</t>
  </si>
  <si>
    <t>4.12.3</t>
  </si>
  <si>
    <t>REALIZAR CAMPAÑA DE SENSIBILIZACIÓN A LA CIUDADANÍA EN GENERAL SOBRE LA RUTA DE PROTECCIÓN COLECTIVA DE LOS DERECHOS A LA VIDA, LA LIBERTAD, LA INTEGRIDAD Y LA SEGURIDAD PERSONAL DE GRUPOS Y COMUNIDADES, A TRAVÉS DE CANALES INSTITUCIONALES</t>
  </si>
  <si>
    <t>CAMPAÑAS DE SENSIBILIZACIÓN A LA CIUDADANÍA EN GENERAL SOBRE LA RUTA DE PROTECCIÓN COLECTIVA</t>
  </si>
  <si>
    <t xml:space="preserve">PORCENTAJE DE PRODUCTOS COMUNICATIVOS DIVULGADOS DENTRO DE LA CAMPAÑA </t>
  </si>
  <si>
    <t>((Nº DE PRODUCTOS COMUNICATIVOS DIVULGADOS)/(Nº DE PRODUCTOS COMUNICATIVOS PROGRAMADOS))*100</t>
  </si>
  <si>
    <t>4.12.8</t>
  </si>
  <si>
    <t>FOMENTAR EL DESARROLLO DE LOS CURSOS DE AUTOPROTECCIÓN Y AUTOSEGURIDAD A MUJERES LIDERESAS Y DEFENSORAS</t>
  </si>
  <si>
    <t>CURSOS DE AUTOPROTECCIÓN Y AUTOSEGURIDAD A MUJERES LIDERESAS Y DEFENSORAS REALIZADOS</t>
  </si>
  <si>
    <t>PORCENTAJE DE EJECUCIÓN DE LOS CURSOS DE AUTOPROTECCIÓN Y AUTOSEGURIDAD A MUJERES LIDERESAS Y DEFENSORAS</t>
  </si>
  <si>
    <r>
      <t>((Nº. TOTAL DE CURSOS DE AUTOPROTECCIÓN Y/O AUTOSEGURIDAD REALIZADOS A MUJERES LIDERESAS Y DEFENSORAS)/(Nº TOTAL DE  CURSOS DE AUTOPROTECCIÓN Y/O AUTOSEGURIDAD APROBADOS</t>
    </r>
    <r>
      <rPr>
        <sz val="12"/>
        <color rgb="FFFF0000"/>
        <rFont val="Myanmar Text"/>
        <family val="2"/>
      </rPr>
      <t xml:space="preserve"> </t>
    </r>
    <r>
      <rPr>
        <sz val="12"/>
        <rFont val="Myanmar Text"/>
        <family val="2"/>
      </rPr>
      <t>A</t>
    </r>
    <r>
      <rPr>
        <sz val="12"/>
        <color rgb="FFFF0000"/>
        <rFont val="Myanmar Text"/>
        <family val="2"/>
      </rPr>
      <t xml:space="preserve"> </t>
    </r>
    <r>
      <rPr>
        <sz val="12"/>
        <color theme="1"/>
        <rFont val="Myanmar Text"/>
        <family val="2"/>
      </rPr>
      <t> MUJERES LIDERESAS Y DEFENSORAS SEGÚN ACTO ADMINISTRATIVO))*100</t>
    </r>
  </si>
  <si>
    <t>4.13.8</t>
  </si>
  <si>
    <t xml:space="preserve">FOMENTAR EL DESARROLLO DE LOS CURSOS DE AUTOPROTECCIÓN Y AUTOSEGURIDAD A LOS BENEFICIARIOS COLECTIVOS </t>
  </si>
  <si>
    <t>CURSOS DE AUTOPROTECCIÓN Y AUTOSEGURIDAD A LOS BENEFICIARIOS COLECTIVOS REALIZADOS</t>
  </si>
  <si>
    <t>PORCENTAJE DE EJECUCION DE LOS CURSOS DE AUTOPROTECCIÓN Y AUTOSEGURIDAD A COLECTIVOS</t>
  </si>
  <si>
    <r>
      <t>((Nº. TOTAL DE CURSOS DE AUTOPROTECCIÓN Y/O AUTOSEGURIDAD REALIZADOS A COLECTIVOS)/(Nº. TOTAL DE  CURSOS A COLECTIVOS APROBADOS</t>
    </r>
    <r>
      <rPr>
        <sz val="12"/>
        <color rgb="FFFF0000"/>
        <rFont val="Myanmar Text"/>
        <family val="2"/>
      </rPr>
      <t xml:space="preserve"> </t>
    </r>
    <r>
      <rPr>
        <sz val="12"/>
        <color theme="1"/>
        <rFont val="Myanmar Text"/>
        <family val="2"/>
      </rPr>
      <t>SEGÚN ACTO ADMINISTRATIVO))*100</t>
    </r>
  </si>
  <si>
    <t>4.13.7</t>
  </si>
  <si>
    <t>EVALUACIONES DE RIESGO REALIZADAS A LOS COLECTIVOS</t>
  </si>
  <si>
    <t xml:space="preserve"> PORCENTAJE DE EVALUACIONES DE RIESGO COLECTIVO REALIZADAS</t>
  </si>
  <si>
    <t>((Nº DE EVALUACIONES DE RIESGO COLECTIVO REALIZADAS EN  EL PERIODO/Nº DE ORDENES DE TRABAJO PROGRAMADAS A COLECTIVOS EN EL PERIODO))*100</t>
  </si>
  <si>
    <t>4.13.10</t>
  </si>
  <si>
    <t>GESTIONAR  LA TRADUCCIÓN A LENGUA NATIVA ÉTNICA DE LA INFORMACIÓN ATINENTE A REQUISITOS PARA SOLICITUD DE PROTECCIÓN</t>
  </si>
  <si>
    <t>INFORMACIÓN TRADUCIDA Y PUBLICADA EN LENGUA NATIVA ÉTNICA EN LA PAGINA WEB</t>
  </si>
  <si>
    <t>Nº DE DOCUMENTOS TRADUCIDOS A LENGUAS NATIVAS ÉTNICAS PUBLICADO</t>
  </si>
  <si>
    <t xml:space="preserve">Nº DE DOCUMENTOS TRADUCIDOS A  LENGUAS NATIVAS ÉTINICAS PUBLICADOS EN PAGINA WEB </t>
  </si>
  <si>
    <t>GESTIÓN DEL SERVICIO AL CIUDADANO</t>
  </si>
  <si>
    <t>PLAN ANTICORRUPCIÓN Y ATENCIÓN AL CIUDADANO</t>
  </si>
  <si>
    <t>5.14.5</t>
  </si>
  <si>
    <t>REALIZAR LAS ACTIVIDADES PARA LA IMPLEMENTACIÓN DE LAS NORMAS INTERNACIONALES ISO 9001:2015, 14001:2015, 27001:2013 Y 45001:2018</t>
  </si>
  <si>
    <t>PLAN EJECUTADO PARA LA ADOPCIÓN DE NORMAS</t>
  </si>
  <si>
    <t>PORCENTAJE DE AVANCE EN LA  EJECUCIÓN DEL PLAN DE IMPLEMENTACIÓN DE  LAS NORMAS INTERNACIONALES ISO 9001:2015, 14001:2015, 27001:2013 Y 45001:2018</t>
  </si>
  <si>
    <t>((Nº DE ACTIVIDADES REALIZADAS)/(Nº DE ACTIVIDADES PROGRAMADAS))*100</t>
  </si>
  <si>
    <t>AVANZAR EN EL CUMPLIMIENTO DE LOS OBJETIVOS DE MIPG-SIG</t>
  </si>
  <si>
    <t>INFORME DE CUMPLIMIENTO DE LOS OBJETIVOS QUE COMPONEN MIPG-SIC</t>
  </si>
  <si>
    <t>PORCENTAJE DE CUMPLIMIENTO DE LOS OBJETIVOS DE LOS SISTEMAS QUE COMPONEN MIPG-SIG</t>
  </si>
  <si>
    <t>((Nº DE OBJETIVOS CUMPLIDOS EN EL PERÍODO)/(TOTAL DE OBJETIVOS PROGRAMADOS DE LOS SISTEMAS QUE COMPONEN MIPG-SIG))*100</t>
  </si>
  <si>
    <t>5.15.1</t>
  </si>
  <si>
    <t>PRESENTAR PROYECTOS A COOPERANTES INTERNACIONALES</t>
  </si>
  <si>
    <t>5.16.3</t>
  </si>
  <si>
    <t>FORMULAR EL PLAN DE COMUNICACIONES DE LA ENTIDAD</t>
  </si>
  <si>
    <t>DOCUMENTO CON EL PLAN DE COMUNICACIONES APROBADO</t>
  </si>
  <si>
    <t>Nº DE DOCUMENTOS DEL PLAN DE COMUNICACIONES FORMULADOS Y SOCIALIZADOS</t>
  </si>
  <si>
    <t xml:space="preserve">REALIZAR EL MONITOREO  AL CUMPLIMIENTO DE LA POLÍTICA DE TRANSPARENCIA Y ACCESO A LA INFORMACIÓN PUBLICA  </t>
  </si>
  <si>
    <t xml:space="preserve">INFORMES DE SEGUIMIENTO AL CUMPLIMIENTO DE LA POLÍTICA DE TRANSPARENCIA Y ACCESO A LA INFORMACIÓN PUBLICA  </t>
  </si>
  <si>
    <t>Nº DE INFORMES DE SEGUIMIENTO DE CUMPLIMIENTO A LA POLÍTICA DE TRANSPARENCIA Y ACCESO A LA INFORMACIÓN PUBLICA</t>
  </si>
  <si>
    <t>Nº DE INFORMES DE  SEGUIMIENTO DE CUMPLIMIENTO DE LA POLÍTICA DE TRANSPARENCIA Y ACCESO A LA INFORMACIÓN PUBLICA</t>
  </si>
  <si>
    <t>5.17.1</t>
  </si>
  <si>
    <t xml:space="preserve">RESPUESTAS DADAS OPORTUNAMENTE </t>
  </si>
  <si>
    <t>N/A</t>
  </si>
  <si>
    <t>5.17.7</t>
  </si>
  <si>
    <t>TRAMITAR LAS SOLICITUDES DE PROTECCIÓN ALLEGADAS A LA UNP DEL PROGRAMA DE PREVENCIÓN Y PROTECCIÓN OPORTUNAMENTE</t>
  </si>
  <si>
    <t>SOLICITUDES DE PROTECCIÓN TRAMITADAS</t>
  </si>
  <si>
    <t>PORCENTAJE DE OPORTUNIDAD EN EL TRÁMITE DE LAS SOLICITUDES DE PROTECCIÓN QUE CUMPLEN CON LOS REQUISITOS</t>
  </si>
  <si>
    <t>((Nº DE SOLICITUDES DE PROTECCIÓN TRAMITADAS  DENTRO DE LOS TIEMPOS ESTABLECIDOS)/(Nº TOTAL DE SOLICITUDES ALLEGADAS QUE CUMPLEN CON LOS REQUISITOS))*100</t>
  </si>
  <si>
    <t>SOLICITUDES DE PROTECCIÓN TRAMITADAS POR INMINENCIA DEL RIESGO</t>
  </si>
  <si>
    <t>PORCENTAJE DE OPORTUNIDAD EN LA GESTIÓN DEL TRÁMITE DE EMERGENCIA</t>
  </si>
  <si>
    <t>((Nº DE ACTOS ADMINISTRATIVOS DE ADOPCIÓN DE TRÁMITE DE EMERGENCIA TRAMITADAS)/(Nº TOTAL DE SOLICITUDES POR TRÁMITE DE EMERGENCIA ALLEGADAS))*100</t>
  </si>
  <si>
    <t>5.17.10</t>
  </si>
  <si>
    <t xml:space="preserve">REALIZAR SEGUIMIENTO A LAS PQRSD ELEVADAS A LA ENTIDAD </t>
  </si>
  <si>
    <t xml:space="preserve">INFORMES DE SEGUIMIENTO </t>
  </si>
  <si>
    <t xml:space="preserve">PORCENTAJE DE OPORTUNIDAD EN LA RESPUESTA A PQRSD </t>
  </si>
  <si>
    <t>((Nº TOTAL DE RESPUESTAS A PQRSD PROYECTADAS EN TÉRMINOS DE LEY DURANTE EL PERIODO)/(Nº TOTAL DE PQRSD ELEVADAS ANTE LA ENTIDAD DURANTE EL PERIODO))*100</t>
  </si>
  <si>
    <t>REALIZAR CAMPAÑA DE APROPIACIÓN DEL REGLAMENTO DE TRÁMITE INTERNO DE PQRSD</t>
  </si>
  <si>
    <t>CAMPAÑA DE APROPIACIÓN DEL REGLAMENTO DE TRÁMITE INTERNO DE PQRSD REALIZADA</t>
  </si>
  <si>
    <t>PORCENTAJE DE ACTIVIDADES DE LA CAMPAÑA REALIZADA</t>
  </si>
  <si>
    <t>((Nº DE ACTIVIDADES DE LA CAMPAÑA REALIZADA)/(Nº DE ACTIVIDADES DE LA CAMPAÑA PROGRAMADAS))*100</t>
  </si>
  <si>
    <t>CUATRIMESTRAL</t>
  </si>
  <si>
    <t>5.18.13</t>
  </si>
  <si>
    <t>DAR TRÁMITE OPORTUNO A LOS RECURSOS DE REPOSICIÓN PRESENTADOS CONTRA LAS DECISIONES ADOPTADAS POR EL DIRECTOR DE LA UNP</t>
  </si>
  <si>
    <t>INFORME DE GESTIÓN DE RECURSOS DE REPOSICIÓN.</t>
  </si>
  <si>
    <t>PORCENTAJE DE RECURSOS DE REPOSICIÓN RESPONDIDOS EN TÉRMINOS</t>
  </si>
  <si>
    <t>((Nº DE RECURSOS DE REPOSICIÓN GESTIONADOS EN TÉRMINOS)/(Nº DE RECURSOS DE REPOSICIÓN ALLEGADOS A LA UNP))*100</t>
  </si>
  <si>
    <t>GESTIÓN JURIDICA</t>
  </si>
  <si>
    <t>5.19.15</t>
  </si>
  <si>
    <t>DOTAR A LA UNP DE CUATRO (4) INSTRUMENTOS DE GESTIÓN DOCUMENTAL ACTUALIZADOS (INVENTARIO DOCUMENTAL/TABLAS DE RETENCIÓN DOCUMENTAL/CUADROS DE CLASIFICACIÓN DOCUMENTAL/TABLAS DE VALORACIÓN DOCUMENTAL)</t>
  </si>
  <si>
    <t>CUATRO INSTRUMENTOS DE GESTION DOCUMENTAL ACTUALIZADOS</t>
  </si>
  <si>
    <t>PORCENTAJE DE AVANCE DE ELABORACIÓN INSTRUMENTOS DE GESTIÓN DOCUMENTAL.</t>
  </si>
  <si>
    <t xml:space="preserve">((Nº DE INSTRUMENTOS DE GESTIÓN DOCUMENTAL ELABORADOS)/(Nº DE INSTRUMENTOS DE GESTIÓN DOCUMENTAL PROGRAMADOS))*100 </t>
  </si>
  <si>
    <t>GESTIÓN DOCUMENTAL</t>
  </si>
  <si>
    <t xml:space="preserve">PLAN INSTITUCIONAL DE ARCHIVOS </t>
  </si>
  <si>
    <t>BPIN   2019011000116 - MODERNIZACIÓN DEL SISTEMA DE GESTIÓN DOCUMENTAL EN LA UNP  A  NIVEL NACIONAL</t>
  </si>
  <si>
    <t>DOTAR A LA UNP DE LOS INSTRUMENTOS DE GESTIÓN DE LA INFORMACIÓN LEY 1712/2014 (REGISTROS DE ACTIVOS DE INFORMACIÓN, ÍNDICE DE INFORMACIÓN CLASIFICADA Y RESERVADA, ESQUEMA DE PUBLICACIÓN DE LA INFORMACIÓN)</t>
  </si>
  <si>
    <t xml:space="preserve">TRES INSTRUMENTOS DE GESTIÓN DE LA INFORMACIÓN </t>
  </si>
  <si>
    <t>Nº DE INSTRUMENTOS DE GESTIÓN DE LA INFORMACIÓN ELABORADOS Y PUBLICADOS</t>
  </si>
  <si>
    <t>Nº DE INSTRUMENTOS DE GESTIÓN DE LA INFORMACIÓN ELABORADOS Y PUBLICADOS.</t>
  </si>
  <si>
    <t>PLAN INSTITUCIONAL DE ARCHIVOS 
PLAN DE ANTICORRUPCIÓN Y ATENCIÓN AL CIUDADANO</t>
  </si>
  <si>
    <t>IMPLEMENTACIÓN DEL PROGRAMA DE GESTIÓN DOCUMENTAL.</t>
  </si>
  <si>
    <t>PROGRAMA DE GESTIÓN DOCUMENTAL IMPLEMENTADO</t>
  </si>
  <si>
    <t>Nº DE INFORMES DE AVANCE DE IMPLEMENTACIÓN DEL PROGRAMA DE GESTIÓN DOCUMENTAL.</t>
  </si>
  <si>
    <t>Nº DE INFORMES DE AVANCE  E IMPLEMENTACIÓN DEL PROGRAMA DE GESTIÓN DOCUMENTAL.</t>
  </si>
  <si>
    <t>AUTOMATIZAR DOS (2) PROCESOS PRIORIZADOS POR LA ENTIDAD (META PROYECTO DE INVERSIÓN)</t>
  </si>
  <si>
    <t>DOS PROCESOS PRIORIZADOS Y AUTOMATIZADOS EN LA ENTIDAD</t>
  </si>
  <si>
    <t>Nº DE INFORMES DE SEGUIMIENTO DEL AVANCE DE AUTOMATIZACIÓN DE LOS PROCESOS</t>
  </si>
  <si>
    <t>Nº DE INFORMES DE SEGUIMIENTO DEL AVANCE AUTOMATIZACIÓN DE LOS PROCESOS</t>
  </si>
  <si>
    <t>5.20.4</t>
  </si>
  <si>
    <t>ACTUALIZAR EL MANUAL DE FUNCIONES </t>
  </si>
  <si>
    <t>MANUAL DE FUNCIONES ACTUALIZADO Y APROBADO</t>
  </si>
  <si>
    <t>Nº DE MANUALES DE FUNCIONES ACTUALIZADO</t>
  </si>
  <si>
    <t>Nº DE MANUALES DE FUNCIONES ACTUALIZADOS</t>
  </si>
  <si>
    <t>GESTIÓN ESTRATÉGICA DEL TALENTO HUMANO</t>
  </si>
  <si>
    <t>PLAN ESTRATÉGICO DEL TALENTO HUMANO</t>
  </si>
  <si>
    <t xml:space="preserve">REALIZAR SEGUIMIENTO A LA APLICACIÓN DE LA EVALUACIÓN DE DESEMPEÑO LABORAL </t>
  </si>
  <si>
    <t>INFORME DE SEGUIMIENTO A LA APLICACIÓN DE LA EVALUACIÓN DE DESEMPEÑO LABORAL</t>
  </si>
  <si>
    <t>PORCENTAJE DE FUNCIONARIOS CON EVALUACIÓN DE DESEMPEÑO APLICADA</t>
  </si>
  <si>
    <t>((Nº DE FUNCIONARIOS EVALUADOS)/(Nº TOTAL DE FUNCIONARIOS A EVALUAR))*100</t>
  </si>
  <si>
    <t>5.20.16</t>
  </si>
  <si>
    <t>PROMOVEER EL USO Y APROPIACIÓN DIGITAL PARA LOS USUARIOS INTERNOS DE LA UNP.</t>
  </si>
  <si>
    <t>CRONOGRAMA EJECUTADO</t>
  </si>
  <si>
    <t>PORCENTAJE DE AVANCE DE EJECUCIÓN DEL PLAN DE  EL USO Y APROPIACIÓN DIGITAL</t>
  </si>
  <si>
    <t>((Nº DE ACTIVIDADADES DEL PLAN DE  EL USO Y APROPIACIÓN DIGITAL REALIZADAS EN EL PERIODO)/(Nº TOTAL DE ACTIVIDADES DEL PLAN DE  EL USO Y APROPIACIÓN DIGITAL PROGRAMADAS EN EL PERIODO))*100</t>
  </si>
  <si>
    <t>GESTIÓN TECNOLÓGICA</t>
  </si>
  <si>
    <t xml:space="preserve">PLAN ESTRATÉGICO DE TECNOLOGIAS DE LA INFORMACIÓN </t>
  </si>
  <si>
    <t>5.21.16</t>
  </si>
  <si>
    <t>FORTALECER LA PLATAFORMA DE INFRAESTRUCTURA DE SERVICIOS TECNOLÓGICOS PARA OPTIMIZAR EL DESEMPEÑO, SEGURIDAD Y CONTINUIDAD DE LA INFORMACIÓN Y LOS PROCESOS DE LA UNP</t>
  </si>
  <si>
    <t>INFORME DE ESTADO Y GESTIÓN CON EL REPORTE SOBRE EL COMPORTAMIENTO DE LA DISPONIBILIDAD DE LOS SERVICIOS TECNOLÓGICOS.</t>
  </si>
  <si>
    <t>Nº DE INFORMES DE AVANCE DEL FORTALECIMIENTO DE LA PLATAFORMA TI</t>
  </si>
  <si>
    <t>Nº DE INFORMES DE AVANCE  AL CRONOGRAMA PARA FORTALECER LA PLATAFORMA DE INFRAESTRUCTURA DE SERVICIOS TECNOLÓGICOS PARA OPTIMIZAR EL DESEMPEÑO, SEGURIDAD Y CONTINUIDAD DE LA INFORMACIÓN Y LOS PROCESOS DE LA UNP</t>
  </si>
  <si>
    <t>VIABILIZAR TÉCNICAMENTE CONVENIOS INTERINSTITUCIONALES PARA MEJORAR LA GESTIÓN Y/O ACCEDER A LA INFORMACIÓN DE ENTIDADES TERRITORIALES, NACIONALES Y/O LOCALES.</t>
  </si>
  <si>
    <t>DOCUMENTACIÓN TÉCNICA DE LOS CONVENIOS INTERINSTITUCIONALES VIABILIZADOS.</t>
  </si>
  <si>
    <t>Nº DE CONVENIOS INTERINSTITUCIONALES VIABILIZADOS TÉCNICAMENTE</t>
  </si>
  <si>
    <t>5.22.4</t>
  </si>
  <si>
    <t xml:space="preserve">ACTUALIZAR EL ESTUDIO DE CARGAS DE TRABAJO POR EMPLEO Y POR DEPENDENCIAS </t>
  </si>
  <si>
    <t>DOCUMENTO DE CARGAS DE TRABAJO ACTUALIZADO</t>
  </si>
  <si>
    <t>Nº DE DOCUMENTOS DE CARGAS DE TRABAJO</t>
  </si>
  <si>
    <t>REALIZAR EL ESTUDIO TÉCNICO PARA EL  REDISEÑO INSTITUCIONAL, DE ACUERDO CON LOS LINEAMIENTOS DE FUNCIÓN PÚBLICA</t>
  </si>
  <si>
    <t>ESTUDIO TÉCNICO REALIZADO</t>
  </si>
  <si>
    <t xml:space="preserve"> Nº DE ESTUDIOS TÉCNICOS REALIZADO</t>
  </si>
  <si>
    <t xml:space="preserve"> Nº DE ESTUDIOS TÉCNICOS DE REDISEÑO INSTITUCIONAL</t>
  </si>
  <si>
    <t>5.22.5</t>
  </si>
  <si>
    <t xml:space="preserve">EJECUTAR LAS ACTIVIDADES INCLUIDAS EN LOS PLANES DE MEJORAMIENTO DEL SIG </t>
  </si>
  <si>
    <t>PORCENTAJE DE EJECUCIÓN PLANES DE MEJORAMIENTO POR PROCESO</t>
  </si>
  <si>
    <t>((Nº DE ACTIVIDADES DEL PLAN DE MEJORAMIENTO EJECUTADAS EN EL PERIODO)/(Nº DE ACTIVIDADES DEL PLAN DE MEJORAMIENTO PROGRAMADAS EN EL PERIODO))*100</t>
  </si>
  <si>
    <t>5.22.11</t>
  </si>
  <si>
    <t>EJECUCIÓN DEL PLAN PARA LA PROVISIÓN DE LOS RECURSOS FÍSICOS.</t>
  </si>
  <si>
    <t>PORCENTAJE DE AVANCE DEL PLAN PARA LA PROVISIÓN DE LOS RECURSOS FÍSICOS.</t>
  </si>
  <si>
    <t>((Nº  DE ACTIVIDADES EJECUTADAS)/(Nº DE ACTIVIDADES PROGRAMADAS EN EL PLAN PARA LA PROVISIÓN DE LOS RECURSOS FÍSICOS))*100</t>
  </si>
  <si>
    <t>GESTIÓN ADMINISTRATIVA</t>
  </si>
  <si>
    <t>5.22.13</t>
  </si>
  <si>
    <t>ADELANTAR LAS ACTIVIDADES TENDIENTES A LA DEFENSA JUDICIAL Y EXTRAJUDICIAL</t>
  </si>
  <si>
    <t>ACTUACIONES JUDICIALES Y/O EXTRAJUDICIALES ATENDIDAS</t>
  </si>
  <si>
    <t>PORCENTAJE DE ATENCIÓN DE PROCESOS JUDICIALES</t>
  </si>
  <si>
    <t>((Nº DE PROCESOS ATENTIDOS)/(Nº DE PROCESOS EN LOS QUE ES VINCULADA LA UNP))*100</t>
  </si>
  <si>
    <t>5.22.14</t>
  </si>
  <si>
    <t>IMPULSAR LA ACTUACIÓN DISCIPLINARIA DENTRO DE LOS TÉRMINOS LEGALES.</t>
  </si>
  <si>
    <t>ACTUACIONES DISCIPLINARIAS SUSTANCIADAS</t>
  </si>
  <si>
    <t>PORCENTAJE DE PROCESOS DISCIPLINARIOS SUSTANCIADOS.</t>
  </si>
  <si>
    <t>((Nº DE PROCESOS DISCIPLINARIOS SUSTANCIADOS)/(Nº DE PROCESOS DISCIPLINARIOS ACTIVOS))*100</t>
  </si>
  <si>
    <t>GESTIÓN CONTROL INTERNO DISCIPLINARIO</t>
  </si>
  <si>
    <t>EVALUACIÓN DE QUEJAS, DENUNCIAS E INFORMES CON PRESUNTA INCIDENCIA DISCIPLINARIA.</t>
  </si>
  <si>
    <t>TRAMITE DE QUEJAS, DENUNCIAS E INFORMES EVALUADOS</t>
  </si>
  <si>
    <t>PORCENTAJE DE QUEJAS , DENUNCIAS E INFORMES EVALUADOS.</t>
  </si>
  <si>
    <t>((Nº DE QUEJAS, DENUNCIAS E INFORMES EVALUADOS)/(Nº DE QUEJAS, DENUNCIAS E INFORMES REMITIDOS A CONTROL INTERNO DISCIPLINARIO))*100</t>
  </si>
  <si>
    <t>5.23.2</t>
  </si>
  <si>
    <t>ELABORAR EL ANTEPROYECTO DE PRESUPUESTO DE LA ENTIDAD</t>
  </si>
  <si>
    <t xml:space="preserve">ANTEPROYECTO PRESENTADO ANTE MINISTERIO DE HACIENDA Y CRÉDITO PÚBLICO </t>
  </si>
  <si>
    <t xml:space="preserve">Nº DE ANTEPROYECTOS PRESENTADOS ANTE MINISTERIO DE HACIENDA Y CRÉDITO PÚBLICO </t>
  </si>
  <si>
    <t>Nº DE ANTEPROYECTOS DE PRESUPUESTO PRESENTADOS AL MINISTERIO DE HACIENDA Y CRÉDITO PUBLICO</t>
  </si>
  <si>
    <t>PLAN ANUAL DE ADQUISICIONES</t>
  </si>
  <si>
    <t>REALIZAR Y REPORTAR LOS SEGUIMIENTO DE LA EJECUCIÓN PRESUPUESTAL.</t>
  </si>
  <si>
    <t>INFORME DE SEGUIMIENTO A LA EJECUCIÓN PRESUPUESTAL</t>
  </si>
  <si>
    <t>Nº DE INFORMES DE LA EJECUCIÓN PRESUPUESTAL PRESENTADOS</t>
  </si>
  <si>
    <t>REALIZAR SEGUIMIENTO A LOS  PROYECTOS DE INVERSIÓN DE LA ENTIDAD .</t>
  </si>
  <si>
    <t xml:space="preserve">INFORME SEGUIMIENTO A LOS PROYECTOS DE INVERSIÓN </t>
  </si>
  <si>
    <t>PORCENTAJE DE SEGUIMIENTO A LOS PROYECTOS DE INVERSIÓN DE LA ENTIDAD</t>
  </si>
  <si>
    <t>((Nº TOTAL DE INFORMES DE SEGUIMIENTO REALIZADOS A LOS PROYECTOS DE INVERSIÓN DE LA ENTIDAD OPORTUNAMENTE)/(Nº TOTAL DE  SEGUIMIENTOS A PROYECTOS DE INVERSIÓN A REALIZAR EN LA VIGENCIA))*100</t>
  </si>
  <si>
    <t>5.23.9</t>
  </si>
  <si>
    <t>REALIZAR SEGUIMIENTO A LA EJECICIÓN DE CONVENIOS INTERADMINISTRATIVOS EN CUMPLIMIENTO DE LA META AFORO.</t>
  </si>
  <si>
    <t>INFORMES DE  SEGUIMIENTO AL CUMPLIMIENTO DE LA META AFORO.</t>
  </si>
  <si>
    <t>Nº DE INFORMES DE SEGUIMIENTO CUMPLIMIENTO DE LA META AFORO.</t>
  </si>
  <si>
    <t>Nº DE INFORMES DE SEGUIMIENTO A LA META AFORO</t>
  </si>
  <si>
    <t>GESTIÓN DE ADQUISICIÓN Y ADMINISTRACIÓN DE BIENES Y SERVICIOS</t>
  </si>
  <si>
    <t>ADELANTAR LOS PROCESOS CONTRACTUALES PROGRAMADOS Y PRIORIZADOS EN EL PLAN ANUAL DE ADQUISICIONES DE BIENES Y SERVICIOS.</t>
  </si>
  <si>
    <t>PLAN ANUAL DE ADQUISICIONES 2020 EJECUTADO.</t>
  </si>
  <si>
    <t>PORCENTAJE DE AVANCE DE EJECUCIÓN PLAN ANUAL DE ADQUISICIONES DE BIENES Y SERVICIOS.</t>
  </si>
  <si>
    <t>((Nº DE PROCESOS CONTRACTUALES ADELANTADOS)/(Nº DE PROCESOS CONTRACTUALES VIABILIZADOS EN EL PLAN ANUAL DE ADQUISICIONES)) *100</t>
  </si>
  <si>
    <t>5.23.12</t>
  </si>
  <si>
    <t>SEGUIMIENTO A LA EJECUCIÓN PRESUPUESTAL VIGENCIA 2020.</t>
  </si>
  <si>
    <t>PRESUPUESTO EJECUTADO</t>
  </si>
  <si>
    <t>PORCENTALE DE EJECUCIÓN PRESUPUESTAL EN COMPROMISOS</t>
  </si>
  <si>
    <t>GESTIÓN FINANCIERA</t>
  </si>
  <si>
    <t>CONTROLAR EL PAC</t>
  </si>
  <si>
    <t>PAC EJECUTADO</t>
  </si>
  <si>
    <t>PORCENTALE DE EJECUCIÓN DEL PAC.</t>
  </si>
  <si>
    <t>((PAC EJECUTADO)/(PAC ASIGNADO POR EL  MINISTERIO DE HACIENDA Y CREDITO PUBLICO))*100</t>
  </si>
  <si>
    <t>5.24.1</t>
  </si>
  <si>
    <t>IDENTIFICAR E IMPLEMENTAR LAS ACCIONES CORRECTIVAS Y LAS OPORTUNIDADES DE MEJORA DEL PROCESO</t>
  </si>
  <si>
    <t>5.24.2</t>
  </si>
  <si>
    <t>REALIZAR EL ANÁLISIS DE CONTEXTO DE LA ENTIDAD</t>
  </si>
  <si>
    <t>DOCUMENTO DIAGNÓSTICO ACTUALIZADO</t>
  </si>
  <si>
    <t>Nº DE DOCUMENTOS DEL CONTEXTO ELABORADOS</t>
  </si>
  <si>
    <t>Nº DE DOCUMENTOS DE CONTEXTO</t>
  </si>
  <si>
    <t>IDENTIFICAR PARTES INTERESADAS</t>
  </si>
  <si>
    <t>DOCUMENTO DE PARTES INTERESADAS ACTUALIZADO</t>
  </si>
  <si>
    <t>Nº DE DOCUMENTOS DE PARTES INTERESADAS ELABORADOS</t>
  </si>
  <si>
    <t>Nº DE DOCUMENTOS DE PARTES INTERESADAS</t>
  </si>
  <si>
    <t>FORMULAR LOS PLANES PARA LA ENTIDAD (PLAN DE ACCIÓN, PLAN ANTICORRUPCIÓN Y ATENCIÓN AL CIUDADANO, PLAN DE PARTICIPACIÓN CIUDADANA)</t>
  </si>
  <si>
    <t>PLAN DE ACCIÓN, PLAN ANTICORRUPCIÓN Y ATENCIÓN AL CIUDADANO, PLAN DE PARTICIPACIÓN CIUDADANA FORMULADOS</t>
  </si>
  <si>
    <t>Nº DE PLANES FORMULADOS</t>
  </si>
  <si>
    <t>EJECUTAR EL PLAN DE AVANCE DE IMPLEMENTACIÓN DE MIPG</t>
  </si>
  <si>
    <t xml:space="preserve">PORCENTAJE DE AVANCE DEL PLAN DE IMPLEMENTACIÓN DE MIPG </t>
  </si>
  <si>
    <t>((Nº DE ACTIVIDADES EJECUTADAS DEL PLAN DE AVANCE DE MIPG)/(Nº DE ACTIVIDADES PROGRAMADAS DEL PLAN DE AVANCE DE MIPG))*100</t>
  </si>
  <si>
    <t>5.24.3</t>
  </si>
  <si>
    <t>5.24.4</t>
  </si>
  <si>
    <t>REALIZAR SEGUIMIENTO A LA MATRIZ DEL TALENTO HUMANO</t>
  </si>
  <si>
    <t>INFORME Y MATRIZ SEGUIMIENTO</t>
  </si>
  <si>
    <t>MATRIZ DEL TALENTO HUMANO EN SEGUIMIENTO</t>
  </si>
  <si>
    <t>Nº DE INFORME DE SEGUIMIENTO AL  NIVEL DE AVANCE DE LA POLÍTICA ESTRATEGICA DEL TALENTO HUMANO</t>
  </si>
  <si>
    <t>CARACTERIZAR A FUNCIONARIOS DE LA ENTIDAD</t>
  </si>
  <si>
    <t>DOCUMENTO CARACTERIZACIÓN FUNCIONARIOS ELABORADO</t>
  </si>
  <si>
    <t>MATRIZ DE CARACTERIZACIÓN DE FUNCIONARIOS ELABORADA</t>
  </si>
  <si>
    <t>Nº DE DOCUMENTOS DE CARACTERIZACIÓN A FUNCIONARIOS</t>
  </si>
  <si>
    <t>REALIZAR LA CARACTERIZACIÓN DE LOS EMPLEOS, PLANTA DE PERSONAL, PERFILES DE LOS EMPLEADOS, FUNCIONES, NATUARALEZA DE LOS EMPLEOS, VACANTES, ENTRE OTROS</t>
  </si>
  <si>
    <t>DOCUMENTO CARACTERIZACIÓN PLANTA DE PERSONAL ELABORADO</t>
  </si>
  <si>
    <t>Nº DE DOCUMENTOS DE CARACTERIZACIONES DE EMPLEOS</t>
  </si>
  <si>
    <t>Nº DE DOCUEMNTOS DE CARACTERIZACIONES DE EMPLEOS</t>
  </si>
  <si>
    <t>FORMULAR LOS PLANES DE ACCIÓN Y ESTRATÉGICOS DEL TALENTO HUMANO</t>
  </si>
  <si>
    <t>PLAN DE ACCIÓN Y ESTRATÉGICOS DEL TALENTO HUMANO FORMULADOS</t>
  </si>
  <si>
    <t>Nº DE PLANES DE ACCIÓN Y ESTRATÉGICOS DE TALENTO HUMANO FORMULADOS</t>
  </si>
  <si>
    <t>Nº DE PLANES FORMULADOS (PLAN ESTRATEGICO DE TALENTO HUMANO, PLAN DE VACANTES, PLAN DE PREVISÍON DE RECURSOS HUMANOS, PLAN DE CAPACITACIONES, PLAN DE BIENESTAR, PLAN DE SEGURIDAD Y SALUD EN EL TRABAJO)</t>
  </si>
  <si>
    <t>5.24.5</t>
  </si>
  <si>
    <t>ACTUALIZAR Y PUBLICAR LOS MAPAS INTEGRALES DE RIESGO POR PROCESO Y DE CORRUPCIÓN</t>
  </si>
  <si>
    <t>MAPAS INTEGRALES DE RIESGOS ACTUALIZADOS Y PUBLICADOS</t>
  </si>
  <si>
    <t>PORCENTAJE DE MAPAS INTEGRALES DE RIESGO POR PROCESO Y DE CORRUPCIÓN PUBLICADOS</t>
  </si>
  <si>
    <t>((Nº DE MAPAS DE RIESGO PUBLICADOS)/(Nº DE PROCESOS CON MAPAS DE RIESGO FORMULADOS))*100</t>
  </si>
  <si>
    <t>ACTUALIZAR LA POLÍTICA DE RIESGOS DE LA ENTIDAD</t>
  </si>
  <si>
    <t>DOCUMENTO DE POLÍTICA DE RIESGOS APROBADA</t>
  </si>
  <si>
    <t>Nº DE POLÍTICAS DE RIESGOS FORMULADAS Y ACTUALIZADAS</t>
  </si>
  <si>
    <t>5.24.6</t>
  </si>
  <si>
    <t>5.24.7</t>
  </si>
  <si>
    <t>5.24.8</t>
  </si>
  <si>
    <t>5.24.9</t>
  </si>
  <si>
    <t>5.24.10</t>
  </si>
  <si>
    <t>FORMULAR LA POLÍTICA DE ATENCIÓN AL CIUDADANO</t>
  </si>
  <si>
    <t>POLÍTICA DE ATENCIÓN AL CIUDADANO FORMULADA</t>
  </si>
  <si>
    <t>Nº DE POLÍTICAS DE ATENCIÓN AL CIUDADANO FORMULADA</t>
  </si>
  <si>
    <t>Nº DE POLÍTICAS DE ATENCIÓN AL CIUDADANO FORMULADAS</t>
  </si>
  <si>
    <t xml:space="preserve">ACTUALIZAR Y SOCIALIZAR LA CARTA DE TRATO DIGNO </t>
  </si>
  <si>
    <t>CARTA DE TRATO DIGNO ACTUALIZADA</t>
  </si>
  <si>
    <t>Nº DE CARTAS DE TRATO DIGNO ACTUALIZADAS Y SOCIALIZADAS</t>
  </si>
  <si>
    <t>REALIZAR EL REPORTE CUATRIMESTRAL DE SEGUIMIENTO A LAS ACTIVIDADES ESTABLECIDAS EN EL COMPONENTE DE ATENCIÓN AL CIUDADANO DEL PAAC- LEY 1474 DE 2011</t>
  </si>
  <si>
    <t>REPORTE DE SEGUIMIENTO AL PAAC -GAC PRESENTADOS</t>
  </si>
  <si>
    <t>PORCENTAJE DE REPORTES DE SEGUIMIENTO AL PAAC -GAC</t>
  </si>
  <si>
    <t>((Nº DE REPORTES DE SEGUIMIENTO PRESENTADOS)/(Nº DE REPORTES DE SEGUIMIENTO QUE EXIGE EL PAAC))*100</t>
  </si>
  <si>
    <t xml:space="preserve">ELABORAR Y PUBLICAR INFORME CONSOLIDADO DE PQRSD </t>
  </si>
  <si>
    <t>INFORME PQRSD  PUBLICADO</t>
  </si>
  <si>
    <t>Nº DE INFORMES MENSUALES CONSOLIDADOS DE PQRSD</t>
  </si>
  <si>
    <t>ACTUALIZAR LA CARACTERIZACIÓN DE LOS BENEFICIARIOS  DEL PROGRAMA DE PREVENCIÓN Y PROTECCIÓN  DE LA UNP.</t>
  </si>
  <si>
    <t>DOCUMENTO CARACTERIZACIÓN DE LOS BENEFICIARIOS ACTUALIZADO</t>
  </si>
  <si>
    <t>Nº DE CARACTERIZACIONES DE LOS BENEFICIARIOS  DEL PROGRAMA DE PREVENCIÓN Y PROTECCIÓN  DE LA UNP ACTUALIZADO</t>
  </si>
  <si>
    <t>Nº DE DOCUMENTOS DE CARACTERIZACIONES DE LOS BENEFICIARIOS DEL PROGRAMA DE PREVENCIÓN Y PROTECCIÓN  DE LA UNP ACTUALIZADO</t>
  </si>
  <si>
    <t>PUBLICAR EN LA PÁGINA WEB, ABC DE LAS RUTAS DE PROTECCIÓN INDIVIDUAL Y COLECTIVA TRADUCIDAS EN LENGUAJE CLARO</t>
  </si>
  <si>
    <t>ABC DE LA RUTA DE PROTECCIÓN PUBLICADA</t>
  </si>
  <si>
    <t>Nº DE DOCUMENTOS ABC DE LAS RUTAS DE PROTECCIÓN INDIVIDUAL Y COLECTIVA TRADUCIDAS EN LENGUAJE CLARO PUBLICADO</t>
  </si>
  <si>
    <t>Nº DE DOCUMENTOS ABC DE LAS RUTAS DE PROTECCIÓN INDIVIDUAL Y COLECTIVA TRADUCIDAS EN LENGUAJE CLARO PUBLICADOS</t>
  </si>
  <si>
    <t>5.24.11</t>
  </si>
  <si>
    <t>5.24.12</t>
  </si>
  <si>
    <t>5.24.13</t>
  </si>
  <si>
    <t>SOCIALIZAR EL MANUAL DE LA POLÍTICA DE PREVENCIÓN DEL DAÑO ANTIJURIDICO DE LA UNP, PREVIA APROBACIÓN DEL COMITÉ DE CONCILIACIÓN DE LA ENTIDAD.</t>
  </si>
  <si>
    <t xml:space="preserve"> MANUAL DE POLÍTICA DE PREVENCIÓN DEL DAÑO ANTIJURIDICO DE LA UNP SOCIALIZADO</t>
  </si>
  <si>
    <t>Nº DE MANUALES DE POLÍTICA DE PREVENCIÓN DEL DAÑO ANTIJURÍDICO DE LA ENTIDAD SOCIALIZADO.</t>
  </si>
  <si>
    <t>Nº DE MANUALES DE POLÍTICA DE PREVENCIÓN DEL DAÑO ANTIJURÍDICO DE LA ENTIDAD SOCIALIZADOS.</t>
  </si>
  <si>
    <t>5.24.14</t>
  </si>
  <si>
    <t>5.24.15</t>
  </si>
  <si>
    <t>5.24.16</t>
  </si>
  <si>
    <t>IMPLEMENTAR LA POLÍTICA DE GOBIERNO DIGITAL PARA LA UNP.</t>
  </si>
  <si>
    <t>POLÍTICA DE GOBIERNO DIGITAL IMPLEMENTADA</t>
  </si>
  <si>
    <t>PORCENTAJE DE CUMPLIMIENTO DEL NIVEL DE AVANCE DE IMPLEMENTACIÓN DE LA POLÍTICA DE GOBIERNO DIGITAL</t>
  </si>
  <si>
    <t>((NIVEL DE AVANCE  DE IMPLEMENTACIÓN DE LA POLITICA GOBIERNO DIGITAL)/(NIVEL DE CUMPLIMIENTO COMPROMETIDO  DE IMPLEMENTACIÓN DE LA POLITICA GOBIERNO DIGITAL))*100</t>
  </si>
  <si>
    <t xml:space="preserve">REALIZAR SEGUIMIENTO A LOS PROYECTOS DE TI DEFINIDOS EN EL PETI </t>
  </si>
  <si>
    <t>DOCUMENTO INFORME DE SEGUIMIENTO DE IMPLEMENTACIÓN DEL PETI.</t>
  </si>
  <si>
    <t>Nº DE INFORMES DE AVANCE DEL PETI EN EL PERIODO EVALUADO</t>
  </si>
  <si>
    <t>5.24.17</t>
  </si>
  <si>
    <t>CONTROL INTERNO Y AUDITORIA</t>
  </si>
  <si>
    <t>REALIZAR LAS AUDITORÍAS APROBADAS EN EL PLAN ANUAL DE AUDITORÍAS</t>
  </si>
  <si>
    <t>ELABORAR Y PRESENTAR LOS INFORMES DE LEY</t>
  </si>
  <si>
    <t>INFORMES DE LEY PRESENTADOS</t>
  </si>
  <si>
    <t>PORCENTAJE DE INFORMES DE LEY PRESENTADOS OPORTUNAMENTE</t>
  </si>
  <si>
    <t xml:space="preserve">REALIZAR EVALUACIÓN DE LOS MAPAS INTEGRALES DE RIESGOS  DE LA ENTIDAD
</t>
  </si>
  <si>
    <t>5.25.1</t>
  </si>
  <si>
    <t>5.25.3</t>
  </si>
  <si>
    <t>REALIZAR UNA CAMPAÑA PARA EL MEJORAMIENTO DE LA PERCEPCIÓN DEL NIVEL DE SATISFACCIÓN DE LOS BENEFICIARIOS DE LA UNP, DE ACUERDO CON LOS RESULTADOS DE LAS MEDICIONES DE PERCEPCIÓN REALIZADAS</t>
  </si>
  <si>
    <t>CAMPAÑA DE MEJORAMIENTO DE PERCEPCIÓN REALIZADA</t>
  </si>
  <si>
    <t xml:space="preserve"> PORCENTAJE DE PRODUCTOS COMUNICATIVOS DIVULGADOS DE LA CAMPAÑA DE MEJORAMIENTO DE PERCEPCIÓN DE NIVEL DE SATISFACCIÓN DE LOS BENEFICIARIOS DE LA UNP </t>
  </si>
  <si>
    <t>((Nº DE PRODUCTOS COMUNICATIVOS  REALIZADOS)/(Nº DE PRODUCTOS COMUNICATIVOS PROGRAMADOS))*100</t>
  </si>
  <si>
    <t>5.25.10</t>
  </si>
  <si>
    <t>ELABORAR Y PUBLICAR INFORME CONSOLIDADO DE ENCUESTA DE SATISFACCIÓN AL CIUDADANO, RESPECTO A LA ATENCIÓN BRINDADA POR LOS CANALES PRESENCIAL Y TELEFÓNICO</t>
  </si>
  <si>
    <t>INFORME MENSUAL ELABORADO</t>
  </si>
  <si>
    <t>PORCENTAJE DE SATISFACCIÓN DE ATENCIÓN AL CIUDADANO (ATENCIÓN PRESENCIAL Y TELEFÓNICA)</t>
  </si>
  <si>
    <t>NIVEL DE SATISFACCIÓN DE ATENCIÓN AL CIUDADANO (ATENCIÓN PRESENCIAL Y TELEFÓNICA)</t>
  </si>
  <si>
    <t>REALIZAR LA ENCUESTA DE SATISFACCIÓN A LOS BENEFICIARIOS DE LA ENTIDAD,  SEGÚN VIABILIDAD PRESUPUESTAL</t>
  </si>
  <si>
    <t>ENCUESTA APLICADA</t>
  </si>
  <si>
    <t>Nº DE ENCUESTAS DE SATISFACCIÓN REALIZADAS A LOS BENEFICIARIOS DE LA ENTIDAD SEGÚN VIABILIDAD PRESUPUESTAL</t>
  </si>
  <si>
    <t>Nº DE INFORMES DE ENCUESTA DE SATISFACCIÓN A LOS BENEFICIARIOS DE LA ENTIDAD.</t>
  </si>
  <si>
    <t>PARTICIPAR EN LAS FERIAS NACIONALES DE SERVICIO AL CIUDADANO PROGRAMADAS EN EL MARCO DEL PROGRAMA NACIONAL DEL SERVICIO AL CIUDADANO.</t>
  </si>
  <si>
    <t>ACTA DE REUNIÓN O LISTADO DE ASISTENCIA A LAS FERIAS</t>
  </si>
  <si>
    <t>PORCENTAJE DE PARTICIPACIÓN EN FERIAS NACIONALES DE SERVICIO AL CIUDADANO DEL PNSC</t>
  </si>
  <si>
    <t>((Nº DE FERIAS DE SERVICIO AL CIUDADANO CON ASISTENCIA DE LA UNP)/(Nº DE FERIAS DE SERVICIO AL CIUDADANO VIABLILIZADAS POR LA UNP))*100</t>
  </si>
  <si>
    <t>5.25.16</t>
  </si>
  <si>
    <t>REALIZAR USO Y APROPIACIÓN DEL FORMULARIO WEB DE SOLICITUDES DE PROTECCIÓN.</t>
  </si>
  <si>
    <t>INFORMES DE AVANCE USO Y APROPIACIÓN FORMULARIO WEB DE SOLICITUDES DE PROTECCIÓN</t>
  </si>
  <si>
    <t>USO Y APROPIACIÓN DEL FORMULARIO WEB DE SOLICITUDES DE PROTECCIÓN.</t>
  </si>
  <si>
    <t>N ° DE INFORMES DE AVANCE DEL CRONOGRAMA DE ACTIVIDADES USO Y APROPIACIÓN DEL FORMULARIO WEB DE SOLICITUDES DE PROTECCIÓN.</t>
  </si>
  <si>
    <t>5.26.1</t>
  </si>
  <si>
    <t>REALIZAR LA RENDICIÓN DE CUENTAS DE LA UNIDAD NACIONAL DE PROTECCION.</t>
  </si>
  <si>
    <t xml:space="preserve"> INFORME DE RENDICIÓN DE CUENTAS PUBLICADO</t>
  </si>
  <si>
    <t>Nº DE AUDIENCIAS PUBLICAS DE RENDICIÓN DE CUENTAS REALIZADAS</t>
  </si>
  <si>
    <t>Nº DE AUDIENCIAS PUBLICAS DE RENDICIÓN DE CUENTAS REALIZADA</t>
  </si>
  <si>
    <t>5.26.2</t>
  </si>
  <si>
    <t>CONSOLIDAR Y PUBLICAR LOS INFORMES DE GESTIÓN DE LA UNIDAD NACIONAL DE PROTECCIÓN - UNP.</t>
  </si>
  <si>
    <t>INFORMES DE GESTIÓN PUBLICADO</t>
  </si>
  <si>
    <t>Nº DE INFORMES DE GESTIÓN PUBLICADOS</t>
  </si>
  <si>
    <t>5.26.3</t>
  </si>
  <si>
    <t>PUBLICAR LOS CONTENIDOS  DE LA ENTIDAD QUE POR LEY REQUIEREN DE LA PARTICIPACIÓN CIUDADANA</t>
  </si>
  <si>
    <t>CONTENIDOS PUBLICADOS PARA LA PARTICIPACIÓN CIUDADANA</t>
  </si>
  <si>
    <t>PORCENTAJE DE CONTENIDOS PUBLICADOS PARA LA PARTICIPACIÓN CIUDADANA</t>
  </si>
  <si>
    <t>((Nº DE CONTENIDOS PUBLICADOS)/(Nº DE CONTENIDOS A PUBLICAR PARA LA PARTICIPACIÓN CIUDADANA))*100</t>
  </si>
  <si>
    <t>5.26.10</t>
  </si>
  <si>
    <t>SUMINISTRAR LAS HERRAMIENTAS TECNOLÓGICAS PARA DAR CUMPLIMIENTO NORMATIVO A LA POLÍTICA DE TRANSPARENCIA Y ACCESO A LA INFORMACIÓN PUBLICA EN LO REFERENTE A LOS MEDIOS ABIERTOS DIGITALES DE LA ENTIDAD.</t>
  </si>
  <si>
    <t>INFORME DE DISPONIBILIDAD HERRAMIENTAS TECNOLÓGICAS REQUERIDAS PARA EL CUMPLIMIENTO NORMATIVO DE LA POLÍTICA DE TRANSPARENCIA Y ACCESO A LA INFORMACIÓN PÚBLICA.</t>
  </si>
  <si>
    <t>DISPONIBILIDAD DE LA PLATAFORMA WEB DONDE SE PUBLICA LA INFORMACIÓN EN CUMPLIMIENTO DE LA POLÍTICA DE TRANSPARENCIA Y ACCESO A LA INFORMACIÓN PUBLICA</t>
  </si>
  <si>
    <t>Nº DE INFORMES DE DISPONIBILIDAD DE LA PLATAFORMA WEB DONDE SE PUBLICA LA INFORMACIÓN EN CUMPLIMIENTO DE LA POLÍTICA DE TRANSPARENCIA Y ACCESO A LA INFORMACIÓN PÚBLICA</t>
  </si>
  <si>
    <t>PLAN ESTRATÉGICO DE TECNOLOGIAS DE LA INFORMACIÓN
PLAN DE TRANPARENCIA Y ANTICORRPCIÓN</t>
  </si>
  <si>
    <t>MUNICIPIOS CON SEGUIMIENTO POR EL OBSERVATORIO</t>
  </si>
  <si>
    <t>Nº DE MUNICIPIOS CON SEGUIMIENTO POR EL OBSERVATORIO EN LA IMPLEMENTACIÓN DE MEDIDAS INTEGRALES DE PREVENCIÓN, SEGURIDAD Y PROTECCIÓN</t>
  </si>
  <si>
    <t>4.13.1</t>
  </si>
  <si>
    <t>DISEÑAR  E IMPLEMENTAR EL PROTOCOLO ESPECIAL  DE ATENCIÓN  PARA COMUNIDADES AFROCOLOMBIANAS RAIZALES Y PALENQUERAS</t>
  </si>
  <si>
    <t xml:space="preserve">PROTOCOLO PARA POBLACIONES CON ENFOQUE DIFERENCIAL </t>
  </si>
  <si>
    <t>Nº DE PROTOCOLOS ESPECIALES DE ATENCIÓN  PARA COMUNIDADES AFROCOLOMBIANAS RAIZALES Y PALENQUERAS</t>
  </si>
  <si>
    <t>PROYECTOS DE COOPERACIÓN INTERNACIONAL VIABILIZADOS</t>
  </si>
  <si>
    <t>Nª DE PROYECTOS DE COOPERACIÓN INTERNACIONAL VIABILIZADOS</t>
  </si>
  <si>
    <t>DAR RESPUESTA OPORTUNA A LAS SOLICITUDES DE INFORMACIÓN ALLEGADAS A LA DIRECCIÓN POR EL CONGRESO DE LA REPUBLICA</t>
  </si>
  <si>
    <t>PORCENTAJE DE OPORTUNIDAD EN LAS RESPUESTAS AL CONGRESO DE LA REPUBLICA</t>
  </si>
  <si>
    <t>ACOM OFICIALIZADAS POR EL PROCESO</t>
  </si>
  <si>
    <t>PORCENTAJE DE ACOM OFICIALIZADAS POR EL PROCESO</t>
  </si>
  <si>
    <t>((Nº DE ACOM  OFICIALIZADAS POR EL PROCESO)/(Nº DE ACOM IDENTIFICADAS POR EL PROCESO))*100</t>
  </si>
  <si>
    <t xml:space="preserve">DOCUMENTO DE IDENTIFICACIÓN DE NECESIDADES DE ATENCIÓN INSTITUCIONAL EN REGIONES QUE REQUEIREN PRESENCIA DESCONCENTRADA DE LA UNP ELABORADO </t>
  </si>
  <si>
    <t xml:space="preserve">DOCUMENTO DE IDENTIFICACIÓN DE NECESIDADES DE ATENCIÓN INSTITUCIONAL EN REGIONES QUE REQUEIREN PRESENCIA DESCONCENTRADA DE LA UNP </t>
  </si>
  <si>
    <t>INFORMES DE AUDITORIAS AJECUTADAS</t>
  </si>
  <si>
    <t>PORCENTAJE DE AUDITORIAS EJECUTADAS DE ACUERDO CON EL PLAN ANUAL DE AUDITORIAS</t>
  </si>
  <si>
    <t>((Nº DE AUDITORÍAS EJECUTADAS)/(Nº TOTAL  DE AUDITORÍAS PROGRAMADAS EN EL PLAN ANUAL DE AUDITORIAS))*100</t>
  </si>
  <si>
    <t>((Nº DE INFORMES DE LEY PRESENTADOS OPORTUNAMENTE)/(Nº  DE INFORMES DE LEY A PRESENTAR EN EL TRIMESTRE))*100</t>
  </si>
  <si>
    <t>INFORME DE EVALUACIÓN SOBRE LOS MIR</t>
  </si>
  <si>
    <t>EVALUACIÓN DEL NIVEL DE CRITICIDAD EN LA ADMINISTRACIÓN DEL RIESGO INSTITUCIONAL</t>
  </si>
  <si>
    <t>((Nº RIESGOS (P+C) CON CONTROLES EFECTIVOS EN LA ENTIDAD)/(Nº TOTAL DE RIESGOS IDENTIFICADOS POR LOS PROCESOS DE LA ENTIDAD)) *100</t>
  </si>
  <si>
    <t>SEGUIMIENTO A LA EJECUCIÓN DE LOS COMPROMISOS TENIENDO EN CUENTA LAS OBLIGACIONES</t>
  </si>
  <si>
    <t>PRESUPUESTO OBLIGADO</t>
  </si>
  <si>
    <t>PORCENTAJE DE EJECUCIÓN PRESUPUESTAL EN OBLIGACIONES CON RESPECTO A COMPROMISOS</t>
  </si>
  <si>
    <t>((PRESUPUESTO OBLIGADO)/(PRESUPUESTO COMPROMETIDO ))*100</t>
  </si>
  <si>
    <t xml:space="preserve">REALIZAR LAS EVALUACIONES DE RIESGO PARA  LOS COLECTIVOS </t>
  </si>
  <si>
    <t>((VALOR COMPROMETIDO / APROPIACIÓN VIGENTE MENOS APROPIACION BLOQUEADA))*100</t>
  </si>
  <si>
    <t>PLAN DE ACCIÓN</t>
  </si>
  <si>
    <t>PLAN NACIONAL DE DESARROLLO</t>
  </si>
  <si>
    <t>PLAN ESTRATÉGICO SECTORIAL</t>
  </si>
  <si>
    <t>PLAN ESTRATÉGICO INSTITUCIONAL- PEI</t>
  </si>
  <si>
    <t xml:space="preserve">SEGUIMIENTO </t>
  </si>
  <si>
    <t>Pacto</t>
  </si>
  <si>
    <t>Línea Estratégica</t>
  </si>
  <si>
    <t>Objetivo PND</t>
  </si>
  <si>
    <t>Estrategia PND</t>
  </si>
  <si>
    <t>Objetivo Sectorial</t>
  </si>
  <si>
    <t>Objetivos Estratégicos Institucionales</t>
  </si>
  <si>
    <t>Indicador (impacto) de la Estratégia Institucional</t>
  </si>
  <si>
    <t>Peso</t>
  </si>
  <si>
    <t>Unidad de Medida</t>
  </si>
  <si>
    <t>Avance I Reporte PAI</t>
  </si>
  <si>
    <t>Avance II Reporte PAI</t>
  </si>
  <si>
    <t>Avance III Reporte PAI</t>
  </si>
  <si>
    <t>Avance IV Reporte PAI</t>
  </si>
  <si>
    <t>Avance Acumulado</t>
  </si>
  <si>
    <t>Porcentaje de Avance Total 
 PAI</t>
  </si>
  <si>
    <t>Cumplimiento de la Estrategia del PEI</t>
  </si>
  <si>
    <t>PACTO POR LA LEGALIDAD: SEGURIDAD EFECTIVA Y JUSTICIA TRANSPARENTE PARA QUE TODOS VIVAMOS CON LIBERTAD Y EN DEMOCRACIA</t>
  </si>
  <si>
    <t>SEGURIDAD, AUTORIDAD Y ORDEN PARA LA LIBERTAD: DEFENSA NACIONAL, SEGURIDAD CIUDADANA Y COLABORACIÓN CIUDADANA
IMPERIO DE LA LEY: DERECHOS HUMANOS, JUSTICIA ACCESIBLE, OPORTUNA Y EN TODA COLOMBIA, PARA TODOS</t>
  </si>
  <si>
    <t>PACTO POR LA VIDA (PROTECCIÓN A PERSONAS Y COMUNIDADES EN RIESGO)
UNA APUESTA POR EL GOCE EFECTIVO DE LOS DERECHOS DE LOS COLOMBIANOS</t>
  </si>
  <si>
    <t xml:space="preserve">PROMOVER LA PREVENCIÓN Y PROTECCIÓN DE LOS DERECHOS HUMANOS ESPECIALMENTE EL DERECHO A LA VIDA, LA LIBERTAD, LA SEGURIDAD PERSONAL, EL DERECHO INTERNACIONAL HUMANITARIO, LOS DERECHOS DE AUTOR Y CONEXOS, FUNDAMENTADOS EN LA CULTURA DE LEGALIDAD.
</t>
  </si>
  <si>
    <t>1. PROPENDER POR UNA CULTURA DE RESPETO Y GARANTÍA DE LOS DERECHOS HUMANOS,QUE CONTRIBUYA AL PROCESO DE CONSTRUCCIÓN DE PAZ</t>
  </si>
  <si>
    <t xml:space="preserve">NÚMERO </t>
  </si>
  <si>
    <t>SEGURIDAD, AUTORIDAD Y ORDEN PARA LA LIBERTAD: DEFENSA NACIONAL, SEGURIDAD CIUDADANA Y COLABORACIÓN CIUDADANA</t>
  </si>
  <si>
    <t>PACTO POR LA VIDA (PROTECCIÓN A PERSONAS Y COMUNIDADES EN RIESGO)
RED DE PARTICIPACIÓN CÍVICA</t>
  </si>
  <si>
    <t>FORMULAR E IMPLEMENTAR LA P.P NACIONAL DE PREVENCIÓN Y PROTECCIÓN  DE LÍDERES SOCIALES Y COMUNALES, PÉRIODISTAS Y  DEFENSORAS DE D.H, ACORDE CON LOS LINEAMIENTOS  DEL OBJETIVO
LA RED DE PARTICIPACIÓN CÍVICA SE CONVERTIRÁ EN UN MECANISMO MEDIANTE EL CUAL EL GOBIERNO NACIONAL PODRÁ CONOCER DE FORMA PERMANENTE Y EN TIEMPO REAL LAS PREOCUPACIONES NACIONALES, REGIONALES Y MUNICIPALES DE SEGURIDAD.</t>
  </si>
  <si>
    <t>2. FORTALECER LA CAPACIDAD INSTITUCIONAL PARA IDENTIFICAR OPORTUNAMENTE LAS AMENAZAS, RIESGOS Y VULNERABILIDADES A LAS CUALES ESTÁN EXPUESTAS LAS POBLACIONES OBJETO</t>
  </si>
  <si>
    <t>NÚMERO  DE MUNICIPIOS ACOMPAÑADOS POR LA UNP PARA LAS MEDIDAS INTEGRALES DE PREVENCIÓN SEGURIDAD Y PROTECCIÓN</t>
  </si>
  <si>
    <t>Nª DE MUNICIPIOS CON SEGUIMIENTO POR EL OBSERVATORIO EN LA IMPLEMENTACIÓN DE MEDIDAS INTEGRALES DE PREVENCIÓN, SEGURIDAD Y PROTECCIÓN</t>
  </si>
  <si>
    <t>PORCENTAJE</t>
  </si>
  <si>
    <t xml:space="preserve">PORCENTAJE  DE DESTINATARIOS Y/O BENEFICIARIOS VIABILIZADOS PARA CAPACITACIÓN EN LA CULTURA DE LA AUTOPROTECCIÓN </t>
  </si>
  <si>
    <t>PORCENTAJE  DE PARTICIPACIÓN EN LAS MESAS TÉCNICAS DE SEGURIDAD Y PROTECCIÓN, PARA LA CONSTRUCCIÓN DEL PLAN ESTRATÉGICO</t>
  </si>
  <si>
    <t>((Nº DE ACTIVIDADES REALIZADAS PARA LA IMPLEMENTACIÓN DE LOS LINEAMIENTOS DEL PLAN ESTRATÉGICO DE SEGURIDAD Y PROTECCIÓN EN TEMAS DE COMPETENCIA DE LA UNP)/(Nº DE ACTIVIDADES PROGRAMADAS PARA LA  IMPLEMENTACIÓN DE LOS LINEAMIENTOS EL PLAN ESTRATÉGICO DE SEGURIDAD Y PROTECCIÓN EN TEMAS DE COMPETENCIA DE LA UNP))*100</t>
  </si>
  <si>
    <t>PACTO POR LA LEGALIDAD: SEGURIDAD EFECTIVA Y JUSTICIA TRANSPARENTE PARA QUE TODOS VIVAMOS CON LIBERTAD Y EN DEMOCRACIA
PACTO DE EQUIDAD PARA LAS MUJERES</t>
  </si>
  <si>
    <t>SEGURIDAD, AUTORIDAD Y ORDEN PARA LA LIBERTAD: DEFENSA NACIONAL, SEGURIDAD CIUDADANA Y COLABORACIÓN CIUDADANA
DERECHO DE LAS MUJERES A UNA VIDA LIBRE DE VIOLENCIAS</t>
  </si>
  <si>
    <t xml:space="preserve">
PACTO POR LA VIDA (PROTECCIÓN A PERSONAS Y COMUNIDADES EN RIESGO)
 FORTALECER LA INSTITUCIONALIDAD ENCARGADA DE
LA PREVENCIÓN, ATENCIÓN Y PROTECCIÓN DE LAS MUJERES
VÍCTIMAS DE LA VIOLENCIA DE GÉNERO
</t>
  </si>
  <si>
    <t>HACIA LA REDEFINICIÓN DE UNA ESTRATEGIA DE CONVIVENCIA PACÍFICA Y SEGURIDAD CIUDADANA
LAS ALERTAS TEMPRANAS QUE SEAN EMITIDAS CON LOS MECANISMOS DISPUESTOS PARA ELLO SERÁN ATENDIDAS CON CARÁCTER DE URGENCIA POR PARTE DE MININTERIOR Y MINDEFENSA. DEL MISMO MODO, LA CONSEJERÍA DE SEGURIDAD NACIONAL Y LA CONSEJERÍA DE DERECHOS HUMANOS HARÁN SEGUIMIENTO A LAS MEDIDAS QUE SE ADOPTEN PARA SU ATENCIÓN.
REDUCIR EL TIEMPO DE RESPUESTA PROMEDIO ENTRE SOLICITUD Y APROBACIÓN DE MEDIDAS DE PROTECCIÓN PARA DEFENSORES DE DERECHOS HUMANOS Y OTRAS POBLACIONES PREVISTAS EN EL MARCO DEL DECRETO 1066 DE 2015
BUSCAR LA INCORPORACIÓN DEL ENFOQUE DIFERENCIAL EN LOS PLANES INTEGRALES DE SEGURIDAD Y CONVIVENCIA CIUDADANA, Y LA INTERVENCIÓN DE LA UNIDAD NACIONAL DE PROTECCIÓN PARA LA PREVENCIÓN Y LA PROTECCIÓN DE LOS CIUDADANOS LGBTI, EN PARTICULAR DE LOS LÍDERES Y DEFENSORES DE DERECHOS HUMANOS</t>
  </si>
  <si>
    <t>3. GESTIONAR SOLUCIONES ESTRATÉGICAS QUE CONTRIBUYAN A LA GARANTÍA EFECTIVA AL DERECHO A LA VIDA, LIBERTAD Y SEGURIDAD DE LAS POBLACIONES OBJETO Y OPTIMIZAR LOS TIEMPOS DE RESPUESTA EN LA RUTA DE PROTECCIÓN</t>
  </si>
  <si>
    <t xml:space="preserve">5. REDUCIR EL TIEMPO DE RESPUESTA PROMEDIO ENTRE LA SOLICITUD, APROBACIÓN , RECOMENDACIÓN Y LA IMPLEMENTACIÓN DE MEDIDAS DE PROTECCIÓN  EN LA RUTA INDIVIDUAL PARA DEFENSORES DE DERECHOS HUMANOS Y OTRAS POBLACIONES PREVISTAS EN EL MARCO DEL DECRETO 1066 DE 2015.
</t>
  </si>
  <si>
    <t>NÚMERO DE DÍAS PROMEDIO QUE TOMA EL ESTUDIO DE RIESGO</t>
  </si>
  <si>
    <t>((SUMATORIA DE DÍAS HÁBILES UTILIZADOS PARA LA REALIZACIÓN DE LA EVALUACIÓN DEL RIESGO DEL  PROGRAMA DE PREVENCIÓN Y PROTECCIÓN)/(Nº DE EVALUACIONES DE RIESGOS REALIZADAS DEL PROGRAMA DE PROTECCIÓN Y PREVENCIÓN))</t>
  </si>
  <si>
    <t xml:space="preserve">PORCENTAJE DE  MUJERES IDENTIFICADAS CON RIESGO EXTRAORDINARIO, EXTREMO O INMINENTE CON MEDIDAS DE PROTECCIÓN IMPLEMENTADAS </t>
  </si>
  <si>
    <t>PORCENTAJE  DE OPORTUNIDAD EN LA IMPLEMENTACIÓN DE LAS MEDIDAS DE PROTECCIÓN DE COMPETENCIA  DE LA SESP</t>
  </si>
  <si>
    <t>PORCENTAJE  DE EJECUCIÓN DE LAS ACCIONES DE LOS PLANES DE SESP</t>
  </si>
  <si>
    <t>33.33%</t>
  </si>
  <si>
    <t>NÚMERO  DE REGIONALES DESARROLLANDO ACTIVIDADES DEL PPESP</t>
  </si>
  <si>
    <t>PACTO POR LA LEGALIDAD: SEGURIDAD EFECTIVA Y JUSTICIA TRANSPARENTE PARA QUE TODOS VIVAMOS CON LIBERTAD Y EN DEMOCRACIA
PACTO DE EQUIDAD PARA LAS MUJERES
PACTO POR LA EQUIDAD DE OPORTUNIDADES PARA GRUPOS ÉTNICOS</t>
  </si>
  <si>
    <t>SEGURIDAD, AUTORIDAD Y ORDEN PARA LA LIBERTAD: DEFENSA NACIONAL, SEGURIDAD CIUDADANA Y COLABORACIÓN CIUDADANA
 DERECHO DE LAS MUJERES A UNA VIDA LIBRE DE VIOLENCIAS</t>
  </si>
  <si>
    <t xml:space="preserve">
FORTALECER LA INSTITUCIONALIDAD ENCARGADA DE LA PREVENCIÓN, ATENCIÓN Y PROTECCIÓN DE LAS MUJERES VÍCTIMAS DE LA VIOLENCIA DE GÉNERO
PACTO POR LA VIDA (PROTECCIÓN A PERSONAS Y COMUNIDADES EN RIESGO)
IMPLEMENTAR MEDIDAS DE PROTECCIÓN CON ENFOQUE ÉTNICO Y DE GÉNERO</t>
  </si>
  <si>
    <t>FORMULAR E IMPLEMENTAR LA P.P NACIONAL DE PREVENCIÓN Y PROTECCIÓN  DE LÍDERES SOCIALES Y COMUNALES, PÉRIODISTAS Y  DEFENSORAS DE D.H, ACORDE CON LOS LINEAMIENTOS  DEL OBJETIVO
BUSCAR LA INCORPORACIÓN DEL ENFOQUE DIFERENCIAL EN LOS PLANES INTEGRALES DE SEGURIDAD Y CONVIVENCIA CIUDADANA, Y LA INTERVENCIÓN DE LA UNIDAD NACIONAL DE PROTECCIÓN PARA LA PREVENCIÓN Y LA PROTECCIÓN DE LOS CIUDADANOS LGBTI, EN PARTICULAR DE LOS LÍDERES Y DEFENSORES DE DERECHOS HUMANOS
PARTICIPACIÓN Y CONSTRUCCIÓN DE CONVIVENCIA</t>
  </si>
  <si>
    <t>4. FORTALECER LAS CAPACIDADES INSTITUCIONALES PARA LA INCLUSIÓN DE LOS ENFOQUES DIFERENCIALES EN LOS PROCESOS MISIONALES</t>
  </si>
  <si>
    <t>PORCENTAJE DE FUNCIONARIOS Y COLABORADORES CON CONOCIMIENTOS EN ENFOQUE DIFERENCIAL</t>
  </si>
  <si>
    <t>PORCENTAJE DE COMUNIDADES IDENTIFICADAS CON RIESGO EXTRAORDINARIO, EXTREMO O INMINENTE CON MEDIDAS DE PROTECCIÓN IMPLEMENTADAS (CON ENFOQUE DIFERENCIAL)</t>
  </si>
  <si>
    <t>NÚMERO DE CAMPAÑAS DE SENSIBILIZACIÓN DE RUTA COLECTIVA</t>
  </si>
  <si>
    <t xml:space="preserve">13. PROMOVER MECANISMOS DE PARTICIPACIÓN A LOS GRUPOS Y COMUNIDADES PARA LA CONSTRUCCIÓN DE MEDIDAS DE PROTECCIÓN CON ENFOQUES DIFERENCIALES
</t>
  </si>
  <si>
    <t>NÚMERO DE MECANISMOS PARA LA CONSTRUCCIÓN DE MEDIDAS DE PROTECCIÓN CON ENFOQUE DIFERENCIAL</t>
  </si>
  <si>
    <t>PACTO POR LA CIENCIA, LA TECNOLOGÍA Y LA INNOVACIÓN: UN SISTEMA PARA CONSTRUIR EL CONOCIMIENTO DE LA COLOMBIA DEL FUTURO</t>
  </si>
  <si>
    <t>INNOVACIÓN PÚBLICA PARA UN PAÍS MODERNO</t>
  </si>
  <si>
    <t>GESTIONAR EL CONOCIMIENTO Y LOS APRENDIZAJES PARA CREAR VALOR PÚBLICO</t>
  </si>
  <si>
    <t>CONSTRUIR HERRAMIENTAS DE DOCUMENTACIÓN, MEDICIÓN Y EVALUACIÓN ESPECÍFICOS PARA INICIATIVAS DE INNOVACIÓN EN EL SECTOR PÚBLICO, QUE VALOREN RESULTADOS Y PROCESOS, INTEGREN EVIDENCIA CUANTITATIVA Y CUALITATIVA Y CONDUZCAN A RESULTADOS QUE SEAN AMPLIAMENTE DIVULGADOS PARA SOPORTAR LA CONFIANZA INSTITUCIONAL Y CIUDADANA
CONSTRUIR UN MODELO PARA LA EVALUACIÓN DE LA GESTIÓN Y EL DESEMPEÑO DE EQUIPOS DE INNOVACIÓN PÚBLICA QUE CONTRIBUYA A FORTALECER LA DIMENSIÓN DE GESTIÓN DEL CONOCIMIENTO Y LA INNOVACIÓN EN EL MODELO INTEGRADO DE PLANEACIÓN Y GESTIÓN (MIPG)</t>
  </si>
  <si>
    <t xml:space="preserve">IMPULSAR LA ARTICULACIÓN SECTORIAL DEL INTERIOR A TRAVÉS DE ESTRATEGIAS DE GESTIÓN PARA EL FORTALECIMIENTO INSTITUCIONAL
</t>
  </si>
  <si>
    <t>5. FORTALECER LA ENTIDAD A TRAVÉS DE LA IMPLEMENTACIÓN DE LAS POLITICAS DE DESEMPEÑO INSTITUCIONAL DE MIPG Y LAS MEJORES PRACTICAS QUE GENEREN VALOR PUBLICO A NUESTRA POBLACIÓN OBJETO Y GRUPOS DE INTERES</t>
  </si>
  <si>
    <t>NÚMERO DE SISTEMAS DE GESTIÓN CERTIFICADOS</t>
  </si>
  <si>
    <t>NÚMERO DE PROYECTOS DE COOPERACIÓN INTERNACIONAL VIABILIZADOS</t>
  </si>
  <si>
    <t>PORCENTAJE DE SERVIDORES PÚBLICOS CON APROPIACIÓN DE LA CULTURA DE LA INFORMACIÓN Y LA COMUNICACIÓN</t>
  </si>
  <si>
    <r>
      <t>PORCENTAJE DE</t>
    </r>
    <r>
      <rPr>
        <sz val="12"/>
        <color rgb="FFFF0000"/>
        <rFont val="Myanmar Text"/>
        <family val="2"/>
      </rPr>
      <t xml:space="preserve"> </t>
    </r>
    <r>
      <rPr>
        <sz val="12"/>
        <rFont val="Myanmar Text"/>
        <family val="2"/>
      </rPr>
      <t>PQRSD Y SOLICITUDES DE PROTECCIÓN ATENDIDOS OPORTUNAMENTE</t>
    </r>
  </si>
  <si>
    <t>((Nº DE RESPUESTAS DADAS OPORTUNAMENTE DURANTE EL PERIODO A SOLICITUDES DEL CONGRESO DE LA REPUBLICA)/(Nº DE SOLICITUDES REMITIDAS POR EL CONGRESO DE LA REPUBLICA ALLEGADAS A LA DIRECCIÓN DURANTE EL PERIODO))*100</t>
  </si>
  <si>
    <t>GESTIONAR DE MANERA OPORTUNA LAS SOLICITUDES DE PROTECCIÓN IDENTIFICADAS CON INMINENCIA DE RIESGO (TRAMITE DE EMERGENCIA )</t>
  </si>
  <si>
    <t>PORCENTAJE DE RECURSOS ATENDIDOS OPORTUNAMENTE</t>
  </si>
  <si>
    <t>PORCENTAJE DE PLANES Y/O PROYECTOS EJECUTADOS QUE CONFORMAN EL PINAR</t>
  </si>
  <si>
    <t xml:space="preserve"> PORCENTAJE DECUMPLIMIENTO DEL PLAN DE CAPACITACIÓN Y BIENESTAR DEL TALENTO HUMANO</t>
  </si>
  <si>
    <t>PORCENTAJE  DEL NIVEL DE SEGURIDAD, ACCESIBILIDAD, DISPONIBILIDAD Y CONTINUIDAD DE LA INFORMACIÓN DE LOS PROCESOS UNP</t>
  </si>
  <si>
    <t>PORCENTAJE  DE CUMPLIMIENTO DE LA GESTIÓN OPERATIVA DE LA ENTIDAD</t>
  </si>
  <si>
    <t>PORCENTAJE DE EJECUCIÓN DEL PRESUPUESTO</t>
  </si>
  <si>
    <t>ÍNDICE INSTITUCIONAL DE GESTIÓN Y DESEMPEÑO INSTITUCIONAL SEGÚN -FURAG</t>
  </si>
  <si>
    <t>EFECTIVIDAD</t>
  </si>
  <si>
    <t>NIVEL DE PERCEPCIÓN DE SATISFACCIÓN DE LOS BENEFICIARIOS</t>
  </si>
  <si>
    <t>IDENTIFICAR LAS NECESIDADES DE ATENCIÓN INSTITUCIONAL EN REGIONES QUE REQUIEREN PRESENCIA DESCONCENTRADA DE LA UNP</t>
  </si>
  <si>
    <t>16.66%</t>
  </si>
  <si>
    <t xml:space="preserve">Nª DE DOCUMENTOS  ELABORADOS DE IDENTIFICACIÓN DE NECESIDADES DE ATENCIÓN INSTITUCIONAL EN REGIONES QUE REQUEIREN PRESENCIA DESCONCENTRADA DE LA UNP </t>
  </si>
  <si>
    <t>PUBLICAR LOS CONTENIDOS DE LA ENTIDAD QUE POR LEY REQUIEREN DE LA PARTICIPACIÓN CIUDADANA</t>
  </si>
  <si>
    <t xml:space="preserve">PIN-FT-01/V11         </t>
  </si>
  <si>
    <r>
      <rPr>
        <b/>
        <sz val="10"/>
        <color theme="1"/>
        <rFont val="Myanmar Text"/>
        <family val="2"/>
      </rPr>
      <t xml:space="preserve">Página </t>
    </r>
    <r>
      <rPr>
        <sz val="10"/>
        <color theme="1"/>
        <rFont val="Myanmar Text"/>
        <family val="2"/>
      </rPr>
      <t>1 de 1</t>
    </r>
  </si>
  <si>
    <t>FORMULAR E IMPLEMENTAR LA P.P NACIONAL DE PREVENCIÓN Y PROTECCIÓN  DE LÍDERES SOCIALES Y COMUNALES, PÉRIODISTAS Y  DEFENSORAS DE D.H, ACORDE CON LOS LINEAMIENTOS  DEL OBJETIVO
LAS ENTIDADES NACIONALES QUE HACEN PARTE DEL SISTEMA NACIONAL DE DERECHOS HUMANOS Y QUE CUENTEN CON POLÍTICAS PÚBLICAS EN MATERIA DE DERECHOS HUMANOS FORMULARÁN Y COORDINARÁN LA IMPLEMENTACIÓN DE SUS PLANES DE ACCIÓN Y SEGUIMIENTO</t>
  </si>
  <si>
    <t xml:space="preserve"> </t>
  </si>
  <si>
    <t>1,2%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</si>
</sst>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[$-240A]General"/>
    <numFmt numFmtId="165" formatCode="_-* #,##0.000_-;\-* #,##0.000_-;_-* &quot;-&quot;??_-;_-@_-"/>
    <numFmt numFmtId="166" formatCode="_-* #,##0_-;\-* #,##0_-;_-* &quot;-&quot;??_-;_-@_-"/>
    <numFmt numFmtId="167" formatCode="0.0000%"/>
    <numFmt numFmtId="168" formatCode="_(&quot;$&quot;\ * #,##0_);_(&quot;$&quot;\ * \(#,##0\);_(&quot;$&quot;\ * &quot;-&quot;_);_(@_)"/>
    <numFmt numFmtId="169" formatCode="0.000%"/>
    <numFmt numFmtId="170" formatCode="0.0%"/>
  </numFmts>
  <fonts count="1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Myanmar Text"/>
      <family val="2"/>
    </font>
    <font>
      <b/>
      <sz val="12"/>
      <color theme="1"/>
      <name val="Myanmar Text"/>
      <family val="2"/>
    </font>
    <font>
      <sz val="10"/>
      <color theme="1"/>
      <name val="Calibri"/>
      <family val="2"/>
      <scheme val="minor"/>
    </font>
    <font>
      <sz val="10"/>
      <color theme="1"/>
      <name val="Myanmar Text"/>
      <family val="2"/>
    </font>
    <font>
      <b/>
      <sz val="12"/>
      <name val="Myanmar Text"/>
      <family val="2"/>
    </font>
    <font>
      <sz val="12"/>
      <name val="Myanmar Text"/>
      <family val="2"/>
    </font>
    <font>
      <sz val="11"/>
      <color theme="1"/>
      <name val="Arial"/>
      <family val="2"/>
    </font>
    <font>
      <b/>
      <sz val="10"/>
      <color theme="1"/>
      <name val="Myanmar Text"/>
      <family val="2"/>
    </font>
    <font>
      <sz val="12"/>
      <color rgb="FF000000"/>
      <name val="Myanmar Text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rgb="FFFF0000"/>
      <name val="Myanmar Text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Myanmar Text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4" fontId="1" fillId="0" borderId="0" applyBorder="0" applyProtection="0"/>
    <xf numFmtId="0" fontId="11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" fillId="0" borderId="0"/>
    <xf numFmtId="168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63">
    <xf numFmtId="0" fontId="0" fillId="0" borderId="0" xfId="0"/>
    <xf numFmtId="9" fontId="0" fillId="0" borderId="0" xfId="0" applyNumberFormat="1"/>
    <xf numFmtId="0" fontId="10" fillId="0" borderId="1" xfId="0" applyFont="1" applyBorder="1" applyAlignment="1">
      <alignment horizontal="center" vertical="center"/>
    </xf>
    <xf numFmtId="9" fontId="10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9" fontId="7" fillId="8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9" fontId="2" fillId="0" borderId="1" xfId="3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165" fontId="7" fillId="0" borderId="1" xfId="4" applyNumberFormat="1" applyFont="1" applyFill="1" applyBorder="1" applyAlignment="1">
      <alignment vertical="center" wrapText="1"/>
    </xf>
    <xf numFmtId="9" fontId="7" fillId="0" borderId="1" xfId="0" applyNumberFormat="1" applyFont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 wrapText="1"/>
    </xf>
    <xf numFmtId="170" fontId="10" fillId="0" borderId="1" xfId="0" applyNumberFormat="1" applyFont="1" applyBorder="1" applyAlignment="1">
      <alignment horizontal="center" vertical="center" wrapText="1"/>
    </xf>
    <xf numFmtId="166" fontId="7" fillId="0" borderId="1" xfId="4" applyNumberFormat="1" applyFont="1" applyFill="1" applyBorder="1" applyAlignment="1">
      <alignment horizontal="left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70" fontId="2" fillId="0" borderId="1" xfId="0" applyNumberFormat="1" applyFont="1" applyBorder="1" applyAlignment="1">
      <alignment horizontal="center" vertical="center" wrapText="1"/>
    </xf>
    <xf numFmtId="170" fontId="7" fillId="0" borderId="1" xfId="0" applyNumberFormat="1" applyFont="1" applyBorder="1" applyAlignment="1">
      <alignment horizontal="center" vertical="center" wrapText="1"/>
    </xf>
    <xf numFmtId="9" fontId="7" fillId="0" borderId="1" xfId="3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0" fontId="7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0" fontId="2" fillId="0" borderId="1" xfId="3" applyNumberFormat="1" applyFont="1" applyBorder="1" applyAlignment="1">
      <alignment horizontal="center" vertical="center"/>
    </xf>
    <xf numFmtId="10" fontId="2" fillId="0" borderId="1" xfId="3" applyNumberFormat="1" applyFont="1" applyFill="1" applyBorder="1" applyAlignment="1">
      <alignment horizontal="center" vertical="center"/>
    </xf>
    <xf numFmtId="9" fontId="2" fillId="0" borderId="1" xfId="3" applyNumberFormat="1" applyFont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1" fontId="2" fillId="13" borderId="1" xfId="3" applyNumberFormat="1" applyFont="1" applyFill="1" applyBorder="1" applyAlignment="1">
      <alignment horizontal="center" vertical="center"/>
    </xf>
    <xf numFmtId="9" fontId="2" fillId="13" borderId="1" xfId="3" applyFont="1" applyFill="1" applyBorder="1" applyAlignment="1">
      <alignment horizontal="center" vertical="center"/>
    </xf>
    <xf numFmtId="9" fontId="2" fillId="13" borderId="1" xfId="0" applyNumberFormat="1" applyFont="1" applyFill="1" applyBorder="1" applyAlignment="1">
      <alignment horizontal="center" vertical="center"/>
    </xf>
    <xf numFmtId="167" fontId="2" fillId="13" borderId="1" xfId="0" applyNumberFormat="1" applyFont="1" applyFill="1" applyBorder="1" applyAlignment="1">
      <alignment horizontal="center" vertical="center"/>
    </xf>
    <xf numFmtId="14" fontId="2" fillId="13" borderId="1" xfId="0" applyNumberFormat="1" applyFont="1" applyFill="1" applyBorder="1" applyAlignment="1">
      <alignment horizontal="center" vertical="center"/>
    </xf>
    <xf numFmtId="1" fontId="2" fillId="13" borderId="1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/>
    </xf>
    <xf numFmtId="9" fontId="7" fillId="13" borderId="1" xfId="3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9" fontId="2" fillId="14" borderId="1" xfId="3" applyFont="1" applyFill="1" applyBorder="1" applyAlignment="1">
      <alignment horizontal="center" vertical="center"/>
    </xf>
    <xf numFmtId="1" fontId="2" fillId="14" borderId="1" xfId="3" applyNumberFormat="1" applyFont="1" applyFill="1" applyBorder="1" applyAlignment="1">
      <alignment horizontal="center" vertical="center"/>
    </xf>
    <xf numFmtId="9" fontId="2" fillId="14" borderId="1" xfId="0" applyNumberFormat="1" applyFont="1" applyFill="1" applyBorder="1" applyAlignment="1">
      <alignment horizontal="center" vertical="center"/>
    </xf>
    <xf numFmtId="14" fontId="2" fillId="14" borderId="1" xfId="0" applyNumberFormat="1" applyFont="1" applyFill="1" applyBorder="1" applyAlignment="1">
      <alignment horizontal="center" vertical="center"/>
    </xf>
    <xf numFmtId="1" fontId="2" fillId="14" borderId="1" xfId="0" applyNumberFormat="1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/>
    </xf>
    <xf numFmtId="9" fontId="7" fillId="14" borderId="1" xfId="3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9" fontId="2" fillId="15" borderId="1" xfId="3" applyFont="1" applyFill="1" applyBorder="1" applyAlignment="1">
      <alignment horizontal="center" vertical="center"/>
    </xf>
    <xf numFmtId="1" fontId="2" fillId="15" borderId="1" xfId="3" applyNumberFormat="1" applyFont="1" applyFill="1" applyBorder="1" applyAlignment="1">
      <alignment horizontal="center" vertical="center"/>
    </xf>
    <xf numFmtId="9" fontId="2" fillId="15" borderId="1" xfId="0" applyNumberFormat="1" applyFont="1" applyFill="1" applyBorder="1" applyAlignment="1">
      <alignment horizontal="center" vertical="center"/>
    </xf>
    <xf numFmtId="14" fontId="2" fillId="15" borderId="1" xfId="0" applyNumberFormat="1" applyFont="1" applyFill="1" applyBorder="1" applyAlignment="1">
      <alignment horizontal="center" vertical="center"/>
    </xf>
    <xf numFmtId="1" fontId="2" fillId="15" borderId="1" xfId="0" applyNumberFormat="1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/>
    </xf>
    <xf numFmtId="9" fontId="7" fillId="15" borderId="1" xfId="3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9" fontId="2" fillId="16" borderId="1" xfId="3" applyFont="1" applyFill="1" applyBorder="1" applyAlignment="1">
      <alignment horizontal="center" vertical="center"/>
    </xf>
    <xf numFmtId="1" fontId="2" fillId="16" borderId="1" xfId="3" applyNumberFormat="1" applyFont="1" applyFill="1" applyBorder="1" applyAlignment="1">
      <alignment horizontal="center" vertical="center"/>
    </xf>
    <xf numFmtId="9" fontId="2" fillId="16" borderId="1" xfId="0" applyNumberFormat="1" applyFont="1" applyFill="1" applyBorder="1" applyAlignment="1">
      <alignment horizontal="center" vertical="center"/>
    </xf>
    <xf numFmtId="14" fontId="2" fillId="16" borderId="1" xfId="0" applyNumberFormat="1" applyFont="1" applyFill="1" applyBorder="1" applyAlignment="1">
      <alignment horizontal="center" vertical="center"/>
    </xf>
    <xf numFmtId="1" fontId="2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/>
    </xf>
    <xf numFmtId="9" fontId="7" fillId="16" borderId="1" xfId="3" applyFont="1" applyFill="1" applyBorder="1" applyAlignment="1">
      <alignment horizontal="center" vertical="center"/>
    </xf>
    <xf numFmtId="10" fontId="0" fillId="0" borderId="0" xfId="0" applyNumberFormat="1"/>
    <xf numFmtId="10" fontId="0" fillId="0" borderId="0" xfId="3" applyNumberFormat="1" applyFont="1"/>
    <xf numFmtId="9" fontId="2" fillId="0" borderId="1" xfId="3" applyFont="1" applyBorder="1" applyAlignment="1">
      <alignment horizontal="center" vertical="center"/>
    </xf>
    <xf numFmtId="10" fontId="7" fillId="0" borderId="1" xfId="3" applyNumberFormat="1" applyFont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9" fontId="2" fillId="17" borderId="1" xfId="0" applyNumberFormat="1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left" vertical="center"/>
    </xf>
    <xf numFmtId="2" fontId="0" fillId="0" borderId="0" xfId="0" applyNumberFormat="1"/>
    <xf numFmtId="0" fontId="0" fillId="0" borderId="0" xfId="3" applyNumberFormat="1" applyFont="1"/>
    <xf numFmtId="10" fontId="2" fillId="17" borderId="1" xfId="3" applyNumberFormat="1" applyFont="1" applyFill="1" applyBorder="1" applyAlignment="1">
      <alignment horizontal="center" vertical="center"/>
    </xf>
    <xf numFmtId="9" fontId="2" fillId="17" borderId="1" xfId="3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2" fillId="0" borderId="1" xfId="3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70" fontId="2" fillId="0" borderId="1" xfId="3" applyNumberFormat="1" applyFont="1" applyBorder="1" applyAlignment="1">
      <alignment horizontal="center" vertical="center"/>
    </xf>
    <xf numFmtId="170" fontId="2" fillId="17" borderId="1" xfId="3" applyNumberFormat="1" applyFont="1" applyFill="1" applyBorder="1" applyAlignment="1">
      <alignment horizontal="center" vertical="center"/>
    </xf>
    <xf numFmtId="9" fontId="2" fillId="17" borderId="1" xfId="3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66" fontId="2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</cellXfs>
  <cellStyles count="18">
    <cellStyle name="Excel Built-in Normal" xfId="1" xr:uid="{63279EF0-DC71-4C76-8296-1D540D464AC4}"/>
    <cellStyle name="Hyperlink" xfId="13" xr:uid="{93A9A9A8-2484-4298-899F-34112C6536D7}"/>
    <cellStyle name="Millares 2" xfId="4" xr:uid="{1A4F00B7-E585-4917-980C-0098B3CAA994}"/>
    <cellStyle name="Millares 2 2" xfId="6" xr:uid="{D7E89945-F6CF-4FAA-8827-0A5DAA403390}"/>
    <cellStyle name="Millares 2 3" xfId="9" xr:uid="{A1C5B739-6D69-4E9F-B096-BC11534E0E19}"/>
    <cellStyle name="Millares 2 4" xfId="10" xr:uid="{9C3F3AB4-8EC0-4E27-AFEE-3BCB9F195EA2}"/>
    <cellStyle name="Millares 2 5" xfId="11" xr:uid="{615C4ECD-CED7-43CC-BCB8-1B61BB167C81}"/>
    <cellStyle name="Millares 2 6" xfId="12" xr:uid="{0E8590C3-DF76-40ED-9660-8BCDEDF90DBE}"/>
    <cellStyle name="Millares 2 7" xfId="15" xr:uid="{FCB2D880-2391-4DE4-A8FC-B7BE90116CC6}"/>
    <cellStyle name="Millares 2 8" xfId="16" xr:uid="{196835F3-0A65-457E-B90F-CB95765A8790}"/>
    <cellStyle name="Millares 2 9" xfId="17" xr:uid="{E6924099-ADB7-4BA5-AFF0-55B67D73F952}"/>
    <cellStyle name="Millares 3" xfId="5" xr:uid="{553C21DC-C1C6-4174-8A39-51FA7CA2B746}"/>
    <cellStyle name="Millares 4" xfId="14" xr:uid="{A5A26C0F-8507-405F-AA27-B9B41F166F70}"/>
    <cellStyle name="Moneda [0] 2" xfId="8" xr:uid="{F46B0D52-31B5-425A-9C49-FEA43544A044}"/>
    <cellStyle name="Normal" xfId="0" builtinId="0"/>
    <cellStyle name="Normal 2 4" xfId="7" xr:uid="{9E4DE6AB-8415-4648-9B9A-890499E9B099}"/>
    <cellStyle name="Normal 3" xfId="2" xr:uid="{B557E93B-55C8-40F1-B5B4-AD358414FF2C}"/>
    <cellStyle name="Porcentaje" xfId="3" builtinId="5"/>
  </cellStyles>
  <dxfs count="0"/>
  <tableStyles count="0" defaultTableStyle="TableStyleMedium2" defaultPivotStyle="PivotStyleLight16"/>
  <colors>
    <mruColors>
      <color rgb="FF993366"/>
      <color rgb="FF080808"/>
      <color rgb="FF990033"/>
      <color rgb="FF660066"/>
      <color rgb="FF8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2.xml"/><Relationship Id="rId5" Type="http://schemas.openxmlformats.org/officeDocument/2006/relationships/styles" Target="styles.xml"/><Relationship Id="rId10" Type="http://schemas.openxmlformats.org/officeDocument/2006/relationships/customXml" Target="../customXml/item1.xml"/><Relationship Id="rId4" Type="http://schemas.openxmlformats.org/officeDocument/2006/relationships/connections" Target="connections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542926</xdr:colOff>
      <xdr:row>0</xdr:row>
      <xdr:rowOff>95250</xdr:rowOff>
    </xdr:from>
    <xdr:to>
      <xdr:col>0</xdr:col>
      <xdr:colOff>1055788</xdr:colOff>
      <xdr:row>2</xdr:row>
      <xdr:rowOff>228600</xdr:rowOff>
    </xdr:to>
    <xdr:pic>
      <xdr:nvPicPr>
        <xdr:cNvPr id="2" name="12 Imagen">
          <a:extLst>
            <a:ext uri="{FF2B5EF4-FFF2-40B4-BE49-F238E27FC236}">
              <a16:creationId xmlns:a16="http://schemas.microsoft.com/office/drawing/2014/main" id="{CB59B08C-D280-4EAB-809B-9B035735A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6" y="95250"/>
          <a:ext cx="507914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304801</xdr:colOff>
      <xdr:row>0</xdr:row>
      <xdr:rowOff>45881</xdr:rowOff>
    </xdr:from>
    <xdr:to>
      <xdr:col>38</xdr:col>
      <xdr:colOff>381001</xdr:colOff>
      <xdr:row>2</xdr:row>
      <xdr:rowOff>260798</xdr:rowOff>
    </xdr:to>
    <xdr:pic>
      <xdr:nvPicPr>
        <xdr:cNvPr id="3" name="Imagen 1" descr="image001">
          <a:extLst>
            <a:ext uri="{FF2B5EF4-FFF2-40B4-BE49-F238E27FC236}">
              <a16:creationId xmlns:a16="http://schemas.microsoft.com/office/drawing/2014/main" id="{5CDC37E9-5393-4DFD-9B82-540BA8C8C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65676" y="45881"/>
          <a:ext cx="1152525" cy="767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542926</xdr:colOff>
      <xdr:row>0</xdr:row>
      <xdr:rowOff>95250</xdr:rowOff>
    </xdr:from>
    <xdr:to>
      <xdr:col>0</xdr:col>
      <xdr:colOff>1055788</xdr:colOff>
      <xdr:row>2</xdr:row>
      <xdr:rowOff>228600</xdr:rowOff>
    </xdr:to>
    <xdr:pic>
      <xdr:nvPicPr>
        <xdr:cNvPr id="4" name="12 Imagen">
          <a:extLst>
            <a:ext uri="{FF2B5EF4-FFF2-40B4-BE49-F238E27FC236}">
              <a16:creationId xmlns:a16="http://schemas.microsoft.com/office/drawing/2014/main" id="{F3C93FAD-F15A-45C3-8F0B-FDEB4C54F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6" y="95250"/>
          <a:ext cx="512862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304801</xdr:colOff>
      <xdr:row>0</xdr:row>
      <xdr:rowOff>45881</xdr:rowOff>
    </xdr:from>
    <xdr:to>
      <xdr:col>38</xdr:col>
      <xdr:colOff>381001</xdr:colOff>
      <xdr:row>2</xdr:row>
      <xdr:rowOff>260798</xdr:rowOff>
    </xdr:to>
    <xdr:pic>
      <xdr:nvPicPr>
        <xdr:cNvPr id="5" name="Imagen 1" descr="image001">
          <a:extLst>
            <a:ext uri="{FF2B5EF4-FFF2-40B4-BE49-F238E27FC236}">
              <a16:creationId xmlns:a16="http://schemas.microsoft.com/office/drawing/2014/main" id="{B862FB92-9C85-479D-9F84-86DB8AAF0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56226" y="45881"/>
          <a:ext cx="1190625" cy="767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542926</xdr:colOff>
      <xdr:row>0</xdr:row>
      <xdr:rowOff>95250</xdr:rowOff>
    </xdr:from>
    <xdr:to>
      <xdr:col>0</xdr:col>
      <xdr:colOff>1055788</xdr:colOff>
      <xdr:row>2</xdr:row>
      <xdr:rowOff>228600</xdr:rowOff>
    </xdr:to>
    <xdr:pic>
      <xdr:nvPicPr>
        <xdr:cNvPr id="6" name="12 Imagen">
          <a:extLst>
            <a:ext uri="{FF2B5EF4-FFF2-40B4-BE49-F238E27FC236}">
              <a16:creationId xmlns:a16="http://schemas.microsoft.com/office/drawing/2014/main" id="{2EBE55B1-5C91-47B0-AE69-4247EF694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6" y="95250"/>
          <a:ext cx="512862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304801</xdr:colOff>
      <xdr:row>0</xdr:row>
      <xdr:rowOff>45881</xdr:rowOff>
    </xdr:from>
    <xdr:to>
      <xdr:col>38</xdr:col>
      <xdr:colOff>381001</xdr:colOff>
      <xdr:row>2</xdr:row>
      <xdr:rowOff>260798</xdr:rowOff>
    </xdr:to>
    <xdr:pic>
      <xdr:nvPicPr>
        <xdr:cNvPr id="7" name="Imagen 1" descr="image001">
          <a:extLst>
            <a:ext uri="{FF2B5EF4-FFF2-40B4-BE49-F238E27FC236}">
              <a16:creationId xmlns:a16="http://schemas.microsoft.com/office/drawing/2014/main" id="{8AF2D25C-2950-423B-95C9-409986B76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56226" y="45881"/>
          <a:ext cx="1190625" cy="767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ACI&#211;N%20IN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ACIÓN INST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gina margarita diaz lobo" id="{BA4397B4-576B-4281-9525-37E6372E3725}" userId="574e8a267f5e9ca2" providerId="Windows Live"/>
  <person displayName="Gina Margarita Diaz Lobo" id="{1949A206-C53C-4C20-A32A-2B0E0DCC4CEF}" userId="Gina Margarita Diaz Lobo" providerId="None"/>
  <person displayName="Gina Margarita Diaz Lobo" id="{6993DED0-BA57-4D3C-9C66-4717209CC544}" userId="S::gina.diaz@unp.gov.co::02b15c52-b494-4cde-bcf9-1f7fd87c5d2a" providerId="AD"/>
  <person displayName="Pamela Reyespatria Camargo" id="{37250CCD-C489-44EA-8CB5-830AD49ECF64}" userId="S::pamela.reyespatria@unp.gov.co::cb5345d6-6924-4c3c-9918-c83f07047e3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7" dT="2020-02-28T13:41:24.42" personId="{6993DED0-BA57-4D3C-9C66-4717209CC544}" id="{A07B3614-59B6-4E1F-AA40-37D57923ADAD}">
    <text>Se modifica a solciitud del lider del proceso segun MEM20-00004964 de fecha 27 de febrero 2020</text>
  </threadedComment>
  <threadedComment ref="AM20" dT="2020-11-17T22:02:39.24" personId="{6993DED0-BA57-4D3C-9C66-4717209CC544}" id="{E608F5B1-31D6-4A25-A44C-88F7848CFF18}">
    <text>se ajusta a solicitud del proceso de la medicion del resultado del indicador mesa de retroalimentación III Trimestre 17-11-2020</text>
  </threadedComment>
  <threadedComment ref="AK29" dT="2020-10-26T16:11:36.28" personId="{6993DED0-BA57-4D3C-9C66-4717209CC544}" id="{6B58D1A8-ED75-4A71-8461-68BC42A28589}">
    <text>se deja como no cumplido teniendo en cuenta que se afecta la no implementacion del PPESP y asi se concluyo en la mesa de trabajo del grupo de indicadores el 26/10/2020</text>
  </threadedComment>
  <threadedComment ref="AI30" dT="2020-04-21T16:59:44.47" personId="{BA4397B4-576B-4281-9525-37E6372E3725}" id="{0D3817D4-ED22-426E-A183-03EDACED3675}">
    <text>21 marzo 2020 no se evidencia reporte en el aplicativo socrates del indicador en mención</text>
  </threadedComment>
  <threadedComment ref="AI30" dT="2020-07-09T22:30:11.82" personId="{1949A206-C53C-4C20-A32A-2B0E0DCC4CEF}" id="{5F21C213-1F9E-4AD3-9DE3-74624E1F87BC}" parentId="{0D3817D4-ED22-426E-A183-03EDACED3675}">
    <text>Se realiza el reporte del indicador extemporaneamente segun planeador estaba para el mes de marzo I trimestre y se reporta en junio paraa el II trimestre del año</text>
  </threadedComment>
  <threadedComment ref="AJ30" dT="2020-04-21T16:59:44.47" personId="{BA4397B4-576B-4281-9525-37E6372E3725}" id="{597FAB55-5164-4DD4-B762-64D1F49E8DD2}">
    <text>21 marzo 2020 no se evidencia reporte en el aplicativo socrates del indicador en mención</text>
  </threadedComment>
  <threadedComment ref="AJ30" dT="2020-07-09T22:30:11.82" personId="{1949A206-C53C-4C20-A32A-2B0E0DCC4CEF}" id="{9349AE73-6495-4D64-8751-1763985E44F2}" parentId="{597FAB55-5164-4DD4-B762-64D1F49E8DD2}">
    <text>Se realiza el reporte del indicador extemporaneamente segun planeador estaba para el mes de marzo I trimestre y se reporta en junio paraa el II trimestre del año</text>
  </threadedComment>
  <threadedComment ref="L39" dT="2020-02-28T20:41:27.29" personId="{6993DED0-BA57-4D3C-9C66-4717209CC544}" id="{94378D32-400C-40B0-AE02-37FF86DEC892}">
    <text>Se crea a solcitud del lider del proceso segun MEM20-00004964 de fecha 27 de febrero 2020</text>
  </threadedComment>
  <threadedComment ref="L45" dT="2020-02-28T13:53:07.12" personId="{6993DED0-BA57-4D3C-9C66-4717209CC544}" id="{DB5C4E02-54BE-40F3-A6F0-3C4E02A2C59B}">
    <text>Se modifica a solciitud del lider del proceso segun MEM20-00004964 de fecha 27 de febrero 2020</text>
  </threadedComment>
  <threadedComment ref="L48" dT="2020-02-28T14:00:44.62" personId="{6993DED0-BA57-4D3C-9C66-4717209CC544}" id="{B65B5A1F-4858-4675-BD5A-E9D7307E8E19}">
    <text>Se modifica a solciitud del lider del proceso segun MEM20-00004964 de fecha 27 de febrero 2020</text>
  </threadedComment>
  <threadedComment ref="M75" dT="2020-03-25T13:48:39.98" personId="{BA4397B4-576B-4281-9525-37E6372E3725}" id="{D3DE7E20-26AF-4AFF-BECC-A3F85DEB5546}">
    <text>SE MODIFICA A SOLICITUD DEL PROCESO Y AUTORIZADO POR LA COORDINADORA DEL GPEMC</text>
  </threadedComment>
  <threadedComment ref="M76" dT="2020-03-25T13:48:55.59" personId="{BA4397B4-576B-4281-9525-37E6372E3725}" id="{416B01A7-A9C0-4A63-B767-2BCC7DD725F4}">
    <text>SE CREA A SOLICITUD DEL PROCESO Y AUTORIZADO POR LA COORDINADORA DEL GPEMC</text>
  </threadedComment>
  <threadedComment ref="AM76" dT="2020-11-23T05:09:56.11" personId="{37250CCD-C489-44EA-8CB5-830AD49ECF64}" id="{17AC1C26-4FA4-4D43-B377-DA7B8B1DB509}">
    <text>falta el avance del III trimestre</text>
  </threadedComment>
  <threadedComment ref="AM77" dT="2020-11-23T05:10:15.03" personId="{37250CCD-C489-44EA-8CB5-830AD49ECF64}" id="{14399CCF-4743-48E5-BC11-7DC5C07F5622}">
    <text>es el 75% cumplio la meta</text>
  </threadedComment>
  <threadedComment ref="AI80" dT="2020-11-17T22:04:27.20" personId="{6993DED0-BA57-4D3C-9C66-4717209CC544}" id="{72208091-D4BC-4EE8-9EB5-027AC4083373}">
    <text>Se ajusta a solcitud del proceso toda vez que en este reporte realizado se describio un avance mas no el cumplimiento de la meta la cual se da hasta el mes de septiembre y segun lo acordado en la mesa de retroalimentacion del III Trimestre 17-11-2020</text>
  </threadedComment>
  <threadedComment ref="J87" dT="2020-02-10T16:31:49.27" personId="{6993DED0-BA57-4D3C-9C66-4717209CC544}" id="{4036889E-CEA7-4225-9924-7737F4370390}">
    <text>Se actualiza en el planeador mes del reporte segun solicitud del proceso MEM20-00002787 de fecha 6 de febrero de 2020 y aprobado por la coordiandora del GPEMC</text>
  </threadedComment>
  <threadedComment ref="J88" dT="2020-02-10T16:32:26.55" personId="{6993DED0-BA57-4D3C-9C66-4717209CC544}" id="{93B1D7B4-3570-4568-AF5F-FF61EAAB3173}">
    <text>Se actualiza en el planeador mes del reporte segun solicitud del proceso MEM20-00002787 de fecha 6 de febrero de 2020 y aprobado por la coordiandora del GPEMC</text>
  </threadedComment>
  <threadedComment ref="M114" dT="2020-02-24T14:19:11.22" personId="{6993DED0-BA57-4D3C-9C66-4717209CC544}" id="{ABC9ECDB-C3F2-4DC1-ADCE-7DF8E7E74C3D}">
    <text>Se modifica a solciitud del proceso segun MEM20-00003665 del 14 de febrero 2020</text>
  </threadedComment>
  <threadedComment ref="M115" dT="2020-02-24T20:31:52.23" personId="{6993DED0-BA57-4D3C-9C66-4717209CC544}" id="{01658229-C968-431D-A1C3-010F48C2C562}">
    <text>Se modifica a solciitud del proceso segun MEM20-00003665 del 14 de febrero 2020</text>
  </threadedComment>
  <threadedComment ref="M116" dT="2020-02-24T14:28:32.92" personId="{6993DED0-BA57-4D3C-9C66-4717209CC544}" id="{233670E2-6279-4F3D-B76C-AC159C60D11F}">
    <text>Se modifica a solicitud del proceso segun MEM20-00003665 del 14 febrero 2020</text>
  </threadedComment>
  <threadedComment ref="L117" dT="2020-02-28T14:12:16.00" personId="{6993DED0-BA57-4D3C-9C66-4717209CC544}" id="{D3B04E84-0760-46F7-BFBC-9E87CFBC225C}">
    <text>Se modifica a solciitud del lider del proceso segun MEM20-00004964 de fecha 27 de febrero 2020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070CE-12FB-42D3-BEFA-A00DC6666954}">
  <dimension ref="A1:AP133"/>
  <sheetViews>
    <sheetView tabSelected="1" topLeftCell="T122" zoomScale="60" zoomScaleNormal="60" workbookViewId="0">
      <selection sqref="A1:AO130"/>
    </sheetView>
  </sheetViews>
  <sheetFormatPr baseColWidth="10" defaultRowHeight="15" x14ac:dyDescent="0.25"/>
  <cols>
    <col min="1" max="1" width="45.42578125" customWidth="1"/>
    <col min="2" max="2" width="60.28515625" customWidth="1"/>
    <col min="3" max="3" width="52.140625" customWidth="1"/>
    <col min="4" max="4" width="69.28515625" customWidth="1"/>
    <col min="5" max="5" width="87.140625" customWidth="1"/>
    <col min="6" max="6" width="77.140625" bestFit="1" customWidth="1"/>
    <col min="7" max="7" width="59.140625" customWidth="1"/>
    <col min="8" max="8" width="61.5703125" bestFit="1" customWidth="1"/>
    <col min="9" max="9" width="17.42578125" customWidth="1"/>
    <col min="10" max="10" width="67.5703125" bestFit="1" customWidth="1"/>
    <col min="11" max="11" width="10.85546875" bestFit="1" customWidth="1"/>
    <col min="12" max="12" width="52.5703125" hidden="1" customWidth="1"/>
    <col min="13" max="13" width="66.42578125" bestFit="1" customWidth="1"/>
    <col min="14" max="14" width="16.28515625" customWidth="1"/>
    <col min="15" max="15" width="74.42578125" customWidth="1"/>
    <col min="16" max="16" width="15.5703125" customWidth="1"/>
    <col min="17" max="17" width="30" bestFit="1" customWidth="1"/>
    <col min="18" max="18" width="41" customWidth="1"/>
    <col min="19" max="19" width="63.140625" customWidth="1"/>
    <col min="20" max="20" width="45.7109375" customWidth="1"/>
    <col min="21" max="21" width="21.5703125" customWidth="1"/>
    <col min="22" max="24" width="8.140625" customWidth="1"/>
    <col min="25" max="25" width="7.42578125" customWidth="1"/>
    <col min="26" max="26" width="8.28515625" customWidth="1"/>
    <col min="27" max="27" width="8.7109375" customWidth="1"/>
    <col min="28" max="28" width="8" customWidth="1"/>
    <col min="29" max="29" width="7.7109375" customWidth="1"/>
    <col min="30" max="30" width="10.42578125" customWidth="1"/>
    <col min="31" max="31" width="8.140625" customWidth="1"/>
    <col min="32" max="33" width="10.42578125" customWidth="1"/>
    <col min="34" max="34" width="8" customWidth="1"/>
    <col min="35" max="35" width="19.5703125" customWidth="1"/>
    <col min="36" max="38" width="16.7109375" bestFit="1" customWidth="1"/>
    <col min="39" max="39" width="15.7109375" bestFit="1" customWidth="1"/>
    <col min="40" max="40" width="19.5703125" bestFit="1" customWidth="1"/>
    <col min="41" max="41" width="21.28515625" bestFit="1" customWidth="1"/>
  </cols>
  <sheetData>
    <row r="1" spans="1:42" s="12" customFormat="1" ht="21.95" customHeight="1" x14ac:dyDescent="0.25">
      <c r="A1" s="157"/>
      <c r="B1" s="157"/>
      <c r="C1" s="158" t="s">
        <v>550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9"/>
      <c r="AJ1" s="159"/>
      <c r="AK1" s="159"/>
      <c r="AL1" s="159"/>
      <c r="AM1" s="159"/>
      <c r="AN1" s="159"/>
      <c r="AO1" s="159"/>
    </row>
    <row r="2" spans="1:42" s="12" customFormat="1" ht="21.95" customHeight="1" x14ac:dyDescent="0.25">
      <c r="A2" s="157"/>
      <c r="B2" s="157"/>
      <c r="C2" s="158" t="s">
        <v>28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9"/>
      <c r="AJ2" s="159"/>
      <c r="AK2" s="159"/>
      <c r="AL2" s="159"/>
      <c r="AM2" s="159"/>
      <c r="AN2" s="159"/>
      <c r="AO2" s="159"/>
    </row>
    <row r="3" spans="1:42" s="12" customFormat="1" ht="21.95" customHeight="1" x14ac:dyDescent="0.25">
      <c r="A3" s="157"/>
      <c r="B3" s="157"/>
      <c r="C3" s="160" t="s">
        <v>27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59"/>
      <c r="AJ3" s="159"/>
      <c r="AK3" s="159"/>
      <c r="AL3" s="159"/>
      <c r="AM3" s="159"/>
      <c r="AN3" s="159"/>
      <c r="AO3" s="159"/>
    </row>
    <row r="4" spans="1:42" s="16" customFormat="1" ht="43.5" customHeight="1" x14ac:dyDescent="0.25">
      <c r="A4" s="161" t="s">
        <v>551</v>
      </c>
      <c r="B4" s="161"/>
      <c r="C4" s="161"/>
      <c r="D4" s="161"/>
      <c r="E4" s="11" t="s">
        <v>552</v>
      </c>
      <c r="F4" s="162" t="s">
        <v>553</v>
      </c>
      <c r="G4" s="162"/>
      <c r="H4" s="162"/>
      <c r="I4" s="162"/>
      <c r="J4" s="154" t="s">
        <v>26</v>
      </c>
      <c r="K4" s="154"/>
      <c r="L4" s="154"/>
      <c r="M4" s="154"/>
      <c r="N4" s="154"/>
      <c r="O4" s="154"/>
      <c r="P4" s="154"/>
      <c r="Q4" s="154"/>
      <c r="R4" s="153" t="s">
        <v>25</v>
      </c>
      <c r="S4" s="153" t="s">
        <v>638</v>
      </c>
      <c r="T4" s="153" t="s">
        <v>29</v>
      </c>
      <c r="U4" s="153" t="s">
        <v>24</v>
      </c>
      <c r="V4" s="154" t="s">
        <v>23</v>
      </c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3" t="s">
        <v>22</v>
      </c>
      <c r="AI4" s="155" t="s">
        <v>554</v>
      </c>
      <c r="AJ4" s="155"/>
      <c r="AK4" s="155"/>
      <c r="AL4" s="155"/>
      <c r="AM4" s="155"/>
      <c r="AN4" s="155"/>
      <c r="AO4" s="155"/>
    </row>
    <row r="5" spans="1:42" s="22" customFormat="1" ht="74.25" x14ac:dyDescent="0.25">
      <c r="A5" s="17" t="s">
        <v>555</v>
      </c>
      <c r="B5" s="17" t="s">
        <v>556</v>
      </c>
      <c r="C5" s="17" t="s">
        <v>557</v>
      </c>
      <c r="D5" s="17" t="s">
        <v>558</v>
      </c>
      <c r="E5" s="18" t="s">
        <v>559</v>
      </c>
      <c r="F5" s="100" t="s">
        <v>560</v>
      </c>
      <c r="G5" s="100" t="s">
        <v>21</v>
      </c>
      <c r="H5" s="100" t="s">
        <v>561</v>
      </c>
      <c r="I5" s="100" t="s">
        <v>20</v>
      </c>
      <c r="J5" s="109" t="s">
        <v>19</v>
      </c>
      <c r="K5" s="19" t="s">
        <v>562</v>
      </c>
      <c r="L5" s="109" t="s">
        <v>18</v>
      </c>
      <c r="M5" s="109" t="s">
        <v>17</v>
      </c>
      <c r="N5" s="109" t="s">
        <v>563</v>
      </c>
      <c r="O5" s="109" t="s">
        <v>16</v>
      </c>
      <c r="P5" s="109" t="s">
        <v>15</v>
      </c>
      <c r="Q5" s="109" t="s">
        <v>14</v>
      </c>
      <c r="R5" s="153"/>
      <c r="S5" s="153"/>
      <c r="T5" s="153"/>
      <c r="U5" s="153"/>
      <c r="V5" s="20" t="s">
        <v>13</v>
      </c>
      <c r="W5" s="20" t="s">
        <v>12</v>
      </c>
      <c r="X5" s="20" t="s">
        <v>11</v>
      </c>
      <c r="Y5" s="20" t="s">
        <v>10</v>
      </c>
      <c r="Z5" s="20" t="s">
        <v>9</v>
      </c>
      <c r="AA5" s="20" t="s">
        <v>8</v>
      </c>
      <c r="AB5" s="20" t="s">
        <v>7</v>
      </c>
      <c r="AC5" s="20" t="s">
        <v>6</v>
      </c>
      <c r="AD5" s="20" t="s">
        <v>5</v>
      </c>
      <c r="AE5" s="20" t="s">
        <v>4</v>
      </c>
      <c r="AF5" s="20" t="s">
        <v>3</v>
      </c>
      <c r="AG5" s="20" t="s">
        <v>2</v>
      </c>
      <c r="AH5" s="153"/>
      <c r="AI5" s="111" t="s">
        <v>564</v>
      </c>
      <c r="AJ5" s="111" t="s">
        <v>565</v>
      </c>
      <c r="AK5" s="111" t="s">
        <v>566</v>
      </c>
      <c r="AL5" s="111" t="s">
        <v>567</v>
      </c>
      <c r="AM5" s="111" t="s">
        <v>568</v>
      </c>
      <c r="AN5" s="111" t="s">
        <v>569</v>
      </c>
      <c r="AO5" s="111" t="s">
        <v>570</v>
      </c>
      <c r="AP5" s="21"/>
    </row>
    <row r="6" spans="1:42" s="24" customFormat="1" ht="87.75" customHeight="1" x14ac:dyDescent="0.25">
      <c r="A6" s="108" t="s">
        <v>571</v>
      </c>
      <c r="B6" s="108" t="s">
        <v>572</v>
      </c>
      <c r="C6" s="108" t="s">
        <v>573</v>
      </c>
      <c r="D6" s="108" t="s">
        <v>637</v>
      </c>
      <c r="E6" s="23" t="s">
        <v>574</v>
      </c>
      <c r="F6" s="96" t="s">
        <v>575</v>
      </c>
      <c r="G6" s="101" t="s">
        <v>31</v>
      </c>
      <c r="H6" s="108" t="s">
        <v>638</v>
      </c>
      <c r="I6" s="2" t="s">
        <v>55</v>
      </c>
      <c r="J6" s="101" t="s">
        <v>56</v>
      </c>
      <c r="K6" s="102">
        <v>1</v>
      </c>
      <c r="L6" s="101" t="s">
        <v>57</v>
      </c>
      <c r="M6" s="101" t="s">
        <v>58</v>
      </c>
      <c r="N6" s="14" t="s">
        <v>576</v>
      </c>
      <c r="O6" s="103" t="s">
        <v>59</v>
      </c>
      <c r="P6" s="102" t="s">
        <v>60</v>
      </c>
      <c r="Q6" s="102" t="s">
        <v>61</v>
      </c>
      <c r="R6" s="3" t="s">
        <v>62</v>
      </c>
      <c r="S6" s="103"/>
      <c r="T6" s="103"/>
      <c r="U6" s="104" t="s">
        <v>63</v>
      </c>
      <c r="V6" s="42"/>
      <c r="W6" s="42"/>
      <c r="X6" s="42"/>
      <c r="Y6" s="52"/>
      <c r="Z6" s="52"/>
      <c r="AA6" s="52">
        <v>1</v>
      </c>
      <c r="AB6" s="70"/>
      <c r="AC6" s="70"/>
      <c r="AD6" s="70"/>
      <c r="AE6" s="61"/>
      <c r="AF6" s="61"/>
      <c r="AG6" s="61">
        <v>1</v>
      </c>
      <c r="AH6" s="104">
        <v>2</v>
      </c>
      <c r="AI6" s="104"/>
      <c r="AJ6" s="105">
        <v>0</v>
      </c>
      <c r="AK6" s="104"/>
      <c r="AL6" s="110"/>
      <c r="AM6" s="81">
        <f>(AI6+AJ6+AK6+AL6)/2</f>
        <v>0</v>
      </c>
      <c r="AN6" s="110"/>
      <c r="AO6" s="39">
        <v>0</v>
      </c>
    </row>
    <row r="7" spans="1:42" s="24" customFormat="1" ht="86.25" customHeight="1" x14ac:dyDescent="0.25">
      <c r="A7" s="131" t="s">
        <v>571</v>
      </c>
      <c r="B7" s="131" t="s">
        <v>577</v>
      </c>
      <c r="C7" s="131" t="s">
        <v>578</v>
      </c>
      <c r="D7" s="131" t="s">
        <v>579</v>
      </c>
      <c r="E7" s="129" t="s">
        <v>574</v>
      </c>
      <c r="F7" s="129" t="s">
        <v>580</v>
      </c>
      <c r="G7" s="129" t="s">
        <v>32</v>
      </c>
      <c r="H7" s="129" t="s">
        <v>581</v>
      </c>
      <c r="I7" s="4" t="s">
        <v>64</v>
      </c>
      <c r="J7" s="96" t="s">
        <v>65</v>
      </c>
      <c r="K7" s="102">
        <v>0.25</v>
      </c>
      <c r="L7" s="96" t="s">
        <v>522</v>
      </c>
      <c r="M7" s="96" t="s">
        <v>582</v>
      </c>
      <c r="N7" s="4" t="s">
        <v>576</v>
      </c>
      <c r="O7" s="96" t="s">
        <v>523</v>
      </c>
      <c r="P7" s="4" t="s">
        <v>60</v>
      </c>
      <c r="Q7" s="4" t="s">
        <v>67</v>
      </c>
      <c r="R7" s="15" t="s">
        <v>62</v>
      </c>
      <c r="S7" s="96"/>
      <c r="T7" s="96"/>
      <c r="U7" s="104" t="s">
        <v>68</v>
      </c>
      <c r="V7" s="42"/>
      <c r="W7" s="42"/>
      <c r="X7" s="43">
        <v>1</v>
      </c>
      <c r="Y7" s="53"/>
      <c r="Z7" s="53"/>
      <c r="AA7" s="54">
        <v>3</v>
      </c>
      <c r="AB7" s="71"/>
      <c r="AC7" s="71"/>
      <c r="AD7" s="72">
        <v>3</v>
      </c>
      <c r="AE7" s="62"/>
      <c r="AF7" s="62"/>
      <c r="AG7" s="63">
        <v>3</v>
      </c>
      <c r="AH7" s="91">
        <v>10</v>
      </c>
      <c r="AI7" s="104"/>
      <c r="AJ7" s="104"/>
      <c r="AK7" s="104"/>
      <c r="AL7" s="110"/>
      <c r="AM7" s="81">
        <f>(AI7+AJ7+AK7+AL7)/4</f>
        <v>0</v>
      </c>
      <c r="AN7" s="110"/>
      <c r="AO7" s="39">
        <v>0</v>
      </c>
    </row>
    <row r="8" spans="1:42" s="24" customFormat="1" ht="144" customHeight="1" x14ac:dyDescent="0.25">
      <c r="A8" s="156"/>
      <c r="B8" s="156"/>
      <c r="C8" s="156"/>
      <c r="D8" s="156"/>
      <c r="E8" s="129"/>
      <c r="F8" s="129"/>
      <c r="G8" s="129"/>
      <c r="H8" s="129"/>
      <c r="I8" s="4" t="s">
        <v>69</v>
      </c>
      <c r="J8" s="96" t="s">
        <v>70</v>
      </c>
      <c r="K8" s="102">
        <v>0.25</v>
      </c>
      <c r="L8" s="96" t="s">
        <v>71</v>
      </c>
      <c r="M8" s="96" t="s">
        <v>72</v>
      </c>
      <c r="N8" s="14" t="s">
        <v>576</v>
      </c>
      <c r="O8" s="96" t="s">
        <v>73</v>
      </c>
      <c r="P8" s="4" t="s">
        <v>60</v>
      </c>
      <c r="Q8" s="14" t="s">
        <v>74</v>
      </c>
      <c r="R8" s="15" t="s">
        <v>62</v>
      </c>
      <c r="S8" s="96"/>
      <c r="T8" s="96"/>
      <c r="U8" s="104" t="s">
        <v>75</v>
      </c>
      <c r="V8" s="42"/>
      <c r="W8" s="42"/>
      <c r="X8" s="42"/>
      <c r="Y8" s="52"/>
      <c r="Z8" s="52"/>
      <c r="AA8" s="52"/>
      <c r="AB8" s="70"/>
      <c r="AC8" s="70"/>
      <c r="AD8" s="70"/>
      <c r="AE8" s="61"/>
      <c r="AF8" s="61"/>
      <c r="AG8" s="61">
        <v>1</v>
      </c>
      <c r="AH8" s="104">
        <v>1</v>
      </c>
      <c r="AI8" s="104"/>
      <c r="AJ8" s="104"/>
      <c r="AK8" s="104"/>
      <c r="AL8" s="110"/>
      <c r="AM8" s="105">
        <v>0</v>
      </c>
      <c r="AN8" s="110"/>
      <c r="AO8" s="39"/>
    </row>
    <row r="9" spans="1:42" s="24" customFormat="1" ht="149.25" customHeight="1" x14ac:dyDescent="0.25">
      <c r="A9" s="156"/>
      <c r="B9" s="156"/>
      <c r="C9" s="156"/>
      <c r="D9" s="156"/>
      <c r="E9" s="129"/>
      <c r="F9" s="129"/>
      <c r="G9" s="129"/>
      <c r="H9" s="129"/>
      <c r="I9" s="4" t="s">
        <v>76</v>
      </c>
      <c r="J9" s="96" t="s">
        <v>77</v>
      </c>
      <c r="K9" s="102">
        <v>0.25</v>
      </c>
      <c r="L9" s="96" t="s">
        <v>78</v>
      </c>
      <c r="M9" s="96" t="s">
        <v>79</v>
      </c>
      <c r="N9" s="14" t="s">
        <v>576</v>
      </c>
      <c r="O9" s="96" t="s">
        <v>80</v>
      </c>
      <c r="P9" s="4" t="s">
        <v>60</v>
      </c>
      <c r="Q9" s="106" t="s">
        <v>81</v>
      </c>
      <c r="R9" s="15" t="s">
        <v>62</v>
      </c>
      <c r="S9" s="96"/>
      <c r="T9" s="96"/>
      <c r="U9" s="104" t="s">
        <v>82</v>
      </c>
      <c r="V9" s="42">
        <v>0</v>
      </c>
      <c r="W9" s="42">
        <v>1</v>
      </c>
      <c r="X9" s="42">
        <v>1</v>
      </c>
      <c r="Y9" s="52">
        <v>1</v>
      </c>
      <c r="Z9" s="52">
        <v>1</v>
      </c>
      <c r="AA9" s="52">
        <v>1</v>
      </c>
      <c r="AB9" s="70">
        <v>1</v>
      </c>
      <c r="AC9" s="70">
        <v>1</v>
      </c>
      <c r="AD9" s="70">
        <v>1</v>
      </c>
      <c r="AE9" s="61">
        <v>1</v>
      </c>
      <c r="AF9" s="61">
        <v>1</v>
      </c>
      <c r="AG9" s="61">
        <v>0</v>
      </c>
      <c r="AH9" s="104">
        <v>10</v>
      </c>
      <c r="AI9" s="25">
        <f>2/2</f>
        <v>1</v>
      </c>
      <c r="AJ9" s="81">
        <f>3/3</f>
        <v>1</v>
      </c>
      <c r="AK9" s="81">
        <f>3/3</f>
        <v>1</v>
      </c>
      <c r="AL9" s="110"/>
      <c r="AM9" s="81">
        <f>(AI9+AJ9+AK9+AL9)/4</f>
        <v>0.75</v>
      </c>
      <c r="AN9" s="110"/>
      <c r="AO9" s="39">
        <v>0.1875</v>
      </c>
    </row>
    <row r="10" spans="1:42" s="24" customFormat="1" ht="144" customHeight="1" x14ac:dyDescent="0.25">
      <c r="A10" s="156"/>
      <c r="B10" s="156"/>
      <c r="C10" s="156"/>
      <c r="D10" s="156"/>
      <c r="E10" s="129"/>
      <c r="F10" s="129"/>
      <c r="G10" s="129"/>
      <c r="H10" s="129"/>
      <c r="I10" s="4" t="s">
        <v>76</v>
      </c>
      <c r="J10" s="96" t="s">
        <v>83</v>
      </c>
      <c r="K10" s="102">
        <v>0.25</v>
      </c>
      <c r="L10" s="96" t="s">
        <v>84</v>
      </c>
      <c r="M10" s="96" t="s">
        <v>85</v>
      </c>
      <c r="N10" s="4" t="s">
        <v>583</v>
      </c>
      <c r="O10" s="96" t="s">
        <v>86</v>
      </c>
      <c r="P10" s="4" t="s">
        <v>66</v>
      </c>
      <c r="Q10" s="106" t="s">
        <v>81</v>
      </c>
      <c r="R10" s="15" t="s">
        <v>62</v>
      </c>
      <c r="S10" s="96"/>
      <c r="T10" s="96"/>
      <c r="U10" s="104" t="s">
        <v>68</v>
      </c>
      <c r="V10" s="42"/>
      <c r="W10" s="42"/>
      <c r="X10" s="44">
        <v>1</v>
      </c>
      <c r="Y10" s="52"/>
      <c r="Z10" s="52"/>
      <c r="AA10" s="53">
        <v>1</v>
      </c>
      <c r="AB10" s="70"/>
      <c r="AC10" s="70"/>
      <c r="AD10" s="71">
        <v>1</v>
      </c>
      <c r="AE10" s="61"/>
      <c r="AF10" s="61"/>
      <c r="AG10" s="62">
        <v>1</v>
      </c>
      <c r="AH10" s="89">
        <v>1</v>
      </c>
      <c r="AI10" s="88">
        <f>33/158</f>
        <v>0.20886075949367089</v>
      </c>
      <c r="AJ10" s="89">
        <f>158/158</f>
        <v>1</v>
      </c>
      <c r="AK10" s="83"/>
      <c r="AL10" s="85"/>
      <c r="AM10" s="89">
        <v>1</v>
      </c>
      <c r="AN10" s="85"/>
      <c r="AO10" s="120">
        <v>0.25</v>
      </c>
    </row>
    <row r="11" spans="1:42" s="24" customFormat="1" ht="114.75" customHeight="1" x14ac:dyDescent="0.25">
      <c r="A11" s="156"/>
      <c r="B11" s="156"/>
      <c r="C11" s="156"/>
      <c r="D11" s="156"/>
      <c r="E11" s="129"/>
      <c r="F11" s="129"/>
      <c r="G11" s="108" t="s">
        <v>33</v>
      </c>
      <c r="H11" s="108" t="s">
        <v>584</v>
      </c>
      <c r="I11" s="106" t="s">
        <v>87</v>
      </c>
      <c r="J11" s="108" t="s">
        <v>88</v>
      </c>
      <c r="K11" s="26">
        <v>1</v>
      </c>
      <c r="L11" s="108" t="s">
        <v>89</v>
      </c>
      <c r="M11" s="108" t="s">
        <v>90</v>
      </c>
      <c r="N11" s="4" t="s">
        <v>583</v>
      </c>
      <c r="O11" s="108" t="s">
        <v>91</v>
      </c>
      <c r="P11" s="106" t="s">
        <v>66</v>
      </c>
      <c r="Q11" s="106" t="s">
        <v>92</v>
      </c>
      <c r="R11" s="5" t="s">
        <v>62</v>
      </c>
      <c r="S11" s="108"/>
      <c r="T11" s="108"/>
      <c r="U11" s="104" t="s">
        <v>63</v>
      </c>
      <c r="V11" s="42"/>
      <c r="W11" s="42"/>
      <c r="X11" s="42"/>
      <c r="Y11" s="52"/>
      <c r="Z11" s="52"/>
      <c r="AA11" s="53">
        <v>1</v>
      </c>
      <c r="AB11" s="70"/>
      <c r="AC11" s="70"/>
      <c r="AD11" s="70"/>
      <c r="AE11" s="61"/>
      <c r="AF11" s="61"/>
      <c r="AG11" s="62">
        <v>1</v>
      </c>
      <c r="AH11" s="25">
        <v>1</v>
      </c>
      <c r="AI11" s="104"/>
      <c r="AJ11" s="105">
        <v>1</v>
      </c>
      <c r="AK11" s="104"/>
      <c r="AL11" s="110"/>
      <c r="AM11" s="81">
        <f>(AI11+AJ11+AK11+AL11)/2</f>
        <v>0.5</v>
      </c>
      <c r="AN11" s="110"/>
      <c r="AO11" s="41">
        <v>0.5</v>
      </c>
    </row>
    <row r="12" spans="1:42" s="24" customFormat="1" ht="149.25" customHeight="1" x14ac:dyDescent="0.25">
      <c r="A12" s="156"/>
      <c r="B12" s="156"/>
      <c r="C12" s="156"/>
      <c r="D12" s="156"/>
      <c r="E12" s="129"/>
      <c r="F12" s="129"/>
      <c r="G12" s="126" t="s">
        <v>34</v>
      </c>
      <c r="H12" s="126" t="s">
        <v>585</v>
      </c>
      <c r="I12" s="106" t="s">
        <v>93</v>
      </c>
      <c r="J12" s="108" t="s">
        <v>94</v>
      </c>
      <c r="K12" s="26">
        <v>0.5</v>
      </c>
      <c r="L12" s="108" t="s">
        <v>95</v>
      </c>
      <c r="M12" s="108" t="s">
        <v>96</v>
      </c>
      <c r="N12" s="4" t="s">
        <v>583</v>
      </c>
      <c r="O12" s="108" t="s">
        <v>97</v>
      </c>
      <c r="P12" s="106" t="s">
        <v>66</v>
      </c>
      <c r="Q12" s="14" t="s">
        <v>74</v>
      </c>
      <c r="R12" s="15" t="s">
        <v>62</v>
      </c>
      <c r="S12" s="96"/>
      <c r="T12" s="96"/>
      <c r="U12" s="104" t="s">
        <v>68</v>
      </c>
      <c r="V12" s="42"/>
      <c r="W12" s="42"/>
      <c r="X12" s="45">
        <v>1</v>
      </c>
      <c r="Y12" s="52"/>
      <c r="Z12" s="52"/>
      <c r="AA12" s="55">
        <v>1</v>
      </c>
      <c r="AB12" s="70"/>
      <c r="AC12" s="70"/>
      <c r="AD12" s="73">
        <v>1</v>
      </c>
      <c r="AE12" s="61"/>
      <c r="AF12" s="61"/>
      <c r="AG12" s="64">
        <v>1</v>
      </c>
      <c r="AH12" s="105">
        <v>1</v>
      </c>
      <c r="AI12" s="105">
        <v>1</v>
      </c>
      <c r="AJ12" s="105">
        <v>1</v>
      </c>
      <c r="AK12" s="81">
        <v>0</v>
      </c>
      <c r="AL12" s="110"/>
      <c r="AM12" s="81">
        <f>(AI12+AJ12+AK12+AL12)/4</f>
        <v>0.5</v>
      </c>
      <c r="AN12" s="110"/>
      <c r="AO12" s="41">
        <v>0.25</v>
      </c>
    </row>
    <row r="13" spans="1:42" s="24" customFormat="1" ht="176.25" customHeight="1" x14ac:dyDescent="0.25">
      <c r="A13" s="132"/>
      <c r="B13" s="132"/>
      <c r="C13" s="132"/>
      <c r="D13" s="132"/>
      <c r="E13" s="129"/>
      <c r="F13" s="129"/>
      <c r="G13" s="126"/>
      <c r="H13" s="126"/>
      <c r="I13" s="106" t="s">
        <v>93</v>
      </c>
      <c r="J13" s="108" t="s">
        <v>98</v>
      </c>
      <c r="K13" s="26">
        <v>0.5</v>
      </c>
      <c r="L13" s="108" t="s">
        <v>99</v>
      </c>
      <c r="M13" s="108" t="s">
        <v>100</v>
      </c>
      <c r="N13" s="4" t="s">
        <v>583</v>
      </c>
      <c r="O13" s="108" t="s">
        <v>586</v>
      </c>
      <c r="P13" s="106" t="s">
        <v>66</v>
      </c>
      <c r="Q13" s="14" t="s">
        <v>74</v>
      </c>
      <c r="R13" s="15" t="s">
        <v>62</v>
      </c>
      <c r="S13" s="96"/>
      <c r="T13" s="96"/>
      <c r="U13" s="104" t="s">
        <v>63</v>
      </c>
      <c r="V13" s="42"/>
      <c r="W13" s="42"/>
      <c r="X13" s="42"/>
      <c r="Y13" s="52"/>
      <c r="Z13" s="52"/>
      <c r="AA13" s="55">
        <v>1</v>
      </c>
      <c r="AB13" s="70"/>
      <c r="AC13" s="70"/>
      <c r="AD13" s="70"/>
      <c r="AE13" s="61"/>
      <c r="AF13" s="61"/>
      <c r="AG13" s="64">
        <v>1</v>
      </c>
      <c r="AH13" s="105">
        <v>1</v>
      </c>
      <c r="AI13" s="105"/>
      <c r="AJ13" s="105">
        <v>0</v>
      </c>
      <c r="AK13" s="105"/>
      <c r="AL13" s="110"/>
      <c r="AM13" s="81">
        <f>(AI13+AJ13+AK13+AL13)/2</f>
        <v>0</v>
      </c>
      <c r="AN13" s="110"/>
      <c r="AO13" s="39">
        <v>0</v>
      </c>
    </row>
    <row r="14" spans="1:42" s="24" customFormat="1" ht="110.25" customHeight="1" x14ac:dyDescent="0.25">
      <c r="A14" s="149" t="s">
        <v>587</v>
      </c>
      <c r="B14" s="149" t="s">
        <v>588</v>
      </c>
      <c r="C14" s="149" t="s">
        <v>589</v>
      </c>
      <c r="D14" s="149" t="s">
        <v>590</v>
      </c>
      <c r="E14" s="149" t="s">
        <v>574</v>
      </c>
      <c r="F14" s="149" t="s">
        <v>591</v>
      </c>
      <c r="G14" s="150" t="s">
        <v>592</v>
      </c>
      <c r="H14" s="150" t="s">
        <v>593</v>
      </c>
      <c r="I14" s="106" t="s">
        <v>101</v>
      </c>
      <c r="J14" s="107" t="s">
        <v>102</v>
      </c>
      <c r="K14" s="26">
        <v>0.1</v>
      </c>
      <c r="L14" s="107" t="s">
        <v>103</v>
      </c>
      <c r="M14" s="107" t="s">
        <v>104</v>
      </c>
      <c r="N14" s="4" t="s">
        <v>583</v>
      </c>
      <c r="O14" s="107" t="s">
        <v>105</v>
      </c>
      <c r="P14" s="106" t="s">
        <v>66</v>
      </c>
      <c r="Q14" s="4" t="s">
        <v>106</v>
      </c>
      <c r="R14" s="15" t="s">
        <v>62</v>
      </c>
      <c r="S14" s="98" t="s">
        <v>107</v>
      </c>
      <c r="T14" s="27">
        <v>1651894856</v>
      </c>
      <c r="U14" s="104" t="s">
        <v>82</v>
      </c>
      <c r="V14" s="44">
        <v>1</v>
      </c>
      <c r="W14" s="44">
        <v>1</v>
      </c>
      <c r="X14" s="44">
        <v>1</v>
      </c>
      <c r="Y14" s="53">
        <v>1</v>
      </c>
      <c r="Z14" s="53">
        <v>1</v>
      </c>
      <c r="AA14" s="53">
        <v>1</v>
      </c>
      <c r="AB14" s="71">
        <v>1</v>
      </c>
      <c r="AC14" s="71">
        <v>1</v>
      </c>
      <c r="AD14" s="71">
        <v>1</v>
      </c>
      <c r="AE14" s="62">
        <v>1</v>
      </c>
      <c r="AF14" s="62">
        <v>1</v>
      </c>
      <c r="AG14" s="62">
        <v>1</v>
      </c>
      <c r="AH14" s="25">
        <v>1</v>
      </c>
      <c r="AI14" s="25">
        <f>9/9</f>
        <v>1</v>
      </c>
      <c r="AJ14" s="81">
        <f>7/7</f>
        <v>1</v>
      </c>
      <c r="AK14" s="81">
        <f>9/9</f>
        <v>1</v>
      </c>
      <c r="AL14" s="110"/>
      <c r="AM14" s="81">
        <f>(AI14+AJ14+AK14+AL14)/4</f>
        <v>0.75</v>
      </c>
      <c r="AN14" s="110"/>
      <c r="AO14" s="118">
        <v>7.5000000000000011E-2</v>
      </c>
    </row>
    <row r="15" spans="1:42" s="24" customFormat="1" ht="97.5" customHeight="1" x14ac:dyDescent="0.25">
      <c r="A15" s="152"/>
      <c r="B15" s="152"/>
      <c r="C15" s="152"/>
      <c r="D15" s="152"/>
      <c r="E15" s="149"/>
      <c r="F15" s="149"/>
      <c r="G15" s="150"/>
      <c r="H15" s="150"/>
      <c r="I15" s="106" t="s">
        <v>108</v>
      </c>
      <c r="J15" s="107" t="s">
        <v>109</v>
      </c>
      <c r="K15" s="26">
        <v>0.1</v>
      </c>
      <c r="L15" s="107" t="s">
        <v>110</v>
      </c>
      <c r="M15" s="107" t="s">
        <v>111</v>
      </c>
      <c r="N15" s="4" t="s">
        <v>583</v>
      </c>
      <c r="O15" s="107" t="s">
        <v>112</v>
      </c>
      <c r="P15" s="106" t="s">
        <v>113</v>
      </c>
      <c r="Q15" s="106" t="s">
        <v>74</v>
      </c>
      <c r="R15" s="15" t="s">
        <v>62</v>
      </c>
      <c r="S15" s="98" t="s">
        <v>107</v>
      </c>
      <c r="T15" s="98"/>
      <c r="U15" s="104" t="s">
        <v>68</v>
      </c>
      <c r="V15" s="44"/>
      <c r="W15" s="44"/>
      <c r="X15" s="44">
        <v>1</v>
      </c>
      <c r="Y15" s="53"/>
      <c r="Z15" s="53"/>
      <c r="AA15" s="53">
        <v>1</v>
      </c>
      <c r="AB15" s="71"/>
      <c r="AC15" s="71"/>
      <c r="AD15" s="71">
        <v>1</v>
      </c>
      <c r="AE15" s="62"/>
      <c r="AF15" s="62"/>
      <c r="AG15" s="62">
        <v>1</v>
      </c>
      <c r="AH15" s="25">
        <v>1</v>
      </c>
      <c r="AI15" s="39">
        <f>19/63</f>
        <v>0.30158730158730157</v>
      </c>
      <c r="AJ15" s="81">
        <f>0/122</f>
        <v>0</v>
      </c>
      <c r="AK15" s="39">
        <f>5/80</f>
        <v>6.25E-2</v>
      </c>
      <c r="AL15" s="110"/>
      <c r="AM15" s="39">
        <f>(AI15+AJ15+AK15+AL15)/4</f>
        <v>9.1021825396825393E-2</v>
      </c>
      <c r="AN15" s="110"/>
      <c r="AO15" s="39">
        <v>9.1021825396825403E-3</v>
      </c>
    </row>
    <row r="16" spans="1:42" s="24" customFormat="1" ht="109.5" customHeight="1" x14ac:dyDescent="0.25">
      <c r="A16" s="152"/>
      <c r="B16" s="152"/>
      <c r="C16" s="152"/>
      <c r="D16" s="152"/>
      <c r="E16" s="149"/>
      <c r="F16" s="149"/>
      <c r="G16" s="150"/>
      <c r="H16" s="150"/>
      <c r="I16" s="106" t="s">
        <v>108</v>
      </c>
      <c r="J16" s="107" t="s">
        <v>114</v>
      </c>
      <c r="K16" s="26">
        <v>0.1</v>
      </c>
      <c r="L16" s="107" t="s">
        <v>115</v>
      </c>
      <c r="M16" s="107" t="s">
        <v>116</v>
      </c>
      <c r="N16" s="14" t="s">
        <v>576</v>
      </c>
      <c r="O16" s="107" t="s">
        <v>117</v>
      </c>
      <c r="P16" s="106" t="s">
        <v>113</v>
      </c>
      <c r="Q16" s="106" t="s">
        <v>74</v>
      </c>
      <c r="R16" s="15" t="s">
        <v>62</v>
      </c>
      <c r="S16" s="98" t="s">
        <v>107</v>
      </c>
      <c r="T16" s="98"/>
      <c r="U16" s="104" t="s">
        <v>82</v>
      </c>
      <c r="V16" s="43">
        <v>75</v>
      </c>
      <c r="W16" s="43">
        <v>75</v>
      </c>
      <c r="X16" s="43">
        <v>75</v>
      </c>
      <c r="Y16" s="54">
        <v>75</v>
      </c>
      <c r="Z16" s="54">
        <v>75</v>
      </c>
      <c r="AA16" s="54">
        <v>75</v>
      </c>
      <c r="AB16" s="72">
        <v>75</v>
      </c>
      <c r="AC16" s="72">
        <v>75</v>
      </c>
      <c r="AD16" s="72">
        <v>75</v>
      </c>
      <c r="AE16" s="63">
        <v>75</v>
      </c>
      <c r="AF16" s="63">
        <v>75</v>
      </c>
      <c r="AG16" s="63">
        <v>75</v>
      </c>
      <c r="AH16" s="91">
        <v>75</v>
      </c>
      <c r="AI16" s="104">
        <v>181</v>
      </c>
      <c r="AJ16" s="7">
        <f>34305/122</f>
        <v>281.18852459016392</v>
      </c>
      <c r="AK16" s="104">
        <f>23176/80</f>
        <v>289.7</v>
      </c>
      <c r="AL16" s="110"/>
      <c r="AM16" s="105">
        <v>0</v>
      </c>
      <c r="AN16" s="110"/>
      <c r="AO16" s="39">
        <v>0</v>
      </c>
    </row>
    <row r="17" spans="1:41" s="24" customFormat="1" ht="129" customHeight="1" x14ac:dyDescent="0.25">
      <c r="A17" s="152"/>
      <c r="B17" s="152"/>
      <c r="C17" s="152"/>
      <c r="D17" s="152"/>
      <c r="E17" s="149"/>
      <c r="F17" s="149"/>
      <c r="G17" s="150"/>
      <c r="H17" s="150"/>
      <c r="I17" s="106" t="s">
        <v>108</v>
      </c>
      <c r="J17" s="107" t="s">
        <v>114</v>
      </c>
      <c r="K17" s="26">
        <v>0.1</v>
      </c>
      <c r="L17" s="107" t="s">
        <v>118</v>
      </c>
      <c r="M17" s="107" t="s">
        <v>119</v>
      </c>
      <c r="N17" s="14" t="s">
        <v>576</v>
      </c>
      <c r="O17" s="107" t="s">
        <v>120</v>
      </c>
      <c r="P17" s="106" t="s">
        <v>113</v>
      </c>
      <c r="Q17" s="106" t="s">
        <v>74</v>
      </c>
      <c r="R17" s="15" t="s">
        <v>62</v>
      </c>
      <c r="S17" s="98"/>
      <c r="T17" s="98"/>
      <c r="U17" s="104" t="s">
        <v>68</v>
      </c>
      <c r="V17" s="43">
        <v>15</v>
      </c>
      <c r="W17" s="43">
        <v>15</v>
      </c>
      <c r="X17" s="43">
        <v>15</v>
      </c>
      <c r="Y17" s="54">
        <v>15</v>
      </c>
      <c r="Z17" s="54">
        <v>15</v>
      </c>
      <c r="AA17" s="54">
        <v>15</v>
      </c>
      <c r="AB17" s="72">
        <v>15</v>
      </c>
      <c r="AC17" s="72">
        <v>15</v>
      </c>
      <c r="AD17" s="72">
        <v>15</v>
      </c>
      <c r="AE17" s="63">
        <v>15</v>
      </c>
      <c r="AF17" s="63">
        <v>15</v>
      </c>
      <c r="AG17" s="63">
        <v>15</v>
      </c>
      <c r="AH17" s="91">
        <v>15</v>
      </c>
      <c r="AI17" s="105">
        <v>0</v>
      </c>
      <c r="AJ17" s="7">
        <f>34305/122</f>
        <v>281.18852459016392</v>
      </c>
      <c r="AK17" s="113">
        <f>133/93</f>
        <v>1.4301075268817205</v>
      </c>
      <c r="AL17" s="110"/>
      <c r="AM17" s="105">
        <v>0</v>
      </c>
      <c r="AN17" s="110"/>
      <c r="AO17" s="39">
        <v>0</v>
      </c>
    </row>
    <row r="18" spans="1:41" s="24" customFormat="1" ht="124.5" customHeight="1" x14ac:dyDescent="0.25">
      <c r="A18" s="152"/>
      <c r="B18" s="152"/>
      <c r="C18" s="152"/>
      <c r="D18" s="152"/>
      <c r="E18" s="149"/>
      <c r="F18" s="149"/>
      <c r="G18" s="150"/>
      <c r="H18" s="150"/>
      <c r="I18" s="106" t="s">
        <v>108</v>
      </c>
      <c r="J18" s="107" t="s">
        <v>114</v>
      </c>
      <c r="K18" s="26">
        <v>0.1</v>
      </c>
      <c r="L18" s="107" t="s">
        <v>121</v>
      </c>
      <c r="M18" s="107" t="s">
        <v>122</v>
      </c>
      <c r="N18" s="14" t="s">
        <v>576</v>
      </c>
      <c r="O18" s="107" t="s">
        <v>123</v>
      </c>
      <c r="P18" s="106" t="s">
        <v>113</v>
      </c>
      <c r="Q18" s="106" t="s">
        <v>74</v>
      </c>
      <c r="R18" s="15" t="s">
        <v>62</v>
      </c>
      <c r="S18" s="98"/>
      <c r="T18" s="98"/>
      <c r="U18" s="104" t="s">
        <v>68</v>
      </c>
      <c r="V18" s="43">
        <v>5</v>
      </c>
      <c r="W18" s="43">
        <v>5</v>
      </c>
      <c r="X18" s="43">
        <v>5</v>
      </c>
      <c r="Y18" s="54">
        <v>5</v>
      </c>
      <c r="Z18" s="54">
        <v>5</v>
      </c>
      <c r="AA18" s="54">
        <v>5</v>
      </c>
      <c r="AB18" s="72">
        <v>5</v>
      </c>
      <c r="AC18" s="72">
        <v>5</v>
      </c>
      <c r="AD18" s="72">
        <v>5</v>
      </c>
      <c r="AE18" s="63">
        <v>5</v>
      </c>
      <c r="AF18" s="63">
        <v>5</v>
      </c>
      <c r="AG18" s="63">
        <v>5</v>
      </c>
      <c r="AH18" s="91">
        <v>5</v>
      </c>
      <c r="AI18" s="105">
        <v>0</v>
      </c>
      <c r="AJ18" s="7">
        <f>10335/61</f>
        <v>169.42622950819671</v>
      </c>
      <c r="AK18" s="104">
        <f>7398/45</f>
        <v>164.4</v>
      </c>
      <c r="AL18" s="110"/>
      <c r="AM18" s="105">
        <v>0</v>
      </c>
      <c r="AN18" s="110"/>
      <c r="AO18" s="39">
        <v>0</v>
      </c>
    </row>
    <row r="19" spans="1:41" s="24" customFormat="1" ht="102.75" customHeight="1" x14ac:dyDescent="0.25">
      <c r="A19" s="152"/>
      <c r="B19" s="152"/>
      <c r="C19" s="152"/>
      <c r="D19" s="152"/>
      <c r="E19" s="149"/>
      <c r="F19" s="149"/>
      <c r="G19" s="150"/>
      <c r="H19" s="150"/>
      <c r="I19" s="106" t="s">
        <v>124</v>
      </c>
      <c r="J19" s="107" t="s">
        <v>125</v>
      </c>
      <c r="K19" s="26">
        <v>0.1</v>
      </c>
      <c r="L19" s="107" t="s">
        <v>126</v>
      </c>
      <c r="M19" s="107" t="s">
        <v>127</v>
      </c>
      <c r="N19" s="4" t="s">
        <v>583</v>
      </c>
      <c r="O19" s="107" t="s">
        <v>128</v>
      </c>
      <c r="P19" s="106" t="s">
        <v>66</v>
      </c>
      <c r="Q19" s="106" t="s">
        <v>81</v>
      </c>
      <c r="R19" s="15" t="s">
        <v>62</v>
      </c>
      <c r="S19" s="99" t="s">
        <v>129</v>
      </c>
      <c r="T19" s="98"/>
      <c r="U19" s="104" t="s">
        <v>82</v>
      </c>
      <c r="V19" s="44">
        <v>1</v>
      </c>
      <c r="W19" s="44">
        <v>1</v>
      </c>
      <c r="X19" s="44">
        <v>1</v>
      </c>
      <c r="Y19" s="53">
        <v>1</v>
      </c>
      <c r="Z19" s="53">
        <v>1</v>
      </c>
      <c r="AA19" s="53">
        <v>1</v>
      </c>
      <c r="AB19" s="71">
        <v>1</v>
      </c>
      <c r="AC19" s="71">
        <v>1</v>
      </c>
      <c r="AD19" s="71">
        <v>1</v>
      </c>
      <c r="AE19" s="62">
        <v>1</v>
      </c>
      <c r="AF19" s="62">
        <v>1</v>
      </c>
      <c r="AG19" s="62">
        <v>1</v>
      </c>
      <c r="AH19" s="25">
        <v>1</v>
      </c>
      <c r="AI19" s="40">
        <f>212/1768</f>
        <v>0.11990950226244344</v>
      </c>
      <c r="AJ19" s="39">
        <f>136/1438</f>
        <v>9.4575799721835885E-2</v>
      </c>
      <c r="AK19" s="39">
        <f>617/1857</f>
        <v>0.33225632740980077</v>
      </c>
      <c r="AL19" s="110"/>
      <c r="AM19" s="81">
        <f>(AI19+AJ19+AK19+AL19)/4</f>
        <v>0.13668540734852003</v>
      </c>
      <c r="AN19" s="110"/>
      <c r="AO19" s="39">
        <v>1.3668540734852004E-2</v>
      </c>
    </row>
    <row r="20" spans="1:41" s="24" customFormat="1" ht="130.5" customHeight="1" x14ac:dyDescent="0.25">
      <c r="A20" s="152"/>
      <c r="B20" s="152"/>
      <c r="C20" s="152"/>
      <c r="D20" s="152"/>
      <c r="E20" s="149"/>
      <c r="F20" s="149"/>
      <c r="G20" s="150"/>
      <c r="H20" s="150"/>
      <c r="I20" s="106" t="s">
        <v>124</v>
      </c>
      <c r="J20" s="107" t="s">
        <v>130</v>
      </c>
      <c r="K20" s="26">
        <v>0.1</v>
      </c>
      <c r="L20" s="107" t="s">
        <v>110</v>
      </c>
      <c r="M20" s="107" t="s">
        <v>131</v>
      </c>
      <c r="N20" s="14" t="s">
        <v>576</v>
      </c>
      <c r="O20" s="107" t="s">
        <v>594</v>
      </c>
      <c r="P20" s="106" t="s">
        <v>113</v>
      </c>
      <c r="Q20" s="106" t="s">
        <v>81</v>
      </c>
      <c r="R20" s="15" t="s">
        <v>62</v>
      </c>
      <c r="S20" s="99" t="s">
        <v>129</v>
      </c>
      <c r="T20" s="98"/>
      <c r="U20" s="104" t="s">
        <v>82</v>
      </c>
      <c r="V20" s="43">
        <v>75</v>
      </c>
      <c r="W20" s="43">
        <v>75</v>
      </c>
      <c r="X20" s="43">
        <v>75</v>
      </c>
      <c r="Y20" s="54">
        <v>75</v>
      </c>
      <c r="Z20" s="54">
        <v>75</v>
      </c>
      <c r="AA20" s="54">
        <v>75</v>
      </c>
      <c r="AB20" s="72">
        <v>75</v>
      </c>
      <c r="AC20" s="72">
        <v>75</v>
      </c>
      <c r="AD20" s="72">
        <v>75</v>
      </c>
      <c r="AE20" s="63">
        <v>75</v>
      </c>
      <c r="AF20" s="63">
        <v>75</v>
      </c>
      <c r="AG20" s="63">
        <v>75</v>
      </c>
      <c r="AH20" s="91">
        <v>75</v>
      </c>
      <c r="AI20" s="104">
        <f>130</f>
        <v>130</v>
      </c>
      <c r="AJ20" s="7">
        <f>251825/1374</f>
        <v>183.27874818049492</v>
      </c>
      <c r="AK20" s="7">
        <f>187757/1857</f>
        <v>101.10770059235325</v>
      </c>
      <c r="AL20" s="110"/>
      <c r="AM20" s="105">
        <v>0.12</v>
      </c>
      <c r="AN20" s="110"/>
      <c r="AO20" s="39" t="s">
        <v>639</v>
      </c>
    </row>
    <row r="21" spans="1:41" s="24" customFormat="1" ht="243" customHeight="1" x14ac:dyDescent="0.25">
      <c r="A21" s="152"/>
      <c r="B21" s="152"/>
      <c r="C21" s="152"/>
      <c r="D21" s="152"/>
      <c r="E21" s="149"/>
      <c r="F21" s="149"/>
      <c r="G21" s="150"/>
      <c r="H21" s="150"/>
      <c r="I21" s="106" t="s">
        <v>132</v>
      </c>
      <c r="J21" s="107" t="s">
        <v>133</v>
      </c>
      <c r="K21" s="26">
        <v>0.1</v>
      </c>
      <c r="L21" s="107" t="s">
        <v>133</v>
      </c>
      <c r="M21" s="107" t="s">
        <v>134</v>
      </c>
      <c r="N21" s="4" t="s">
        <v>583</v>
      </c>
      <c r="O21" s="107" t="s">
        <v>135</v>
      </c>
      <c r="P21" s="106" t="s">
        <v>113</v>
      </c>
      <c r="Q21" s="106" t="s">
        <v>92</v>
      </c>
      <c r="R21" s="5" t="s">
        <v>62</v>
      </c>
      <c r="S21" s="99" t="s">
        <v>129</v>
      </c>
      <c r="T21" s="107"/>
      <c r="U21" s="104" t="s">
        <v>68</v>
      </c>
      <c r="V21" s="42"/>
      <c r="W21" s="42"/>
      <c r="X21" s="44">
        <v>1</v>
      </c>
      <c r="Y21" s="53"/>
      <c r="Z21" s="53"/>
      <c r="AA21" s="53">
        <v>1</v>
      </c>
      <c r="AB21" s="71"/>
      <c r="AC21" s="71"/>
      <c r="AD21" s="71">
        <v>1</v>
      </c>
      <c r="AE21" s="62"/>
      <c r="AF21" s="62"/>
      <c r="AG21" s="62">
        <v>1</v>
      </c>
      <c r="AH21" s="25">
        <v>1</v>
      </c>
      <c r="AI21" s="39">
        <f>20/21</f>
        <v>0.95238095238095233</v>
      </c>
      <c r="AJ21" s="39">
        <f>24/33</f>
        <v>0.72727272727272729</v>
      </c>
      <c r="AK21" s="41">
        <f>9/12</f>
        <v>0.75</v>
      </c>
      <c r="AL21" s="110"/>
      <c r="AM21" s="39">
        <f>(AI21+AJ21+AK21+AL21)/4</f>
        <v>0.60741341991341991</v>
      </c>
      <c r="AN21" s="110"/>
      <c r="AO21" s="39">
        <v>6.0741341991341999E-2</v>
      </c>
    </row>
    <row r="22" spans="1:41" s="90" customFormat="1" ht="157.5" customHeight="1" x14ac:dyDescent="0.25">
      <c r="A22" s="152"/>
      <c r="B22" s="152"/>
      <c r="C22" s="152"/>
      <c r="D22" s="152"/>
      <c r="E22" s="149"/>
      <c r="F22" s="149"/>
      <c r="G22" s="150"/>
      <c r="H22" s="150"/>
      <c r="I22" s="106" t="s">
        <v>132</v>
      </c>
      <c r="J22" s="107" t="s">
        <v>136</v>
      </c>
      <c r="K22" s="26">
        <v>0.1</v>
      </c>
      <c r="L22" s="107" t="s">
        <v>136</v>
      </c>
      <c r="M22" s="107" t="s">
        <v>137</v>
      </c>
      <c r="N22" s="4" t="s">
        <v>583</v>
      </c>
      <c r="O22" s="107" t="s">
        <v>138</v>
      </c>
      <c r="P22" s="106" t="s">
        <v>113</v>
      </c>
      <c r="Q22" s="106" t="s">
        <v>92</v>
      </c>
      <c r="R22" s="5" t="s">
        <v>62</v>
      </c>
      <c r="S22" s="99" t="s">
        <v>129</v>
      </c>
      <c r="T22" s="107"/>
      <c r="U22" s="104" t="s">
        <v>68</v>
      </c>
      <c r="V22" s="42"/>
      <c r="W22" s="42"/>
      <c r="X22" s="44">
        <v>1</v>
      </c>
      <c r="Y22" s="53"/>
      <c r="Z22" s="53"/>
      <c r="AA22" s="53">
        <v>1</v>
      </c>
      <c r="AB22" s="71"/>
      <c r="AC22" s="71"/>
      <c r="AD22" s="71">
        <v>1</v>
      </c>
      <c r="AE22" s="62"/>
      <c r="AF22" s="62"/>
      <c r="AG22" s="62">
        <v>1</v>
      </c>
      <c r="AH22" s="25">
        <v>1</v>
      </c>
      <c r="AI22" s="39">
        <f>28/30</f>
        <v>0.93333333333333335</v>
      </c>
      <c r="AJ22" s="39">
        <f>15/28</f>
        <v>0.5357142857142857</v>
      </c>
      <c r="AK22" s="39">
        <f>13/18</f>
        <v>0.72222222222222221</v>
      </c>
      <c r="AL22" s="110"/>
      <c r="AM22" s="39">
        <f>(AI22+AJ22+AK22+AL22)/4</f>
        <v>0.54781746031746037</v>
      </c>
      <c r="AN22" s="110"/>
      <c r="AO22" s="39">
        <v>5.4781746031746043E-2</v>
      </c>
    </row>
    <row r="23" spans="1:41" s="24" customFormat="1" ht="122.25" customHeight="1" x14ac:dyDescent="0.25">
      <c r="A23" s="152"/>
      <c r="B23" s="152"/>
      <c r="C23" s="152"/>
      <c r="D23" s="152"/>
      <c r="E23" s="149"/>
      <c r="F23" s="149"/>
      <c r="G23" s="150"/>
      <c r="H23" s="150"/>
      <c r="I23" s="106" t="s">
        <v>132</v>
      </c>
      <c r="J23" s="107" t="s">
        <v>139</v>
      </c>
      <c r="K23" s="26">
        <v>0.1</v>
      </c>
      <c r="L23" s="107" t="s">
        <v>140</v>
      </c>
      <c r="M23" s="107" t="s">
        <v>141</v>
      </c>
      <c r="N23" s="4" t="s">
        <v>583</v>
      </c>
      <c r="O23" s="107" t="s">
        <v>142</v>
      </c>
      <c r="P23" s="106" t="s">
        <v>113</v>
      </c>
      <c r="Q23" s="106" t="s">
        <v>92</v>
      </c>
      <c r="R23" s="5" t="s">
        <v>62</v>
      </c>
      <c r="S23" s="99" t="s">
        <v>129</v>
      </c>
      <c r="T23" s="107"/>
      <c r="U23" s="104" t="s">
        <v>82</v>
      </c>
      <c r="V23" s="44">
        <v>1</v>
      </c>
      <c r="W23" s="44">
        <v>1</v>
      </c>
      <c r="X23" s="44">
        <v>1</v>
      </c>
      <c r="Y23" s="53">
        <v>1</v>
      </c>
      <c r="Z23" s="53">
        <v>1</v>
      </c>
      <c r="AA23" s="53">
        <v>1</v>
      </c>
      <c r="AB23" s="71">
        <v>1</v>
      </c>
      <c r="AC23" s="71">
        <v>1</v>
      </c>
      <c r="AD23" s="71">
        <v>1</v>
      </c>
      <c r="AE23" s="62">
        <v>1</v>
      </c>
      <c r="AF23" s="62">
        <v>1</v>
      </c>
      <c r="AG23" s="62">
        <v>1</v>
      </c>
      <c r="AH23" s="25">
        <v>1</v>
      </c>
      <c r="AI23" s="40">
        <f>355/516</f>
        <v>0.68798449612403101</v>
      </c>
      <c r="AJ23" s="39">
        <f>692/1009</f>
        <v>0.68582755203171453</v>
      </c>
      <c r="AK23" s="39">
        <f>403/511</f>
        <v>0.78864970645792565</v>
      </c>
      <c r="AL23" s="110"/>
      <c r="AM23" s="39">
        <f>(AI23+AJ23+AK23+AL23)/4</f>
        <v>0.54061543865341788</v>
      </c>
      <c r="AN23" s="110"/>
      <c r="AO23" s="39">
        <v>5.4061543865341781E-2</v>
      </c>
    </row>
    <row r="24" spans="1:41" s="24" customFormat="1" ht="115.5" customHeight="1" x14ac:dyDescent="0.25">
      <c r="A24" s="152"/>
      <c r="B24" s="152"/>
      <c r="C24" s="152"/>
      <c r="D24" s="152"/>
      <c r="E24" s="149"/>
      <c r="F24" s="149"/>
      <c r="G24" s="107" t="s">
        <v>35</v>
      </c>
      <c r="H24" s="107" t="s">
        <v>595</v>
      </c>
      <c r="I24" s="4" t="s">
        <v>143</v>
      </c>
      <c r="J24" s="98" t="s">
        <v>144</v>
      </c>
      <c r="K24" s="28">
        <v>1</v>
      </c>
      <c r="L24" s="98" t="s">
        <v>145</v>
      </c>
      <c r="M24" s="98" t="s">
        <v>146</v>
      </c>
      <c r="N24" s="4" t="s">
        <v>583</v>
      </c>
      <c r="O24" s="98" t="s">
        <v>147</v>
      </c>
      <c r="P24" s="4" t="s">
        <v>66</v>
      </c>
      <c r="Q24" s="106" t="s">
        <v>81</v>
      </c>
      <c r="R24" s="15" t="s">
        <v>62</v>
      </c>
      <c r="S24" s="99" t="s">
        <v>148</v>
      </c>
      <c r="T24" s="98"/>
      <c r="U24" s="104" t="s">
        <v>68</v>
      </c>
      <c r="V24" s="42"/>
      <c r="W24" s="42"/>
      <c r="X24" s="44">
        <v>1</v>
      </c>
      <c r="Y24" s="52"/>
      <c r="Z24" s="52"/>
      <c r="AA24" s="53">
        <v>1</v>
      </c>
      <c r="AB24" s="70"/>
      <c r="AC24" s="70"/>
      <c r="AD24" s="71">
        <v>1</v>
      </c>
      <c r="AE24" s="61"/>
      <c r="AF24" s="61"/>
      <c r="AG24" s="62">
        <v>1</v>
      </c>
      <c r="AH24" s="25">
        <v>1</v>
      </c>
      <c r="AI24" s="105">
        <v>1</v>
      </c>
      <c r="AJ24" s="105">
        <v>1</v>
      </c>
      <c r="AK24" s="81">
        <v>1</v>
      </c>
      <c r="AL24" s="110"/>
      <c r="AM24" s="81">
        <f>(AI24+AJ24+AK24+AL24)/4</f>
        <v>0.75</v>
      </c>
      <c r="AN24" s="110"/>
      <c r="AO24" s="41">
        <v>0.75</v>
      </c>
    </row>
    <row r="25" spans="1:41" s="24" customFormat="1" ht="107.25" customHeight="1" x14ac:dyDescent="0.25">
      <c r="A25" s="152"/>
      <c r="B25" s="152"/>
      <c r="C25" s="152"/>
      <c r="D25" s="152"/>
      <c r="E25" s="149"/>
      <c r="F25" s="149"/>
      <c r="G25" s="151" t="s">
        <v>36</v>
      </c>
      <c r="H25" s="151" t="s">
        <v>596</v>
      </c>
      <c r="I25" s="14" t="s">
        <v>149</v>
      </c>
      <c r="J25" s="99" t="s">
        <v>150</v>
      </c>
      <c r="K25" s="29">
        <v>0.33333299999999999</v>
      </c>
      <c r="L25" s="99" t="s">
        <v>151</v>
      </c>
      <c r="M25" s="107" t="s">
        <v>152</v>
      </c>
      <c r="N25" s="4" t="s">
        <v>583</v>
      </c>
      <c r="O25" s="107" t="s">
        <v>153</v>
      </c>
      <c r="P25" s="14" t="s">
        <v>66</v>
      </c>
      <c r="Q25" s="14" t="s">
        <v>74</v>
      </c>
      <c r="R25" s="15" t="s">
        <v>62</v>
      </c>
      <c r="S25" s="98"/>
      <c r="T25" s="98"/>
      <c r="U25" s="104" t="s">
        <v>68</v>
      </c>
      <c r="V25" s="42"/>
      <c r="W25" s="42"/>
      <c r="X25" s="45">
        <v>1</v>
      </c>
      <c r="Y25" s="52"/>
      <c r="Z25" s="52"/>
      <c r="AA25" s="55">
        <v>1</v>
      </c>
      <c r="AB25" s="70"/>
      <c r="AC25" s="70"/>
      <c r="AD25" s="73">
        <v>1</v>
      </c>
      <c r="AE25" s="61"/>
      <c r="AF25" s="61"/>
      <c r="AG25" s="64">
        <v>1</v>
      </c>
      <c r="AH25" s="105">
        <v>1</v>
      </c>
      <c r="AI25" s="81">
        <f>1/1</f>
        <v>1</v>
      </c>
      <c r="AJ25" s="81">
        <f>4/4</f>
        <v>1</v>
      </c>
      <c r="AK25" s="81">
        <f>5/5</f>
        <v>1</v>
      </c>
      <c r="AL25" s="110"/>
      <c r="AM25" s="81">
        <f>(AI25+AJ25+AK25+AL25)/4</f>
        <v>0.75</v>
      </c>
      <c r="AN25" s="110"/>
      <c r="AO25" s="41">
        <v>0.24999974999999999</v>
      </c>
    </row>
    <row r="26" spans="1:41" s="24" customFormat="1" ht="98.25" customHeight="1" x14ac:dyDescent="0.25">
      <c r="A26" s="152"/>
      <c r="B26" s="152"/>
      <c r="C26" s="152"/>
      <c r="D26" s="152"/>
      <c r="E26" s="149"/>
      <c r="F26" s="149"/>
      <c r="G26" s="151"/>
      <c r="H26" s="151"/>
      <c r="I26" s="14" t="s">
        <v>149</v>
      </c>
      <c r="J26" s="99" t="s">
        <v>154</v>
      </c>
      <c r="K26" s="29">
        <v>0.33333299999999999</v>
      </c>
      <c r="L26" s="99" t="s">
        <v>155</v>
      </c>
      <c r="M26" s="107" t="s">
        <v>156</v>
      </c>
      <c r="N26" s="4" t="s">
        <v>583</v>
      </c>
      <c r="O26" s="107" t="s">
        <v>157</v>
      </c>
      <c r="P26" s="14" t="s">
        <v>66</v>
      </c>
      <c r="Q26" s="14" t="s">
        <v>74</v>
      </c>
      <c r="R26" s="15" t="s">
        <v>62</v>
      </c>
      <c r="S26" s="98"/>
      <c r="T26" s="98"/>
      <c r="U26" s="104" t="s">
        <v>63</v>
      </c>
      <c r="V26" s="42"/>
      <c r="W26" s="42"/>
      <c r="X26" s="42"/>
      <c r="Y26" s="52"/>
      <c r="Z26" s="52"/>
      <c r="AA26" s="55">
        <v>1</v>
      </c>
      <c r="AB26" s="70"/>
      <c r="AC26" s="70"/>
      <c r="AD26" s="70"/>
      <c r="AE26" s="61"/>
      <c r="AF26" s="61"/>
      <c r="AG26" s="64">
        <v>1</v>
      </c>
      <c r="AH26" s="105">
        <v>1</v>
      </c>
      <c r="AI26" s="81"/>
      <c r="AJ26" s="81">
        <f>18/18</f>
        <v>1</v>
      </c>
      <c r="AK26" s="104"/>
      <c r="AL26" s="110"/>
      <c r="AM26" s="81">
        <f>(AI26+AJ26+AK26+AL26)/2</f>
        <v>0.5</v>
      </c>
      <c r="AN26" s="110"/>
      <c r="AO26" s="39">
        <v>0.1666665</v>
      </c>
    </row>
    <row r="27" spans="1:41" s="24" customFormat="1" ht="82.5" customHeight="1" x14ac:dyDescent="0.25">
      <c r="A27" s="152"/>
      <c r="B27" s="152"/>
      <c r="C27" s="152"/>
      <c r="D27" s="152"/>
      <c r="E27" s="149"/>
      <c r="F27" s="149"/>
      <c r="G27" s="151"/>
      <c r="H27" s="151"/>
      <c r="I27" s="14" t="s">
        <v>149</v>
      </c>
      <c r="J27" s="99" t="s">
        <v>158</v>
      </c>
      <c r="K27" s="29">
        <v>0.33333299999999999</v>
      </c>
      <c r="L27" s="99" t="s">
        <v>159</v>
      </c>
      <c r="M27" s="107" t="s">
        <v>160</v>
      </c>
      <c r="N27" s="4" t="s">
        <v>583</v>
      </c>
      <c r="O27" s="107" t="s">
        <v>161</v>
      </c>
      <c r="P27" s="14" t="s">
        <v>113</v>
      </c>
      <c r="Q27" s="14" t="s">
        <v>74</v>
      </c>
      <c r="R27" s="15" t="s">
        <v>62</v>
      </c>
      <c r="S27" s="98" t="s">
        <v>129</v>
      </c>
      <c r="T27" s="98"/>
      <c r="U27" s="104" t="s">
        <v>82</v>
      </c>
      <c r="V27" s="45">
        <v>1</v>
      </c>
      <c r="W27" s="45">
        <v>1</v>
      </c>
      <c r="X27" s="45">
        <v>1</v>
      </c>
      <c r="Y27" s="55">
        <v>1</v>
      </c>
      <c r="Z27" s="55">
        <v>1</v>
      </c>
      <c r="AA27" s="55">
        <v>1</v>
      </c>
      <c r="AB27" s="73">
        <v>1</v>
      </c>
      <c r="AC27" s="73">
        <v>1</v>
      </c>
      <c r="AD27" s="73">
        <v>1</v>
      </c>
      <c r="AE27" s="64">
        <v>1</v>
      </c>
      <c r="AF27" s="64">
        <v>1</v>
      </c>
      <c r="AG27" s="64">
        <v>1</v>
      </c>
      <c r="AH27" s="105">
        <v>1</v>
      </c>
      <c r="AI27" s="25">
        <f>35/35</f>
        <v>1</v>
      </c>
      <c r="AJ27" s="39">
        <f>51/59</f>
        <v>0.86440677966101698</v>
      </c>
      <c r="AK27" s="39">
        <f>50/81</f>
        <v>0.61728395061728392</v>
      </c>
      <c r="AL27" s="110"/>
      <c r="AM27" s="39">
        <f>(AI27+AJ27+AK27+AL27)/4</f>
        <v>0.62042268256957522</v>
      </c>
      <c r="AN27" s="110"/>
      <c r="AO27" s="39">
        <v>0.20680735404896422</v>
      </c>
    </row>
    <row r="28" spans="1:41" s="24" customFormat="1" ht="70.5" customHeight="1" x14ac:dyDescent="0.25">
      <c r="A28" s="152"/>
      <c r="B28" s="152"/>
      <c r="C28" s="152"/>
      <c r="D28" s="152"/>
      <c r="E28" s="149"/>
      <c r="F28" s="149"/>
      <c r="G28" s="150" t="s">
        <v>37</v>
      </c>
      <c r="H28" s="149" t="s">
        <v>597</v>
      </c>
      <c r="I28" s="106" t="s">
        <v>162</v>
      </c>
      <c r="J28" s="99" t="s">
        <v>163</v>
      </c>
      <c r="K28" s="29" t="s">
        <v>598</v>
      </c>
      <c r="L28" s="99" t="s">
        <v>164</v>
      </c>
      <c r="M28" s="107" t="s">
        <v>165</v>
      </c>
      <c r="N28" s="4" t="s">
        <v>583</v>
      </c>
      <c r="O28" s="107" t="s">
        <v>166</v>
      </c>
      <c r="P28" s="106" t="s">
        <v>66</v>
      </c>
      <c r="Q28" s="14" t="s">
        <v>74</v>
      </c>
      <c r="R28" s="15" t="s">
        <v>62</v>
      </c>
      <c r="S28" s="98"/>
      <c r="T28" s="98"/>
      <c r="U28" s="104" t="s">
        <v>63</v>
      </c>
      <c r="V28" s="42"/>
      <c r="W28" s="42"/>
      <c r="X28" s="42"/>
      <c r="Y28" s="52"/>
      <c r="Z28" s="52"/>
      <c r="AA28" s="55">
        <v>1</v>
      </c>
      <c r="AB28" s="70"/>
      <c r="AC28" s="70"/>
      <c r="AD28" s="70"/>
      <c r="AE28" s="61"/>
      <c r="AF28" s="61"/>
      <c r="AG28" s="64">
        <v>1</v>
      </c>
      <c r="AH28" s="105">
        <v>1</v>
      </c>
      <c r="AI28" s="81"/>
      <c r="AJ28" s="81">
        <f>1/1</f>
        <v>1</v>
      </c>
      <c r="AK28" s="104"/>
      <c r="AL28" s="110"/>
      <c r="AM28" s="81">
        <f>(AI28+AJ28+AK28+AL28)/2</f>
        <v>0.5</v>
      </c>
      <c r="AN28" s="110"/>
      <c r="AO28" s="39">
        <v>0.1666665</v>
      </c>
    </row>
    <row r="29" spans="1:41" s="24" customFormat="1" ht="141" customHeight="1" x14ac:dyDescent="0.25">
      <c r="A29" s="152"/>
      <c r="B29" s="152"/>
      <c r="C29" s="152"/>
      <c r="D29" s="152"/>
      <c r="E29" s="149"/>
      <c r="F29" s="149"/>
      <c r="G29" s="150"/>
      <c r="H29" s="149"/>
      <c r="I29" s="106" t="s">
        <v>162</v>
      </c>
      <c r="J29" s="99" t="s">
        <v>167</v>
      </c>
      <c r="K29" s="102" t="s">
        <v>598</v>
      </c>
      <c r="L29" s="99" t="s">
        <v>168</v>
      </c>
      <c r="M29" s="107" t="s">
        <v>169</v>
      </c>
      <c r="N29" s="4" t="s">
        <v>583</v>
      </c>
      <c r="O29" s="107" t="s">
        <v>170</v>
      </c>
      <c r="P29" s="106" t="s">
        <v>66</v>
      </c>
      <c r="Q29" s="14" t="s">
        <v>74</v>
      </c>
      <c r="R29" s="15" t="s">
        <v>62</v>
      </c>
      <c r="S29" s="98"/>
      <c r="T29" s="98"/>
      <c r="U29" s="104" t="s">
        <v>68</v>
      </c>
      <c r="V29" s="42"/>
      <c r="W29" s="42"/>
      <c r="X29" s="45">
        <v>1</v>
      </c>
      <c r="Y29" s="52"/>
      <c r="Z29" s="52"/>
      <c r="AA29" s="55">
        <v>1</v>
      </c>
      <c r="AB29" s="70"/>
      <c r="AC29" s="70"/>
      <c r="AD29" s="73">
        <v>1</v>
      </c>
      <c r="AE29" s="61"/>
      <c r="AF29" s="61"/>
      <c r="AG29" s="64">
        <v>1</v>
      </c>
      <c r="AH29" s="105">
        <v>1</v>
      </c>
      <c r="AI29" s="105">
        <v>1</v>
      </c>
      <c r="AJ29" s="81">
        <f>1/1</f>
        <v>1</v>
      </c>
      <c r="AK29" s="81">
        <v>0</v>
      </c>
      <c r="AL29" s="110"/>
      <c r="AM29" s="81">
        <f>(AI29+AJ29+AK29+AL29)/4</f>
        <v>0.5</v>
      </c>
      <c r="AN29" s="110"/>
      <c r="AO29" s="39">
        <v>0.1666665</v>
      </c>
    </row>
    <row r="30" spans="1:41" s="24" customFormat="1" ht="184.5" customHeight="1" x14ac:dyDescent="0.25">
      <c r="A30" s="152"/>
      <c r="B30" s="152"/>
      <c r="C30" s="152"/>
      <c r="D30" s="152"/>
      <c r="E30" s="149"/>
      <c r="F30" s="149"/>
      <c r="G30" s="150"/>
      <c r="H30" s="149"/>
      <c r="I30" s="106" t="s">
        <v>162</v>
      </c>
      <c r="J30" s="99" t="s">
        <v>171</v>
      </c>
      <c r="K30" s="30" t="s">
        <v>598</v>
      </c>
      <c r="L30" s="99" t="s">
        <v>172</v>
      </c>
      <c r="M30" s="107" t="s">
        <v>173</v>
      </c>
      <c r="N30" s="14" t="s">
        <v>576</v>
      </c>
      <c r="O30" s="107" t="s">
        <v>174</v>
      </c>
      <c r="P30" s="106" t="s">
        <v>60</v>
      </c>
      <c r="Q30" s="14" t="s">
        <v>74</v>
      </c>
      <c r="R30" s="15" t="s">
        <v>62</v>
      </c>
      <c r="S30" s="98"/>
      <c r="T30" s="98"/>
      <c r="U30" s="104" t="s">
        <v>75</v>
      </c>
      <c r="V30" s="42"/>
      <c r="W30" s="42"/>
      <c r="X30" s="42">
        <v>1</v>
      </c>
      <c r="Y30" s="52"/>
      <c r="Z30" s="52"/>
      <c r="AA30" s="52"/>
      <c r="AB30" s="70"/>
      <c r="AC30" s="70"/>
      <c r="AD30" s="70"/>
      <c r="AE30" s="61"/>
      <c r="AF30" s="61"/>
      <c r="AG30" s="61"/>
      <c r="AH30" s="83">
        <v>1</v>
      </c>
      <c r="AI30" s="84"/>
      <c r="AJ30" s="84">
        <f>1/1</f>
        <v>1</v>
      </c>
      <c r="AK30" s="83"/>
      <c r="AL30" s="85"/>
      <c r="AM30" s="84">
        <f>AJ30</f>
        <v>1</v>
      </c>
      <c r="AN30" s="85"/>
      <c r="AO30" s="88">
        <v>0.33333299999999999</v>
      </c>
    </row>
    <row r="31" spans="1:41" s="24" customFormat="1" ht="86.25" customHeight="1" x14ac:dyDescent="0.25">
      <c r="A31" s="152"/>
      <c r="B31" s="152"/>
      <c r="C31" s="152"/>
      <c r="D31" s="152"/>
      <c r="E31" s="149"/>
      <c r="F31" s="149"/>
      <c r="G31" s="107" t="s">
        <v>38</v>
      </c>
      <c r="H31" s="107" t="s">
        <v>599</v>
      </c>
      <c r="I31" s="14" t="s">
        <v>175</v>
      </c>
      <c r="J31" s="99" t="s">
        <v>176</v>
      </c>
      <c r="K31" s="102">
        <v>1</v>
      </c>
      <c r="L31" s="99" t="s">
        <v>177</v>
      </c>
      <c r="M31" s="107" t="s">
        <v>178</v>
      </c>
      <c r="N31" s="14" t="s">
        <v>576</v>
      </c>
      <c r="O31" s="107" t="s">
        <v>179</v>
      </c>
      <c r="P31" s="14" t="s">
        <v>60</v>
      </c>
      <c r="Q31" s="14" t="s">
        <v>74</v>
      </c>
      <c r="R31" s="15" t="s">
        <v>62</v>
      </c>
      <c r="S31" s="98"/>
      <c r="T31" s="98"/>
      <c r="U31" s="104" t="s">
        <v>63</v>
      </c>
      <c r="V31" s="45"/>
      <c r="W31" s="45"/>
      <c r="X31" s="45"/>
      <c r="Y31" s="55"/>
      <c r="Z31" s="55"/>
      <c r="AA31" s="54">
        <v>1</v>
      </c>
      <c r="AB31" s="73"/>
      <c r="AC31" s="73"/>
      <c r="AD31" s="73"/>
      <c r="AE31" s="64"/>
      <c r="AF31" s="64"/>
      <c r="AG31" s="63">
        <v>1</v>
      </c>
      <c r="AH31" s="91">
        <v>2</v>
      </c>
      <c r="AI31" s="105"/>
      <c r="AJ31" s="25">
        <v>0</v>
      </c>
      <c r="AK31" s="104"/>
      <c r="AL31" s="110"/>
      <c r="AM31" s="81">
        <f>(AJ31+AL31)/2</f>
        <v>0</v>
      </c>
      <c r="AN31" s="110"/>
      <c r="AO31" s="39">
        <v>0</v>
      </c>
    </row>
    <row r="32" spans="1:41" s="24" customFormat="1" ht="218.25" customHeight="1" x14ac:dyDescent="0.25">
      <c r="A32" s="129" t="s">
        <v>600</v>
      </c>
      <c r="B32" s="129" t="s">
        <v>601</v>
      </c>
      <c r="C32" s="129" t="s">
        <v>602</v>
      </c>
      <c r="D32" s="129" t="s">
        <v>603</v>
      </c>
      <c r="E32" s="129" t="s">
        <v>574</v>
      </c>
      <c r="F32" s="129" t="s">
        <v>604</v>
      </c>
      <c r="G32" s="108" t="s">
        <v>39</v>
      </c>
      <c r="H32" s="108" t="s">
        <v>605</v>
      </c>
      <c r="I32" s="106" t="s">
        <v>180</v>
      </c>
      <c r="J32" s="108" t="s">
        <v>181</v>
      </c>
      <c r="K32" s="26">
        <v>1</v>
      </c>
      <c r="L32" s="108" t="s">
        <v>182</v>
      </c>
      <c r="M32" s="108" t="s">
        <v>183</v>
      </c>
      <c r="N32" s="14" t="s">
        <v>576</v>
      </c>
      <c r="O32" s="108" t="s">
        <v>184</v>
      </c>
      <c r="P32" s="106" t="s">
        <v>60</v>
      </c>
      <c r="Q32" s="4" t="s">
        <v>61</v>
      </c>
      <c r="R32" s="3" t="s">
        <v>62</v>
      </c>
      <c r="S32" s="103"/>
      <c r="T32" s="103"/>
      <c r="U32" s="104" t="s">
        <v>63</v>
      </c>
      <c r="V32" s="42"/>
      <c r="W32" s="42"/>
      <c r="X32" s="42"/>
      <c r="Y32" s="52"/>
      <c r="Z32" s="52"/>
      <c r="AA32" s="54">
        <v>1</v>
      </c>
      <c r="AB32" s="70"/>
      <c r="AC32" s="70"/>
      <c r="AD32" s="70"/>
      <c r="AE32" s="61"/>
      <c r="AF32" s="61"/>
      <c r="AG32" s="63">
        <v>1</v>
      </c>
      <c r="AH32" s="91">
        <v>2</v>
      </c>
      <c r="AI32" s="104"/>
      <c r="AJ32" s="81">
        <f>1/1</f>
        <v>1</v>
      </c>
      <c r="AK32" s="104"/>
      <c r="AL32" s="110"/>
      <c r="AM32" s="81">
        <f>(AJ32+AL32)/2</f>
        <v>0.5</v>
      </c>
      <c r="AN32" s="110"/>
      <c r="AO32" s="41">
        <v>0.5</v>
      </c>
    </row>
    <row r="33" spans="1:41" s="24" customFormat="1" ht="124.5" customHeight="1" x14ac:dyDescent="0.25">
      <c r="A33" s="145"/>
      <c r="B33" s="145"/>
      <c r="C33" s="145"/>
      <c r="D33" s="145"/>
      <c r="E33" s="129"/>
      <c r="F33" s="129"/>
      <c r="G33" s="126" t="s">
        <v>40</v>
      </c>
      <c r="H33" s="126" t="s">
        <v>606</v>
      </c>
      <c r="I33" s="106" t="s">
        <v>185</v>
      </c>
      <c r="J33" s="108" t="s">
        <v>186</v>
      </c>
      <c r="K33" s="26">
        <v>0.25</v>
      </c>
      <c r="L33" s="108" t="s">
        <v>187</v>
      </c>
      <c r="M33" s="108" t="s">
        <v>188</v>
      </c>
      <c r="N33" s="4" t="s">
        <v>583</v>
      </c>
      <c r="O33" s="108" t="s">
        <v>189</v>
      </c>
      <c r="P33" s="106" t="s">
        <v>66</v>
      </c>
      <c r="Q33" s="106" t="s">
        <v>81</v>
      </c>
      <c r="R33" s="15" t="s">
        <v>62</v>
      </c>
      <c r="S33" s="99" t="s">
        <v>148</v>
      </c>
      <c r="T33" s="96"/>
      <c r="U33" s="104" t="s">
        <v>68</v>
      </c>
      <c r="V33" s="42"/>
      <c r="W33" s="42"/>
      <c r="X33" s="44">
        <v>1</v>
      </c>
      <c r="Y33" s="52"/>
      <c r="Z33" s="52"/>
      <c r="AA33" s="53">
        <v>1</v>
      </c>
      <c r="AB33" s="70"/>
      <c r="AC33" s="70"/>
      <c r="AD33" s="71">
        <v>1</v>
      </c>
      <c r="AE33" s="61"/>
      <c r="AF33" s="61"/>
      <c r="AG33" s="62">
        <v>1</v>
      </c>
      <c r="AH33" s="25">
        <v>1</v>
      </c>
      <c r="AI33" s="81">
        <f>2/2</f>
        <v>1</v>
      </c>
      <c r="AJ33" s="81">
        <f>8/8</f>
        <v>1</v>
      </c>
      <c r="AK33" s="39">
        <f>8/17</f>
        <v>0.47058823529411764</v>
      </c>
      <c r="AL33" s="110"/>
      <c r="AM33" s="81">
        <f>(AI33+AJ33+AK33+AL33)/4</f>
        <v>0.61764705882352944</v>
      </c>
      <c r="AN33" s="110"/>
      <c r="AO33" s="39">
        <v>0.15441176470588236</v>
      </c>
    </row>
    <row r="34" spans="1:41" s="24" customFormat="1" ht="251.25" customHeight="1" x14ac:dyDescent="0.25">
      <c r="A34" s="145"/>
      <c r="B34" s="145"/>
      <c r="C34" s="145"/>
      <c r="D34" s="145"/>
      <c r="E34" s="129"/>
      <c r="F34" s="129"/>
      <c r="G34" s="126"/>
      <c r="H34" s="126"/>
      <c r="I34" s="106" t="s">
        <v>190</v>
      </c>
      <c r="J34" s="108" t="s">
        <v>191</v>
      </c>
      <c r="K34" s="26">
        <v>0.25</v>
      </c>
      <c r="L34" s="108" t="s">
        <v>159</v>
      </c>
      <c r="M34" s="108" t="s">
        <v>192</v>
      </c>
      <c r="N34" s="4" t="s">
        <v>583</v>
      </c>
      <c r="O34" s="108" t="s">
        <v>193</v>
      </c>
      <c r="P34" s="106" t="s">
        <v>113</v>
      </c>
      <c r="Q34" s="106" t="s">
        <v>92</v>
      </c>
      <c r="R34" s="5" t="s">
        <v>62</v>
      </c>
      <c r="S34" s="99" t="s">
        <v>148</v>
      </c>
      <c r="T34" s="108"/>
      <c r="U34" s="104" t="s">
        <v>68</v>
      </c>
      <c r="V34" s="42"/>
      <c r="W34" s="42"/>
      <c r="X34" s="45">
        <v>1</v>
      </c>
      <c r="Y34" s="52"/>
      <c r="Z34" s="52"/>
      <c r="AA34" s="55">
        <v>1</v>
      </c>
      <c r="AB34" s="70"/>
      <c r="AC34" s="70"/>
      <c r="AD34" s="73">
        <v>1</v>
      </c>
      <c r="AE34" s="61"/>
      <c r="AF34" s="61"/>
      <c r="AG34" s="64">
        <v>1</v>
      </c>
      <c r="AH34" s="105">
        <v>1</v>
      </c>
      <c r="AI34" s="105">
        <v>1</v>
      </c>
      <c r="AJ34" s="105">
        <v>1</v>
      </c>
      <c r="AK34" s="105">
        <v>1</v>
      </c>
      <c r="AL34" s="110"/>
      <c r="AM34" s="81">
        <f>(AI34+AJ34+AK34+AL34)/4</f>
        <v>0.75</v>
      </c>
      <c r="AN34" s="110"/>
      <c r="AO34" s="39">
        <v>0.1875</v>
      </c>
    </row>
    <row r="35" spans="1:41" s="24" customFormat="1" ht="102.75" customHeight="1" x14ac:dyDescent="0.25">
      <c r="A35" s="145"/>
      <c r="B35" s="145"/>
      <c r="C35" s="145"/>
      <c r="D35" s="145"/>
      <c r="E35" s="129"/>
      <c r="F35" s="129"/>
      <c r="G35" s="126"/>
      <c r="H35" s="126"/>
      <c r="I35" s="106" t="s">
        <v>190</v>
      </c>
      <c r="J35" s="108" t="s">
        <v>194</v>
      </c>
      <c r="K35" s="26">
        <v>0.25</v>
      </c>
      <c r="L35" s="108" t="s">
        <v>159</v>
      </c>
      <c r="M35" s="108" t="s">
        <v>195</v>
      </c>
      <c r="N35" s="4" t="s">
        <v>583</v>
      </c>
      <c r="O35" s="108" t="s">
        <v>196</v>
      </c>
      <c r="P35" s="106" t="s">
        <v>66</v>
      </c>
      <c r="Q35" s="106" t="s">
        <v>92</v>
      </c>
      <c r="R35" s="5" t="s">
        <v>62</v>
      </c>
      <c r="S35" s="99" t="s">
        <v>148</v>
      </c>
      <c r="T35" s="108"/>
      <c r="U35" s="104" t="s">
        <v>63</v>
      </c>
      <c r="V35" s="42"/>
      <c r="W35" s="42"/>
      <c r="X35" s="45"/>
      <c r="Y35" s="52"/>
      <c r="Z35" s="52"/>
      <c r="AA35" s="55">
        <v>1</v>
      </c>
      <c r="AB35" s="70"/>
      <c r="AC35" s="70"/>
      <c r="AD35" s="73"/>
      <c r="AE35" s="61"/>
      <c r="AF35" s="61"/>
      <c r="AG35" s="64">
        <v>1</v>
      </c>
      <c r="AH35" s="105">
        <v>1</v>
      </c>
      <c r="AI35" s="104"/>
      <c r="AJ35" s="39">
        <f>69/116</f>
        <v>0.59482758620689657</v>
      </c>
      <c r="AK35" s="104"/>
      <c r="AL35" s="110"/>
      <c r="AM35" s="39">
        <f>(AJ35+AL35)/2</f>
        <v>0.29741379310344829</v>
      </c>
      <c r="AN35" s="110"/>
      <c r="AO35" s="39">
        <v>7.4353448275862072E-2</v>
      </c>
    </row>
    <row r="36" spans="1:41" s="24" customFormat="1" ht="110.25" customHeight="1" x14ac:dyDescent="0.25">
      <c r="A36" s="145"/>
      <c r="B36" s="145"/>
      <c r="C36" s="145"/>
      <c r="D36" s="145"/>
      <c r="E36" s="129"/>
      <c r="F36" s="129"/>
      <c r="G36" s="126"/>
      <c r="H36" s="126"/>
      <c r="I36" s="106" t="s">
        <v>190</v>
      </c>
      <c r="J36" s="108" t="s">
        <v>197</v>
      </c>
      <c r="K36" s="26">
        <v>0.25</v>
      </c>
      <c r="L36" s="108" t="s">
        <v>198</v>
      </c>
      <c r="M36" s="108" t="s">
        <v>199</v>
      </c>
      <c r="N36" s="4" t="s">
        <v>583</v>
      </c>
      <c r="O36" s="108" t="s">
        <v>200</v>
      </c>
      <c r="P36" s="106" t="s">
        <v>66</v>
      </c>
      <c r="Q36" s="106" t="s">
        <v>92</v>
      </c>
      <c r="R36" s="5" t="s">
        <v>62</v>
      </c>
      <c r="S36" s="108"/>
      <c r="T36" s="108"/>
      <c r="U36" s="104" t="s">
        <v>63</v>
      </c>
      <c r="V36" s="42"/>
      <c r="W36" s="42"/>
      <c r="X36" s="42"/>
      <c r="Y36" s="52"/>
      <c r="Z36" s="52"/>
      <c r="AA36" s="55">
        <v>1</v>
      </c>
      <c r="AB36" s="70"/>
      <c r="AC36" s="70"/>
      <c r="AD36" s="70"/>
      <c r="AE36" s="61"/>
      <c r="AF36" s="61"/>
      <c r="AG36" s="64">
        <v>1</v>
      </c>
      <c r="AH36" s="105">
        <v>1</v>
      </c>
      <c r="AI36" s="104"/>
      <c r="AJ36" s="39">
        <f>3/8</f>
        <v>0.375</v>
      </c>
      <c r="AK36" s="104"/>
      <c r="AL36" s="110"/>
      <c r="AM36" s="39">
        <f>(AJ36+AL36)/2</f>
        <v>0.1875</v>
      </c>
      <c r="AN36" s="110"/>
      <c r="AO36" s="39">
        <v>4.6875E-2</v>
      </c>
    </row>
    <row r="37" spans="1:41" s="24" customFormat="1" ht="192.75" customHeight="1" x14ac:dyDescent="0.25">
      <c r="A37" s="145"/>
      <c r="B37" s="145"/>
      <c r="C37" s="145"/>
      <c r="D37" s="145"/>
      <c r="E37" s="129"/>
      <c r="F37" s="129"/>
      <c r="G37" s="129" t="s">
        <v>41</v>
      </c>
      <c r="H37" s="129" t="s">
        <v>607</v>
      </c>
      <c r="I37" s="4" t="s">
        <v>201</v>
      </c>
      <c r="J37" s="96" t="s">
        <v>202</v>
      </c>
      <c r="K37" s="28">
        <v>0.5</v>
      </c>
      <c r="L37" s="96" t="s">
        <v>203</v>
      </c>
      <c r="M37" s="96" t="s">
        <v>204</v>
      </c>
      <c r="N37" s="4" t="s">
        <v>583</v>
      </c>
      <c r="O37" s="96" t="s">
        <v>205</v>
      </c>
      <c r="P37" s="106" t="s">
        <v>66</v>
      </c>
      <c r="Q37" s="4" t="s">
        <v>61</v>
      </c>
      <c r="R37" s="3" t="s">
        <v>62</v>
      </c>
      <c r="S37" s="103"/>
      <c r="T37" s="103"/>
      <c r="U37" s="104" t="s">
        <v>63</v>
      </c>
      <c r="V37" s="42"/>
      <c r="W37" s="42"/>
      <c r="X37" s="42"/>
      <c r="Y37" s="52"/>
      <c r="Z37" s="52"/>
      <c r="AA37" s="53">
        <v>1</v>
      </c>
      <c r="AB37" s="70"/>
      <c r="AC37" s="70"/>
      <c r="AD37" s="70"/>
      <c r="AE37" s="61"/>
      <c r="AF37" s="61"/>
      <c r="AG37" s="62">
        <v>1</v>
      </c>
      <c r="AH37" s="25">
        <v>1</v>
      </c>
      <c r="AI37" s="104"/>
      <c r="AJ37" s="81">
        <f>18/18</f>
        <v>1</v>
      </c>
      <c r="AK37" s="104"/>
      <c r="AL37" s="110"/>
      <c r="AM37" s="81">
        <f>(AJ37+AL37)/2</f>
        <v>0.5</v>
      </c>
      <c r="AN37" s="110"/>
      <c r="AO37" s="41">
        <v>0.25</v>
      </c>
    </row>
    <row r="38" spans="1:41" s="24" customFormat="1" ht="156" customHeight="1" x14ac:dyDescent="0.25">
      <c r="A38" s="145"/>
      <c r="B38" s="145"/>
      <c r="C38" s="145"/>
      <c r="D38" s="145"/>
      <c r="E38" s="129"/>
      <c r="F38" s="129"/>
      <c r="G38" s="129"/>
      <c r="H38" s="129"/>
      <c r="I38" s="4" t="s">
        <v>206</v>
      </c>
      <c r="J38" s="96" t="s">
        <v>207</v>
      </c>
      <c r="K38" s="28">
        <v>0.5</v>
      </c>
      <c r="L38" s="96" t="s">
        <v>208</v>
      </c>
      <c r="M38" s="96" t="s">
        <v>209</v>
      </c>
      <c r="N38" s="4" t="s">
        <v>583</v>
      </c>
      <c r="O38" s="96" t="s">
        <v>210</v>
      </c>
      <c r="P38" s="106" t="s">
        <v>66</v>
      </c>
      <c r="Q38" s="106" t="s">
        <v>92</v>
      </c>
      <c r="R38" s="5" t="s">
        <v>62</v>
      </c>
      <c r="S38" s="108"/>
      <c r="T38" s="108"/>
      <c r="U38" s="104" t="s">
        <v>63</v>
      </c>
      <c r="V38" s="42"/>
      <c r="W38" s="42"/>
      <c r="X38" s="42"/>
      <c r="Y38" s="52"/>
      <c r="Z38" s="52"/>
      <c r="AA38" s="53">
        <v>1</v>
      </c>
      <c r="AB38" s="70"/>
      <c r="AC38" s="70"/>
      <c r="AD38" s="70"/>
      <c r="AE38" s="61"/>
      <c r="AF38" s="61"/>
      <c r="AG38" s="62">
        <v>1</v>
      </c>
      <c r="AH38" s="25">
        <v>1</v>
      </c>
      <c r="AI38" s="104"/>
      <c r="AJ38" s="105">
        <v>1</v>
      </c>
      <c r="AK38" s="104"/>
      <c r="AL38" s="110"/>
      <c r="AM38" s="41">
        <f>(AJ38+AL38)/2</f>
        <v>0.5</v>
      </c>
      <c r="AN38" s="110"/>
      <c r="AO38" s="41">
        <v>0.25</v>
      </c>
    </row>
    <row r="39" spans="1:41" s="24" customFormat="1" ht="132" customHeight="1" x14ac:dyDescent="0.25">
      <c r="A39" s="145"/>
      <c r="B39" s="145"/>
      <c r="C39" s="145"/>
      <c r="D39" s="145"/>
      <c r="E39" s="129"/>
      <c r="F39" s="129"/>
      <c r="G39" s="146" t="s">
        <v>608</v>
      </c>
      <c r="H39" s="96"/>
      <c r="I39" s="4" t="s">
        <v>524</v>
      </c>
      <c r="J39" s="96" t="s">
        <v>525</v>
      </c>
      <c r="K39" s="28">
        <v>0.25</v>
      </c>
      <c r="L39" s="96" t="s">
        <v>526</v>
      </c>
      <c r="M39" s="96" t="s">
        <v>527</v>
      </c>
      <c r="N39" s="4" t="s">
        <v>576</v>
      </c>
      <c r="O39" s="96" t="s">
        <v>527</v>
      </c>
      <c r="P39" s="106" t="s">
        <v>60</v>
      </c>
      <c r="Q39" s="106" t="s">
        <v>67</v>
      </c>
      <c r="R39" s="5" t="s">
        <v>248</v>
      </c>
      <c r="S39" s="108"/>
      <c r="T39" s="108"/>
      <c r="U39" s="104" t="s">
        <v>75</v>
      </c>
      <c r="V39" s="42"/>
      <c r="W39" s="42"/>
      <c r="X39" s="42"/>
      <c r="Y39" s="52"/>
      <c r="Z39" s="52"/>
      <c r="AA39" s="53"/>
      <c r="AB39" s="70"/>
      <c r="AC39" s="70"/>
      <c r="AD39" s="70"/>
      <c r="AE39" s="61"/>
      <c r="AF39" s="61"/>
      <c r="AG39" s="63">
        <v>1</v>
      </c>
      <c r="AH39" s="91">
        <v>1</v>
      </c>
      <c r="AI39" s="104"/>
      <c r="AJ39" s="104"/>
      <c r="AK39" s="104"/>
      <c r="AL39" s="110"/>
      <c r="AM39" s="81">
        <f>AL39</f>
        <v>0</v>
      </c>
      <c r="AN39" s="110"/>
      <c r="AO39" s="39">
        <v>0</v>
      </c>
    </row>
    <row r="40" spans="1:41" s="24" customFormat="1" ht="123" customHeight="1" x14ac:dyDescent="0.25">
      <c r="A40" s="145"/>
      <c r="B40" s="145"/>
      <c r="C40" s="145"/>
      <c r="D40" s="145"/>
      <c r="E40" s="129"/>
      <c r="F40" s="129"/>
      <c r="G40" s="147"/>
      <c r="H40" s="129" t="s">
        <v>609</v>
      </c>
      <c r="I40" s="4" t="s">
        <v>211</v>
      </c>
      <c r="J40" s="96" t="s">
        <v>212</v>
      </c>
      <c r="K40" s="28">
        <v>0.25</v>
      </c>
      <c r="L40" s="96" t="s">
        <v>213</v>
      </c>
      <c r="M40" s="96" t="s">
        <v>214</v>
      </c>
      <c r="N40" s="4" t="s">
        <v>583</v>
      </c>
      <c r="O40" s="96" t="s">
        <v>215</v>
      </c>
      <c r="P40" s="106" t="s">
        <v>66</v>
      </c>
      <c r="Q40" s="106" t="s">
        <v>92</v>
      </c>
      <c r="R40" s="5" t="s">
        <v>62</v>
      </c>
      <c r="S40" s="108"/>
      <c r="T40" s="108"/>
      <c r="U40" s="104" t="s">
        <v>63</v>
      </c>
      <c r="V40" s="42"/>
      <c r="W40" s="42"/>
      <c r="X40" s="42"/>
      <c r="Y40" s="52"/>
      <c r="Z40" s="52"/>
      <c r="AA40" s="53">
        <v>1</v>
      </c>
      <c r="AB40" s="70"/>
      <c r="AC40" s="70"/>
      <c r="AD40" s="70"/>
      <c r="AE40" s="61"/>
      <c r="AF40" s="61"/>
      <c r="AG40" s="62">
        <v>1</v>
      </c>
      <c r="AH40" s="25">
        <v>1</v>
      </c>
      <c r="AI40" s="104"/>
      <c r="AJ40" s="39">
        <f>2/6</f>
        <v>0.33333333333333331</v>
      </c>
      <c r="AK40" s="104"/>
      <c r="AL40" s="110"/>
      <c r="AM40" s="39">
        <f>(AJ40+AL40)/2</f>
        <v>0.16666666666666666</v>
      </c>
      <c r="AN40" s="110"/>
      <c r="AO40" s="39">
        <v>4.1666666666666664E-2</v>
      </c>
    </row>
    <row r="41" spans="1:41" s="24" customFormat="1" ht="111.75" customHeight="1" x14ac:dyDescent="0.25">
      <c r="A41" s="145"/>
      <c r="B41" s="145"/>
      <c r="C41" s="145"/>
      <c r="D41" s="145"/>
      <c r="E41" s="129"/>
      <c r="F41" s="129"/>
      <c r="G41" s="147"/>
      <c r="H41" s="129"/>
      <c r="I41" s="4" t="s">
        <v>216</v>
      </c>
      <c r="J41" s="96" t="s">
        <v>548</v>
      </c>
      <c r="K41" s="28">
        <v>0.25</v>
      </c>
      <c r="L41" s="96" t="s">
        <v>217</v>
      </c>
      <c r="M41" s="96" t="s">
        <v>218</v>
      </c>
      <c r="N41" s="4" t="s">
        <v>583</v>
      </c>
      <c r="O41" s="96" t="s">
        <v>219</v>
      </c>
      <c r="P41" s="106" t="s">
        <v>66</v>
      </c>
      <c r="Q41" s="106" t="s">
        <v>81</v>
      </c>
      <c r="R41" s="15" t="s">
        <v>62</v>
      </c>
      <c r="S41" s="96" t="s">
        <v>148</v>
      </c>
      <c r="T41" s="31">
        <v>825104132</v>
      </c>
      <c r="U41" s="104" t="s">
        <v>68</v>
      </c>
      <c r="V41" s="42"/>
      <c r="W41" s="42"/>
      <c r="X41" s="44">
        <v>1</v>
      </c>
      <c r="Y41" s="52"/>
      <c r="Z41" s="52"/>
      <c r="AA41" s="53">
        <v>1</v>
      </c>
      <c r="AB41" s="70"/>
      <c r="AC41" s="70"/>
      <c r="AD41" s="71">
        <v>1</v>
      </c>
      <c r="AE41" s="61"/>
      <c r="AF41" s="61"/>
      <c r="AG41" s="62">
        <v>1</v>
      </c>
      <c r="AH41" s="25">
        <v>1</v>
      </c>
      <c r="AI41" s="25">
        <v>1</v>
      </c>
      <c r="AJ41" s="81">
        <f>10/10</f>
        <v>1</v>
      </c>
      <c r="AK41" s="39">
        <f>13/22</f>
        <v>0.59090909090909094</v>
      </c>
      <c r="AL41" s="110"/>
      <c r="AM41" s="81">
        <f>(AI41+AJ41+AK41+AL41)/4</f>
        <v>0.64772727272727271</v>
      </c>
      <c r="AN41" s="110"/>
      <c r="AO41" s="39">
        <v>0.16193181818181818</v>
      </c>
    </row>
    <row r="42" spans="1:41" s="24" customFormat="1" ht="98.25" customHeight="1" x14ac:dyDescent="0.25">
      <c r="A42" s="145"/>
      <c r="B42" s="145"/>
      <c r="C42" s="145"/>
      <c r="D42" s="145"/>
      <c r="E42" s="129"/>
      <c r="F42" s="129"/>
      <c r="G42" s="148"/>
      <c r="H42" s="129"/>
      <c r="I42" s="4" t="s">
        <v>220</v>
      </c>
      <c r="J42" s="96" t="s">
        <v>221</v>
      </c>
      <c r="K42" s="28">
        <v>0.25</v>
      </c>
      <c r="L42" s="96" t="s">
        <v>222</v>
      </c>
      <c r="M42" s="96" t="s">
        <v>223</v>
      </c>
      <c r="N42" s="14" t="s">
        <v>576</v>
      </c>
      <c r="O42" s="96" t="s">
        <v>224</v>
      </c>
      <c r="P42" s="4" t="s">
        <v>60</v>
      </c>
      <c r="Q42" s="4" t="s">
        <v>225</v>
      </c>
      <c r="R42" s="15" t="s">
        <v>226</v>
      </c>
      <c r="S42" s="96"/>
      <c r="T42" s="96"/>
      <c r="U42" s="104" t="s">
        <v>75</v>
      </c>
      <c r="V42" s="42"/>
      <c r="W42" s="42"/>
      <c r="X42" s="42"/>
      <c r="Y42" s="52"/>
      <c r="Z42" s="52"/>
      <c r="AA42" s="52"/>
      <c r="AB42" s="70"/>
      <c r="AC42" s="70"/>
      <c r="AD42" s="70"/>
      <c r="AE42" s="61"/>
      <c r="AF42" s="61">
        <v>1</v>
      </c>
      <c r="AG42" s="61"/>
      <c r="AH42" s="104">
        <v>1</v>
      </c>
      <c r="AI42" s="104"/>
      <c r="AJ42" s="104"/>
      <c r="AK42" s="104"/>
      <c r="AL42" s="110"/>
      <c r="AM42" s="81">
        <f>AL42</f>
        <v>0</v>
      </c>
      <c r="AN42" s="110"/>
      <c r="AO42" s="39"/>
    </row>
    <row r="43" spans="1:41" s="24" customFormat="1" ht="99" customHeight="1" x14ac:dyDescent="0.25">
      <c r="A43" s="126" t="s">
        <v>610</v>
      </c>
      <c r="B43" s="126" t="s">
        <v>611</v>
      </c>
      <c r="C43" s="126" t="s">
        <v>612</v>
      </c>
      <c r="D43" s="126" t="s">
        <v>613</v>
      </c>
      <c r="E43" s="126" t="s">
        <v>614</v>
      </c>
      <c r="F43" s="129" t="s">
        <v>615</v>
      </c>
      <c r="G43" s="126" t="s">
        <v>42</v>
      </c>
      <c r="H43" s="126" t="s">
        <v>616</v>
      </c>
      <c r="I43" s="106" t="s">
        <v>227</v>
      </c>
      <c r="J43" s="108" t="s">
        <v>228</v>
      </c>
      <c r="K43" s="28">
        <v>0.5</v>
      </c>
      <c r="L43" s="108" t="s">
        <v>229</v>
      </c>
      <c r="M43" s="108" t="s">
        <v>230</v>
      </c>
      <c r="N43" s="4" t="s">
        <v>583</v>
      </c>
      <c r="O43" s="108" t="s">
        <v>231</v>
      </c>
      <c r="P43" s="106" t="s">
        <v>66</v>
      </c>
      <c r="Q43" s="4" t="s">
        <v>106</v>
      </c>
      <c r="R43" s="5" t="s">
        <v>62</v>
      </c>
      <c r="S43" s="108"/>
      <c r="T43" s="108"/>
      <c r="U43" s="104" t="s">
        <v>82</v>
      </c>
      <c r="V43" s="44">
        <v>1</v>
      </c>
      <c r="W43" s="44">
        <v>1</v>
      </c>
      <c r="X43" s="44">
        <v>1</v>
      </c>
      <c r="Y43" s="53">
        <v>1</v>
      </c>
      <c r="Z43" s="53">
        <v>1</v>
      </c>
      <c r="AA43" s="53">
        <v>1</v>
      </c>
      <c r="AB43" s="71">
        <v>1</v>
      </c>
      <c r="AC43" s="71">
        <v>1</v>
      </c>
      <c r="AD43" s="71">
        <v>1</v>
      </c>
      <c r="AE43" s="62">
        <v>1</v>
      </c>
      <c r="AF43" s="62">
        <v>1</v>
      </c>
      <c r="AG43" s="62">
        <v>1</v>
      </c>
      <c r="AH43" s="105">
        <v>1</v>
      </c>
      <c r="AI43" s="40">
        <f>6/11</f>
        <v>0.54545454545454541</v>
      </c>
      <c r="AJ43" s="39">
        <f>21/29</f>
        <v>0.72413793103448276</v>
      </c>
      <c r="AK43" s="39">
        <f>25/30</f>
        <v>0.83333333333333337</v>
      </c>
      <c r="AL43" s="110"/>
      <c r="AM43" s="39">
        <f>(AI43+AJ43+AK43+AL43)/4</f>
        <v>0.52573145245559039</v>
      </c>
      <c r="AN43" s="110"/>
      <c r="AO43" s="39">
        <v>0.26286572622779519</v>
      </c>
    </row>
    <row r="44" spans="1:41" s="24" customFormat="1" ht="84" customHeight="1" x14ac:dyDescent="0.25">
      <c r="A44" s="126"/>
      <c r="B44" s="126"/>
      <c r="C44" s="126"/>
      <c r="D44" s="126"/>
      <c r="E44" s="126"/>
      <c r="F44" s="129"/>
      <c r="G44" s="126"/>
      <c r="H44" s="126"/>
      <c r="I44" s="106" t="s">
        <v>227</v>
      </c>
      <c r="J44" s="108" t="s">
        <v>232</v>
      </c>
      <c r="K44" s="28">
        <v>0.5</v>
      </c>
      <c r="L44" s="108" t="s">
        <v>233</v>
      </c>
      <c r="M44" s="108" t="s">
        <v>234</v>
      </c>
      <c r="N44" s="4" t="s">
        <v>583</v>
      </c>
      <c r="O44" s="108" t="s">
        <v>235</v>
      </c>
      <c r="P44" s="106" t="s">
        <v>66</v>
      </c>
      <c r="Q44" s="4" t="s">
        <v>106</v>
      </c>
      <c r="R44" s="5" t="s">
        <v>62</v>
      </c>
      <c r="S44" s="108"/>
      <c r="T44" s="108"/>
      <c r="U44" s="104" t="s">
        <v>68</v>
      </c>
      <c r="V44" s="44"/>
      <c r="W44" s="44"/>
      <c r="X44" s="44">
        <v>1</v>
      </c>
      <c r="Y44" s="53"/>
      <c r="Z44" s="53"/>
      <c r="AA44" s="53">
        <v>1</v>
      </c>
      <c r="AB44" s="71"/>
      <c r="AC44" s="71"/>
      <c r="AD44" s="71">
        <v>1</v>
      </c>
      <c r="AE44" s="62"/>
      <c r="AF44" s="62"/>
      <c r="AG44" s="62">
        <v>1</v>
      </c>
      <c r="AH44" s="105">
        <v>1</v>
      </c>
      <c r="AI44" s="105">
        <v>0</v>
      </c>
      <c r="AJ44" s="105">
        <f>10/18</f>
        <v>0.55555555555555558</v>
      </c>
      <c r="AK44" s="39">
        <f>10/12</f>
        <v>0.83333333333333337</v>
      </c>
      <c r="AL44" s="110"/>
      <c r="AM44" s="105">
        <f>(AJ44+AK44+AL44)/3</f>
        <v>0.46296296296296297</v>
      </c>
      <c r="AN44" s="110"/>
      <c r="AO44" s="39">
        <v>0.23148148148148148</v>
      </c>
    </row>
    <row r="45" spans="1:41" s="24" customFormat="1" ht="93" customHeight="1" x14ac:dyDescent="0.25">
      <c r="A45" s="126"/>
      <c r="B45" s="126"/>
      <c r="C45" s="126"/>
      <c r="D45" s="126"/>
      <c r="E45" s="126"/>
      <c r="F45" s="129"/>
      <c r="G45" s="108" t="s">
        <v>43</v>
      </c>
      <c r="H45" s="108" t="s">
        <v>617</v>
      </c>
      <c r="I45" s="106" t="s">
        <v>236</v>
      </c>
      <c r="J45" s="108" t="s">
        <v>237</v>
      </c>
      <c r="K45" s="26">
        <v>1</v>
      </c>
      <c r="L45" s="108" t="s">
        <v>528</v>
      </c>
      <c r="M45" s="108" t="s">
        <v>529</v>
      </c>
      <c r="N45" s="4" t="s">
        <v>576</v>
      </c>
      <c r="O45" s="108" t="s">
        <v>529</v>
      </c>
      <c r="P45" s="106" t="s">
        <v>60</v>
      </c>
      <c r="Q45" s="4" t="s">
        <v>67</v>
      </c>
      <c r="R45" s="5" t="s">
        <v>62</v>
      </c>
      <c r="S45" s="108"/>
      <c r="T45" s="108"/>
      <c r="U45" s="104" t="s">
        <v>75</v>
      </c>
      <c r="V45" s="46"/>
      <c r="W45" s="46"/>
      <c r="X45" s="45"/>
      <c r="Y45" s="55"/>
      <c r="Z45" s="55"/>
      <c r="AA45" s="55"/>
      <c r="AB45" s="73"/>
      <c r="AC45" s="73"/>
      <c r="AD45" s="73"/>
      <c r="AE45" s="64"/>
      <c r="AF45" s="64"/>
      <c r="AG45" s="63">
        <v>1</v>
      </c>
      <c r="AH45" s="91">
        <v>1</v>
      </c>
      <c r="AI45" s="104"/>
      <c r="AJ45" s="104"/>
      <c r="AK45" s="104"/>
      <c r="AL45" s="110"/>
      <c r="AM45" s="81">
        <f>AL45</f>
        <v>0</v>
      </c>
      <c r="AN45" s="110"/>
      <c r="AO45" s="39">
        <v>0</v>
      </c>
    </row>
    <row r="46" spans="1:41" s="24" customFormat="1" ht="78.75" customHeight="1" x14ac:dyDescent="0.25">
      <c r="A46" s="126"/>
      <c r="B46" s="126"/>
      <c r="C46" s="126"/>
      <c r="D46" s="126"/>
      <c r="E46" s="126"/>
      <c r="F46" s="129"/>
      <c r="G46" s="131" t="s">
        <v>44</v>
      </c>
      <c r="H46" s="131" t="s">
        <v>618</v>
      </c>
      <c r="I46" s="106" t="s">
        <v>238</v>
      </c>
      <c r="J46" s="108" t="s">
        <v>239</v>
      </c>
      <c r="K46" s="28">
        <v>0.5</v>
      </c>
      <c r="L46" s="108" t="s">
        <v>240</v>
      </c>
      <c r="M46" s="108" t="s">
        <v>241</v>
      </c>
      <c r="N46" s="14" t="s">
        <v>576</v>
      </c>
      <c r="O46" s="108" t="s">
        <v>241</v>
      </c>
      <c r="P46" s="106" t="s">
        <v>60</v>
      </c>
      <c r="Q46" s="106" t="s">
        <v>61</v>
      </c>
      <c r="R46" s="3" t="s">
        <v>62</v>
      </c>
      <c r="S46" s="103"/>
      <c r="T46" s="103"/>
      <c r="U46" s="104" t="s">
        <v>75</v>
      </c>
      <c r="V46" s="42"/>
      <c r="W46" s="42"/>
      <c r="X46" s="42"/>
      <c r="Y46" s="52">
        <v>1</v>
      </c>
      <c r="Z46" s="52"/>
      <c r="AA46" s="52"/>
      <c r="AB46" s="70"/>
      <c r="AC46" s="70"/>
      <c r="AD46" s="70"/>
      <c r="AE46" s="61"/>
      <c r="AF46" s="61"/>
      <c r="AG46" s="61"/>
      <c r="AH46" s="83">
        <v>1</v>
      </c>
      <c r="AI46" s="84"/>
      <c r="AJ46" s="84">
        <f>1/1</f>
        <v>1</v>
      </c>
      <c r="AK46" s="83"/>
      <c r="AL46" s="85"/>
      <c r="AM46" s="84">
        <f>AJ46</f>
        <v>1</v>
      </c>
      <c r="AN46" s="85"/>
      <c r="AO46" s="120">
        <v>0.5</v>
      </c>
    </row>
    <row r="47" spans="1:41" s="24" customFormat="1" ht="108" customHeight="1" x14ac:dyDescent="0.25">
      <c r="A47" s="126"/>
      <c r="B47" s="126"/>
      <c r="C47" s="126"/>
      <c r="D47" s="126"/>
      <c r="E47" s="126"/>
      <c r="F47" s="129"/>
      <c r="G47" s="132"/>
      <c r="H47" s="132"/>
      <c r="I47" s="106" t="s">
        <v>238</v>
      </c>
      <c r="J47" s="108" t="s">
        <v>242</v>
      </c>
      <c r="K47" s="28">
        <v>0.5</v>
      </c>
      <c r="L47" s="108" t="s">
        <v>243</v>
      </c>
      <c r="M47" s="108" t="s">
        <v>244</v>
      </c>
      <c r="N47" s="14" t="s">
        <v>576</v>
      </c>
      <c r="O47" s="108" t="s">
        <v>245</v>
      </c>
      <c r="P47" s="106" t="s">
        <v>60</v>
      </c>
      <c r="Q47" s="106" t="s">
        <v>61</v>
      </c>
      <c r="R47" s="5" t="s">
        <v>226</v>
      </c>
      <c r="S47" s="108"/>
      <c r="T47" s="108"/>
      <c r="U47" s="104" t="s">
        <v>68</v>
      </c>
      <c r="V47" s="42"/>
      <c r="W47" s="42"/>
      <c r="X47" s="42">
        <v>1</v>
      </c>
      <c r="Y47" s="52"/>
      <c r="Z47" s="52"/>
      <c r="AA47" s="52">
        <v>1</v>
      </c>
      <c r="AB47" s="70"/>
      <c r="AC47" s="70"/>
      <c r="AD47" s="70">
        <v>1</v>
      </c>
      <c r="AE47" s="61"/>
      <c r="AF47" s="61"/>
      <c r="AG47" s="61">
        <v>1</v>
      </c>
      <c r="AH47" s="104">
        <v>4</v>
      </c>
      <c r="AI47" s="105">
        <f>1/1</f>
        <v>1</v>
      </c>
      <c r="AJ47" s="81">
        <f>1/1</f>
        <v>1</v>
      </c>
      <c r="AK47" s="81">
        <f>1/1</f>
        <v>1</v>
      </c>
      <c r="AL47" s="110"/>
      <c r="AM47" s="81">
        <f>(AI47+AJ47+AK47+AL47)/4</f>
        <v>0.75</v>
      </c>
      <c r="AN47" s="110"/>
      <c r="AO47" s="39">
        <v>0.375</v>
      </c>
    </row>
    <row r="48" spans="1:41" s="24" customFormat="1" ht="125.25" customHeight="1" x14ac:dyDescent="0.25">
      <c r="A48" s="126"/>
      <c r="B48" s="126"/>
      <c r="C48" s="126"/>
      <c r="D48" s="126"/>
      <c r="E48" s="126"/>
      <c r="F48" s="129"/>
      <c r="G48" s="126" t="s">
        <v>45</v>
      </c>
      <c r="H48" s="126" t="s">
        <v>619</v>
      </c>
      <c r="I48" s="106" t="s">
        <v>246</v>
      </c>
      <c r="J48" s="108" t="s">
        <v>530</v>
      </c>
      <c r="K48" s="26">
        <v>0.2</v>
      </c>
      <c r="L48" s="108" t="s">
        <v>247</v>
      </c>
      <c r="M48" s="108" t="s">
        <v>531</v>
      </c>
      <c r="N48" s="4" t="s">
        <v>583</v>
      </c>
      <c r="O48" s="108" t="s">
        <v>620</v>
      </c>
      <c r="P48" s="106" t="s">
        <v>113</v>
      </c>
      <c r="Q48" s="4" t="s">
        <v>67</v>
      </c>
      <c r="R48" s="5" t="s">
        <v>248</v>
      </c>
      <c r="S48" s="108"/>
      <c r="T48" s="108"/>
      <c r="U48" s="104" t="s">
        <v>68</v>
      </c>
      <c r="V48" s="42"/>
      <c r="W48" s="42"/>
      <c r="X48" s="44">
        <v>1</v>
      </c>
      <c r="Y48" s="53"/>
      <c r="Z48" s="53"/>
      <c r="AA48" s="53">
        <v>1</v>
      </c>
      <c r="AB48" s="71"/>
      <c r="AC48" s="71"/>
      <c r="AD48" s="71">
        <v>1</v>
      </c>
      <c r="AE48" s="62"/>
      <c r="AF48" s="62"/>
      <c r="AG48" s="62">
        <v>1</v>
      </c>
      <c r="AH48" s="25">
        <v>1</v>
      </c>
      <c r="AI48" s="104"/>
      <c r="AJ48" s="104"/>
      <c r="AK48" s="104"/>
      <c r="AL48" s="110"/>
      <c r="AM48" s="81">
        <f>(AI48+AJ48+AK48+AL48)/4</f>
        <v>0</v>
      </c>
      <c r="AN48" s="110"/>
      <c r="AO48" s="39">
        <v>0</v>
      </c>
    </row>
    <row r="49" spans="1:41" s="24" customFormat="1" ht="102" customHeight="1" x14ac:dyDescent="0.25">
      <c r="A49" s="126"/>
      <c r="B49" s="126"/>
      <c r="C49" s="126"/>
      <c r="D49" s="126"/>
      <c r="E49" s="126"/>
      <c r="F49" s="129"/>
      <c r="G49" s="126"/>
      <c r="H49" s="126"/>
      <c r="I49" s="106" t="s">
        <v>249</v>
      </c>
      <c r="J49" s="108" t="s">
        <v>250</v>
      </c>
      <c r="K49" s="26">
        <v>0.2</v>
      </c>
      <c r="L49" s="108" t="s">
        <v>251</v>
      </c>
      <c r="M49" s="108" t="s">
        <v>252</v>
      </c>
      <c r="N49" s="4" t="s">
        <v>583</v>
      </c>
      <c r="O49" s="108" t="s">
        <v>253</v>
      </c>
      <c r="P49" s="106" t="s">
        <v>113</v>
      </c>
      <c r="Q49" s="106" t="s">
        <v>81</v>
      </c>
      <c r="R49" s="15" t="s">
        <v>62</v>
      </c>
      <c r="S49" s="96"/>
      <c r="T49" s="96"/>
      <c r="U49" s="104" t="s">
        <v>82</v>
      </c>
      <c r="V49" s="44">
        <v>1</v>
      </c>
      <c r="W49" s="44">
        <v>1</v>
      </c>
      <c r="X49" s="44">
        <v>1</v>
      </c>
      <c r="Y49" s="53">
        <v>1</v>
      </c>
      <c r="Z49" s="53">
        <v>1</v>
      </c>
      <c r="AA49" s="53">
        <v>1</v>
      </c>
      <c r="AB49" s="71">
        <v>1</v>
      </c>
      <c r="AC49" s="71">
        <v>1</v>
      </c>
      <c r="AD49" s="71">
        <v>1</v>
      </c>
      <c r="AE49" s="62">
        <v>1</v>
      </c>
      <c r="AF49" s="62">
        <v>1</v>
      </c>
      <c r="AG49" s="62">
        <v>1</v>
      </c>
      <c r="AH49" s="81">
        <v>1</v>
      </c>
      <c r="AI49" s="40">
        <f>493/1101</f>
        <v>0.44777475022706631</v>
      </c>
      <c r="AJ49" s="39">
        <f>566/1233</f>
        <v>0.45904298459042986</v>
      </c>
      <c r="AK49" s="39">
        <f>617/1315</f>
        <v>0.46920152091254752</v>
      </c>
      <c r="AL49" s="110"/>
      <c r="AM49" s="39">
        <f>(AI49+AJ49+AK49+AL49)/4</f>
        <v>0.34400481393251092</v>
      </c>
      <c r="AN49" s="110"/>
      <c r="AO49" s="39">
        <v>6.880096278650219E-2</v>
      </c>
    </row>
    <row r="50" spans="1:41" s="24" customFormat="1" ht="102" customHeight="1" x14ac:dyDescent="0.25">
      <c r="A50" s="126"/>
      <c r="B50" s="126"/>
      <c r="C50" s="126"/>
      <c r="D50" s="126"/>
      <c r="E50" s="126"/>
      <c r="F50" s="129"/>
      <c r="G50" s="126"/>
      <c r="H50" s="126"/>
      <c r="I50" s="106" t="s">
        <v>249</v>
      </c>
      <c r="J50" s="108" t="s">
        <v>621</v>
      </c>
      <c r="K50" s="26">
        <v>0.2</v>
      </c>
      <c r="L50" s="108" t="s">
        <v>254</v>
      </c>
      <c r="M50" s="108" t="s">
        <v>255</v>
      </c>
      <c r="N50" s="4" t="s">
        <v>583</v>
      </c>
      <c r="O50" s="108" t="s">
        <v>256</v>
      </c>
      <c r="P50" s="106" t="s">
        <v>66</v>
      </c>
      <c r="Q50" s="106" t="s">
        <v>81</v>
      </c>
      <c r="R50" s="15" t="s">
        <v>62</v>
      </c>
      <c r="S50" s="96"/>
      <c r="T50" s="96"/>
      <c r="U50" s="104" t="s">
        <v>82</v>
      </c>
      <c r="V50" s="44">
        <v>1</v>
      </c>
      <c r="W50" s="44">
        <v>1</v>
      </c>
      <c r="X50" s="44">
        <v>1</v>
      </c>
      <c r="Y50" s="53">
        <v>1</v>
      </c>
      <c r="Z50" s="53">
        <v>1</v>
      </c>
      <c r="AA50" s="53">
        <v>1</v>
      </c>
      <c r="AB50" s="71">
        <v>1</v>
      </c>
      <c r="AC50" s="71">
        <v>1</v>
      </c>
      <c r="AD50" s="71">
        <v>1</v>
      </c>
      <c r="AE50" s="62">
        <v>1</v>
      </c>
      <c r="AF50" s="62">
        <v>1</v>
      </c>
      <c r="AG50" s="62">
        <v>1</v>
      </c>
      <c r="AH50" s="81">
        <v>1</v>
      </c>
      <c r="AI50" s="40">
        <f>48/92</f>
        <v>0.52173913043478259</v>
      </c>
      <c r="AJ50" s="39">
        <f>37/88</f>
        <v>0.42045454545454547</v>
      </c>
      <c r="AK50" s="39">
        <f>66/85</f>
        <v>0.77647058823529413</v>
      </c>
      <c r="AL50" s="110"/>
      <c r="AM50" s="39">
        <f>(AI50+AJ50+AK50+AL50)/4</f>
        <v>0.42966606603115554</v>
      </c>
      <c r="AN50" s="110"/>
      <c r="AO50" s="39">
        <v>8.5933213206231124E-2</v>
      </c>
    </row>
    <row r="51" spans="1:41" s="24" customFormat="1" ht="114.75" customHeight="1" x14ac:dyDescent="0.25">
      <c r="A51" s="126"/>
      <c r="B51" s="126"/>
      <c r="C51" s="126"/>
      <c r="D51" s="126"/>
      <c r="E51" s="126"/>
      <c r="F51" s="129"/>
      <c r="G51" s="126"/>
      <c r="H51" s="126"/>
      <c r="I51" s="106" t="s">
        <v>257</v>
      </c>
      <c r="J51" s="101" t="s">
        <v>258</v>
      </c>
      <c r="K51" s="26">
        <v>0.2</v>
      </c>
      <c r="L51" s="101" t="s">
        <v>259</v>
      </c>
      <c r="M51" s="101" t="s">
        <v>260</v>
      </c>
      <c r="N51" s="4" t="s">
        <v>583</v>
      </c>
      <c r="O51" s="101" t="s">
        <v>261</v>
      </c>
      <c r="P51" s="14" t="s">
        <v>113</v>
      </c>
      <c r="Q51" s="4" t="s">
        <v>225</v>
      </c>
      <c r="R51" s="15" t="s">
        <v>226</v>
      </c>
      <c r="S51" s="96"/>
      <c r="T51" s="96"/>
      <c r="U51" s="104" t="s">
        <v>82</v>
      </c>
      <c r="V51" s="45">
        <v>1</v>
      </c>
      <c r="W51" s="45">
        <v>1</v>
      </c>
      <c r="X51" s="45">
        <v>1</v>
      </c>
      <c r="Y51" s="55">
        <v>1</v>
      </c>
      <c r="Z51" s="55">
        <v>1</v>
      </c>
      <c r="AA51" s="55">
        <v>1</v>
      </c>
      <c r="AB51" s="73">
        <v>1</v>
      </c>
      <c r="AC51" s="73">
        <v>1</v>
      </c>
      <c r="AD51" s="73">
        <v>1</v>
      </c>
      <c r="AE51" s="64">
        <v>1</v>
      </c>
      <c r="AF51" s="64">
        <v>1</v>
      </c>
      <c r="AG51" s="64">
        <v>1</v>
      </c>
      <c r="AH51" s="105">
        <v>1</v>
      </c>
      <c r="AI51" s="40">
        <f>4501/5827</f>
        <v>0.77243864767461812</v>
      </c>
      <c r="AJ51" s="39">
        <f>2914/4111</f>
        <v>0.70882996837752377</v>
      </c>
      <c r="AK51" s="39">
        <f>4448/5044</f>
        <v>0.8818398096748612</v>
      </c>
      <c r="AL51" s="110"/>
      <c r="AM51" s="39">
        <f>(AI51+AJ51+AK51+AL51)/4</f>
        <v>0.59077710643175074</v>
      </c>
      <c r="AN51" s="110"/>
      <c r="AO51" s="39">
        <v>0.11815542128635018</v>
      </c>
    </row>
    <row r="52" spans="1:41" s="24" customFormat="1" ht="95.25" customHeight="1" x14ac:dyDescent="0.25">
      <c r="A52" s="126"/>
      <c r="B52" s="126"/>
      <c r="C52" s="126"/>
      <c r="D52" s="126"/>
      <c r="E52" s="126"/>
      <c r="F52" s="129"/>
      <c r="G52" s="126"/>
      <c r="H52" s="126"/>
      <c r="I52" s="106" t="s">
        <v>257</v>
      </c>
      <c r="J52" s="101" t="s">
        <v>262</v>
      </c>
      <c r="K52" s="26">
        <v>0.2</v>
      </c>
      <c r="L52" s="101" t="s">
        <v>263</v>
      </c>
      <c r="M52" s="101" t="s">
        <v>264</v>
      </c>
      <c r="N52" s="4" t="s">
        <v>583</v>
      </c>
      <c r="O52" s="101" t="s">
        <v>265</v>
      </c>
      <c r="P52" s="14" t="s">
        <v>66</v>
      </c>
      <c r="Q52" s="4" t="s">
        <v>225</v>
      </c>
      <c r="R52" s="15" t="s">
        <v>226</v>
      </c>
      <c r="S52" s="96"/>
      <c r="T52" s="96"/>
      <c r="U52" s="104" t="s">
        <v>266</v>
      </c>
      <c r="V52" s="42"/>
      <c r="W52" s="42"/>
      <c r="X52" s="42"/>
      <c r="Y52" s="55">
        <v>1</v>
      </c>
      <c r="Z52" s="52"/>
      <c r="AA52" s="52"/>
      <c r="AB52" s="70"/>
      <c r="AC52" s="73">
        <v>1</v>
      </c>
      <c r="AD52" s="70"/>
      <c r="AE52" s="61"/>
      <c r="AF52" s="61"/>
      <c r="AG52" s="64">
        <v>1</v>
      </c>
      <c r="AH52" s="105">
        <v>1</v>
      </c>
      <c r="AI52" s="104"/>
      <c r="AJ52" s="81">
        <f>9/9</f>
        <v>1</v>
      </c>
      <c r="AK52" s="81">
        <f>9/9</f>
        <v>1</v>
      </c>
      <c r="AL52" s="110"/>
      <c r="AM52" s="39">
        <f>(AJ52+AK52+AL52)/3</f>
        <v>0.66666666666666663</v>
      </c>
      <c r="AN52" s="110"/>
      <c r="AO52" s="39">
        <v>0.13333333333333333</v>
      </c>
    </row>
    <row r="53" spans="1:41" s="24" customFormat="1" ht="106.5" customHeight="1" x14ac:dyDescent="0.25">
      <c r="A53" s="126"/>
      <c r="B53" s="126"/>
      <c r="C53" s="126"/>
      <c r="D53" s="126"/>
      <c r="E53" s="126"/>
      <c r="F53" s="129"/>
      <c r="G53" s="108" t="s">
        <v>46</v>
      </c>
      <c r="H53" s="108" t="s">
        <v>622</v>
      </c>
      <c r="I53" s="106" t="s">
        <v>267</v>
      </c>
      <c r="J53" s="108" t="s">
        <v>268</v>
      </c>
      <c r="K53" s="26">
        <v>1</v>
      </c>
      <c r="L53" s="108" t="s">
        <v>269</v>
      </c>
      <c r="M53" s="108" t="s">
        <v>270</v>
      </c>
      <c r="N53" s="4" t="s">
        <v>583</v>
      </c>
      <c r="O53" s="108" t="s">
        <v>271</v>
      </c>
      <c r="P53" s="106" t="s">
        <v>113</v>
      </c>
      <c r="Q53" s="106" t="s">
        <v>272</v>
      </c>
      <c r="R53" s="5" t="s">
        <v>62</v>
      </c>
      <c r="S53" s="108"/>
      <c r="T53" s="108"/>
      <c r="U53" s="104" t="s">
        <v>82</v>
      </c>
      <c r="V53" s="45">
        <v>1</v>
      </c>
      <c r="W53" s="45">
        <v>1</v>
      </c>
      <c r="X53" s="45">
        <v>1</v>
      </c>
      <c r="Y53" s="55">
        <v>1</v>
      </c>
      <c r="Z53" s="55">
        <v>1</v>
      </c>
      <c r="AA53" s="55">
        <v>1</v>
      </c>
      <c r="AB53" s="73">
        <v>1</v>
      </c>
      <c r="AC53" s="73">
        <v>1</v>
      </c>
      <c r="AD53" s="73">
        <v>1</v>
      </c>
      <c r="AE53" s="64">
        <v>1</v>
      </c>
      <c r="AF53" s="64">
        <v>1</v>
      </c>
      <c r="AG53" s="64">
        <v>1</v>
      </c>
      <c r="AH53" s="105">
        <v>1</v>
      </c>
      <c r="AI53" s="25">
        <f>170/170</f>
        <v>1</v>
      </c>
      <c r="AJ53" s="81">
        <f>70/70</f>
        <v>1</v>
      </c>
      <c r="AK53" s="81">
        <f>156/156</f>
        <v>1</v>
      </c>
      <c r="AL53" s="110"/>
      <c r="AM53" s="81">
        <f>(AI53+AJ53+AK53+AL53)/4</f>
        <v>0.75</v>
      </c>
      <c r="AN53" s="110"/>
      <c r="AO53" s="41">
        <v>0.75</v>
      </c>
    </row>
    <row r="54" spans="1:41" s="24" customFormat="1" ht="172.5" customHeight="1" x14ac:dyDescent="0.25">
      <c r="A54" s="126"/>
      <c r="B54" s="126"/>
      <c r="C54" s="126"/>
      <c r="D54" s="126"/>
      <c r="E54" s="126"/>
      <c r="F54" s="129"/>
      <c r="G54" s="126" t="s">
        <v>47</v>
      </c>
      <c r="H54" s="126" t="s">
        <v>623</v>
      </c>
      <c r="I54" s="106" t="s">
        <v>273</v>
      </c>
      <c r="J54" s="108" t="s">
        <v>274</v>
      </c>
      <c r="K54" s="26">
        <v>0.25</v>
      </c>
      <c r="L54" s="108" t="s">
        <v>275</v>
      </c>
      <c r="M54" s="108" t="s">
        <v>276</v>
      </c>
      <c r="N54" s="106" t="s">
        <v>583</v>
      </c>
      <c r="O54" s="108" t="s">
        <v>277</v>
      </c>
      <c r="P54" s="106" t="s">
        <v>66</v>
      </c>
      <c r="Q54" s="106" t="s">
        <v>278</v>
      </c>
      <c r="R54" s="5" t="s">
        <v>279</v>
      </c>
      <c r="S54" s="99" t="s">
        <v>280</v>
      </c>
      <c r="T54" s="136">
        <v>3523001012</v>
      </c>
      <c r="U54" s="104" t="s">
        <v>63</v>
      </c>
      <c r="V54" s="45"/>
      <c r="W54" s="45"/>
      <c r="X54" s="45"/>
      <c r="Y54" s="55"/>
      <c r="Z54" s="55"/>
      <c r="AA54" s="55">
        <v>0.5</v>
      </c>
      <c r="AB54" s="73"/>
      <c r="AC54" s="73"/>
      <c r="AD54" s="73"/>
      <c r="AE54" s="64"/>
      <c r="AF54" s="64"/>
      <c r="AG54" s="64">
        <v>0.5</v>
      </c>
      <c r="AH54" s="105">
        <v>1</v>
      </c>
      <c r="AI54" s="104"/>
      <c r="AJ54" s="81">
        <f>2/2</f>
        <v>1</v>
      </c>
      <c r="AK54" s="104"/>
      <c r="AL54" s="110"/>
      <c r="AM54" s="81">
        <f>(AJ54+AL54)/2</f>
        <v>0.5</v>
      </c>
      <c r="AN54" s="110"/>
      <c r="AO54" s="118">
        <v>0.125</v>
      </c>
    </row>
    <row r="55" spans="1:41" s="24" customFormat="1" ht="150.75" customHeight="1" x14ac:dyDescent="0.25">
      <c r="A55" s="126"/>
      <c r="B55" s="126"/>
      <c r="C55" s="126"/>
      <c r="D55" s="126"/>
      <c r="E55" s="126"/>
      <c r="F55" s="129"/>
      <c r="G55" s="126"/>
      <c r="H55" s="126"/>
      <c r="I55" s="106" t="s">
        <v>273</v>
      </c>
      <c r="J55" s="108" t="s">
        <v>281</v>
      </c>
      <c r="K55" s="26">
        <v>0.25</v>
      </c>
      <c r="L55" s="108" t="s">
        <v>282</v>
      </c>
      <c r="M55" s="108" t="s">
        <v>283</v>
      </c>
      <c r="N55" s="14" t="s">
        <v>576</v>
      </c>
      <c r="O55" s="108" t="s">
        <v>284</v>
      </c>
      <c r="P55" s="106" t="s">
        <v>60</v>
      </c>
      <c r="Q55" s="106" t="s">
        <v>278</v>
      </c>
      <c r="R55" s="5" t="s">
        <v>285</v>
      </c>
      <c r="S55" s="99" t="s">
        <v>280</v>
      </c>
      <c r="T55" s="136"/>
      <c r="U55" s="104" t="s">
        <v>63</v>
      </c>
      <c r="V55" s="45"/>
      <c r="W55" s="45"/>
      <c r="X55" s="45"/>
      <c r="Y55" s="55"/>
      <c r="Z55" s="55"/>
      <c r="AA55" s="52">
        <v>1</v>
      </c>
      <c r="AB55" s="73"/>
      <c r="AC55" s="73"/>
      <c r="AD55" s="73"/>
      <c r="AE55" s="64"/>
      <c r="AF55" s="64"/>
      <c r="AG55" s="61">
        <v>2</v>
      </c>
      <c r="AH55" s="7">
        <v>3</v>
      </c>
      <c r="AI55" s="104"/>
      <c r="AJ55" s="81">
        <f>1/1</f>
        <v>1</v>
      </c>
      <c r="AK55" s="104"/>
      <c r="AL55" s="110"/>
      <c r="AM55" s="81">
        <f>(AJ55+AL55)/2</f>
        <v>0.5</v>
      </c>
      <c r="AN55" s="110"/>
      <c r="AO55" s="118">
        <v>0.125</v>
      </c>
    </row>
    <row r="56" spans="1:41" s="24" customFormat="1" ht="86.25" customHeight="1" x14ac:dyDescent="0.25">
      <c r="A56" s="126"/>
      <c r="B56" s="126"/>
      <c r="C56" s="126"/>
      <c r="D56" s="126"/>
      <c r="E56" s="126"/>
      <c r="F56" s="129"/>
      <c r="G56" s="126"/>
      <c r="H56" s="126"/>
      <c r="I56" s="106" t="s">
        <v>273</v>
      </c>
      <c r="J56" s="108" t="s">
        <v>286</v>
      </c>
      <c r="K56" s="26">
        <v>0.25</v>
      </c>
      <c r="L56" s="108" t="s">
        <v>287</v>
      </c>
      <c r="M56" s="108" t="s">
        <v>288</v>
      </c>
      <c r="N56" s="14" t="s">
        <v>576</v>
      </c>
      <c r="O56" s="108" t="s">
        <v>289</v>
      </c>
      <c r="P56" s="106" t="s">
        <v>60</v>
      </c>
      <c r="Q56" s="106" t="s">
        <v>278</v>
      </c>
      <c r="R56" s="5" t="s">
        <v>279</v>
      </c>
      <c r="S56" s="99" t="s">
        <v>280</v>
      </c>
      <c r="T56" s="136"/>
      <c r="U56" s="106" t="s">
        <v>63</v>
      </c>
      <c r="V56" s="42"/>
      <c r="W56" s="42"/>
      <c r="X56" s="42"/>
      <c r="Y56" s="52"/>
      <c r="Z56" s="52"/>
      <c r="AA56" s="52">
        <v>1</v>
      </c>
      <c r="AB56" s="70"/>
      <c r="AC56" s="70"/>
      <c r="AD56" s="70"/>
      <c r="AE56" s="61"/>
      <c r="AF56" s="61"/>
      <c r="AG56" s="61">
        <v>1</v>
      </c>
      <c r="AH56" s="104">
        <v>2</v>
      </c>
      <c r="AI56" s="104"/>
      <c r="AJ56" s="81">
        <f>0/1</f>
        <v>0</v>
      </c>
      <c r="AK56" s="104"/>
      <c r="AL56" s="110"/>
      <c r="AM56" s="81">
        <f>(AJ56+AL56)/2</f>
        <v>0</v>
      </c>
      <c r="AN56" s="110"/>
      <c r="AO56" s="39">
        <v>0</v>
      </c>
    </row>
    <row r="57" spans="1:41" s="24" customFormat="1" ht="91.5" customHeight="1" x14ac:dyDescent="0.25">
      <c r="A57" s="126"/>
      <c r="B57" s="126"/>
      <c r="C57" s="126"/>
      <c r="D57" s="126"/>
      <c r="E57" s="126"/>
      <c r="F57" s="129"/>
      <c r="G57" s="126"/>
      <c r="H57" s="126"/>
      <c r="I57" s="106" t="s">
        <v>273</v>
      </c>
      <c r="J57" s="108" t="s">
        <v>290</v>
      </c>
      <c r="K57" s="105">
        <v>0.25</v>
      </c>
      <c r="L57" s="108" t="s">
        <v>291</v>
      </c>
      <c r="M57" s="108" t="s">
        <v>292</v>
      </c>
      <c r="N57" s="14" t="s">
        <v>576</v>
      </c>
      <c r="O57" s="108" t="s">
        <v>293</v>
      </c>
      <c r="P57" s="104" t="s">
        <v>60</v>
      </c>
      <c r="Q57" s="106" t="s">
        <v>278</v>
      </c>
      <c r="R57" s="5" t="s">
        <v>279</v>
      </c>
      <c r="S57" s="99" t="s">
        <v>280</v>
      </c>
      <c r="T57" s="136"/>
      <c r="U57" s="106" t="s">
        <v>63</v>
      </c>
      <c r="V57" s="42"/>
      <c r="W57" s="42"/>
      <c r="X57" s="42"/>
      <c r="Y57" s="52"/>
      <c r="Z57" s="52"/>
      <c r="AA57" s="52">
        <v>1</v>
      </c>
      <c r="AB57" s="70"/>
      <c r="AC57" s="70"/>
      <c r="AD57" s="70"/>
      <c r="AE57" s="61"/>
      <c r="AF57" s="61"/>
      <c r="AG57" s="61">
        <v>1</v>
      </c>
      <c r="AH57" s="104">
        <v>2</v>
      </c>
      <c r="AI57" s="104"/>
      <c r="AJ57" s="81">
        <f>1/1</f>
        <v>1</v>
      </c>
      <c r="AK57" s="104"/>
      <c r="AL57" s="110"/>
      <c r="AM57" s="81">
        <f>(AJ57+AL57)/2</f>
        <v>0.5</v>
      </c>
      <c r="AN57" s="110"/>
      <c r="AO57" s="118">
        <v>0.125</v>
      </c>
    </row>
    <row r="58" spans="1:41" s="24" customFormat="1" ht="58.5" customHeight="1" x14ac:dyDescent="0.25">
      <c r="A58" s="126"/>
      <c r="B58" s="126"/>
      <c r="C58" s="126"/>
      <c r="D58" s="126"/>
      <c r="E58" s="126"/>
      <c r="F58" s="129"/>
      <c r="G58" s="129" t="s">
        <v>48</v>
      </c>
      <c r="H58" s="129" t="s">
        <v>624</v>
      </c>
      <c r="I58" s="4" t="s">
        <v>294</v>
      </c>
      <c r="J58" s="96" t="s">
        <v>295</v>
      </c>
      <c r="K58" s="28" t="s">
        <v>598</v>
      </c>
      <c r="L58" s="96" t="s">
        <v>296</v>
      </c>
      <c r="M58" s="96" t="s">
        <v>297</v>
      </c>
      <c r="N58" s="14" t="s">
        <v>576</v>
      </c>
      <c r="O58" s="96" t="s">
        <v>298</v>
      </c>
      <c r="P58" s="4" t="s">
        <v>60</v>
      </c>
      <c r="Q58" s="4" t="s">
        <v>299</v>
      </c>
      <c r="R58" s="15" t="s">
        <v>300</v>
      </c>
      <c r="S58" s="96"/>
      <c r="T58" s="96"/>
      <c r="U58" s="104" t="s">
        <v>75</v>
      </c>
      <c r="V58" s="42"/>
      <c r="W58" s="42"/>
      <c r="X58" s="42"/>
      <c r="Y58" s="52"/>
      <c r="Z58" s="52"/>
      <c r="AA58" s="52"/>
      <c r="AB58" s="70"/>
      <c r="AC58" s="70"/>
      <c r="AD58" s="70"/>
      <c r="AE58" s="61"/>
      <c r="AF58" s="61"/>
      <c r="AG58" s="61">
        <v>1</v>
      </c>
      <c r="AH58" s="104">
        <v>1</v>
      </c>
      <c r="AI58" s="104"/>
      <c r="AJ58" s="104"/>
      <c r="AK58" s="104"/>
      <c r="AL58" s="110"/>
      <c r="AM58" s="81">
        <f>AL58</f>
        <v>0</v>
      </c>
      <c r="AN58" s="110"/>
      <c r="AO58" s="39"/>
    </row>
    <row r="59" spans="1:41" s="24" customFormat="1" ht="79.5" customHeight="1" x14ac:dyDescent="0.25">
      <c r="A59" s="126"/>
      <c r="B59" s="126"/>
      <c r="C59" s="126"/>
      <c r="D59" s="126"/>
      <c r="E59" s="126"/>
      <c r="F59" s="129"/>
      <c r="G59" s="129"/>
      <c r="H59" s="129"/>
      <c r="I59" s="4" t="s">
        <v>294</v>
      </c>
      <c r="J59" s="96" t="s">
        <v>301</v>
      </c>
      <c r="K59" s="28" t="s">
        <v>598</v>
      </c>
      <c r="L59" s="96" t="s">
        <v>302</v>
      </c>
      <c r="M59" s="96" t="s">
        <v>303</v>
      </c>
      <c r="N59" s="4" t="s">
        <v>583</v>
      </c>
      <c r="O59" s="96" t="s">
        <v>304</v>
      </c>
      <c r="P59" s="4" t="s">
        <v>66</v>
      </c>
      <c r="Q59" s="4" t="s">
        <v>299</v>
      </c>
      <c r="R59" s="15" t="s">
        <v>300</v>
      </c>
      <c r="S59" s="96"/>
      <c r="T59" s="96"/>
      <c r="U59" s="104" t="s">
        <v>75</v>
      </c>
      <c r="V59" s="42"/>
      <c r="W59" s="42"/>
      <c r="X59" s="44">
        <v>1</v>
      </c>
      <c r="Y59" s="52"/>
      <c r="Z59" s="52"/>
      <c r="AA59" s="52"/>
      <c r="AB59" s="70"/>
      <c r="AC59" s="70"/>
      <c r="AD59" s="70"/>
      <c r="AE59" s="61"/>
      <c r="AF59" s="61"/>
      <c r="AG59" s="61"/>
      <c r="AH59" s="25">
        <v>1</v>
      </c>
      <c r="AI59" s="39">
        <f>256/258</f>
        <v>0.99224806201550386</v>
      </c>
      <c r="AJ59" s="104"/>
      <c r="AK59" s="104"/>
      <c r="AL59" s="110"/>
      <c r="AM59" s="39">
        <f>AI59</f>
        <v>0.99224806201550386</v>
      </c>
      <c r="AN59" s="110"/>
      <c r="AO59" s="39">
        <v>0.33071627906976742</v>
      </c>
    </row>
    <row r="60" spans="1:41" s="24" customFormat="1" ht="102.75" customHeight="1" x14ac:dyDescent="0.25">
      <c r="A60" s="126"/>
      <c r="B60" s="126"/>
      <c r="C60" s="126"/>
      <c r="D60" s="126"/>
      <c r="E60" s="126"/>
      <c r="F60" s="129"/>
      <c r="G60" s="129"/>
      <c r="H60" s="129"/>
      <c r="I60" s="4" t="s">
        <v>305</v>
      </c>
      <c r="J60" s="96" t="s">
        <v>306</v>
      </c>
      <c r="K60" s="28" t="s">
        <v>598</v>
      </c>
      <c r="L60" s="96" t="s">
        <v>307</v>
      </c>
      <c r="M60" s="96" t="s">
        <v>308</v>
      </c>
      <c r="N60" s="4" t="s">
        <v>583</v>
      </c>
      <c r="O60" s="96" t="s">
        <v>309</v>
      </c>
      <c r="P60" s="4" t="s">
        <v>66</v>
      </c>
      <c r="Q60" s="4" t="s">
        <v>310</v>
      </c>
      <c r="R60" s="15" t="s">
        <v>311</v>
      </c>
      <c r="S60" s="96"/>
      <c r="T60" s="96"/>
      <c r="U60" s="104" t="s">
        <v>68</v>
      </c>
      <c r="V60" s="42"/>
      <c r="W60" s="42"/>
      <c r="X60" s="45">
        <v>1</v>
      </c>
      <c r="Y60" s="52"/>
      <c r="Z60" s="52"/>
      <c r="AA60" s="55">
        <v>1</v>
      </c>
      <c r="AB60" s="70"/>
      <c r="AC60" s="70"/>
      <c r="AD60" s="73">
        <v>1</v>
      </c>
      <c r="AE60" s="61"/>
      <c r="AF60" s="61"/>
      <c r="AG60" s="64">
        <v>1</v>
      </c>
      <c r="AH60" s="105">
        <v>1</v>
      </c>
      <c r="AI60" s="81">
        <f>5/5</f>
        <v>1</v>
      </c>
      <c r="AJ60" s="81">
        <f>5/5</f>
        <v>1</v>
      </c>
      <c r="AK60" s="81">
        <f>5/5</f>
        <v>1</v>
      </c>
      <c r="AL60" s="110"/>
      <c r="AM60" s="81">
        <f>(AI60+AJ60+AK60+AL60)/4</f>
        <v>0.75</v>
      </c>
      <c r="AN60" s="110"/>
      <c r="AO60" s="41">
        <v>0.249975</v>
      </c>
    </row>
    <row r="61" spans="1:41" s="24" customFormat="1" ht="128.25" customHeight="1" x14ac:dyDescent="0.25">
      <c r="A61" s="126"/>
      <c r="B61" s="126"/>
      <c r="C61" s="126"/>
      <c r="D61" s="126"/>
      <c r="E61" s="126"/>
      <c r="F61" s="129"/>
      <c r="G61" s="126" t="s">
        <v>49</v>
      </c>
      <c r="H61" s="126" t="s">
        <v>625</v>
      </c>
      <c r="I61" s="106" t="s">
        <v>312</v>
      </c>
      <c r="J61" s="96" t="s">
        <v>313</v>
      </c>
      <c r="K61" s="28">
        <v>0.5</v>
      </c>
      <c r="L61" s="96" t="s">
        <v>314</v>
      </c>
      <c r="M61" s="96" t="s">
        <v>315</v>
      </c>
      <c r="N61" s="14" t="s">
        <v>576</v>
      </c>
      <c r="O61" s="96" t="s">
        <v>316</v>
      </c>
      <c r="P61" s="4" t="s">
        <v>60</v>
      </c>
      <c r="Q61" s="4" t="s">
        <v>310</v>
      </c>
      <c r="R61" s="15" t="s">
        <v>311</v>
      </c>
      <c r="S61" s="96"/>
      <c r="T61" s="96"/>
      <c r="U61" s="104" t="s">
        <v>63</v>
      </c>
      <c r="V61" s="42"/>
      <c r="W61" s="42"/>
      <c r="X61" s="42"/>
      <c r="Y61" s="52"/>
      <c r="Z61" s="52"/>
      <c r="AA61" s="52">
        <v>1</v>
      </c>
      <c r="AB61" s="70"/>
      <c r="AC61" s="70"/>
      <c r="AD61" s="70"/>
      <c r="AE61" s="61"/>
      <c r="AF61" s="61"/>
      <c r="AG61" s="61">
        <v>1</v>
      </c>
      <c r="AH61" s="104">
        <v>2</v>
      </c>
      <c r="AI61" s="104"/>
      <c r="AJ61" s="105">
        <v>1</v>
      </c>
      <c r="AK61" s="104"/>
      <c r="AL61" s="110"/>
      <c r="AM61" s="81">
        <f>(AJ61+AL61)/2</f>
        <v>0.5</v>
      </c>
      <c r="AN61" s="110"/>
      <c r="AO61" s="41">
        <v>0.25</v>
      </c>
    </row>
    <row r="62" spans="1:41" s="24" customFormat="1" ht="143.25" customHeight="1" x14ac:dyDescent="0.25">
      <c r="A62" s="126"/>
      <c r="B62" s="126"/>
      <c r="C62" s="126"/>
      <c r="D62" s="126"/>
      <c r="E62" s="126"/>
      <c r="F62" s="129"/>
      <c r="G62" s="126"/>
      <c r="H62" s="126"/>
      <c r="I62" s="106" t="s">
        <v>312</v>
      </c>
      <c r="J62" s="96" t="s">
        <v>317</v>
      </c>
      <c r="K62" s="28">
        <v>0.5</v>
      </c>
      <c r="L62" s="96" t="s">
        <v>318</v>
      </c>
      <c r="M62" s="96" t="s">
        <v>319</v>
      </c>
      <c r="N62" s="14" t="s">
        <v>576</v>
      </c>
      <c r="O62" s="96" t="s">
        <v>319</v>
      </c>
      <c r="P62" s="106" t="s">
        <v>60</v>
      </c>
      <c r="Q62" s="4" t="s">
        <v>310</v>
      </c>
      <c r="R62" s="15" t="s">
        <v>311</v>
      </c>
      <c r="S62" s="96"/>
      <c r="T62" s="96"/>
      <c r="U62" s="104" t="s">
        <v>63</v>
      </c>
      <c r="V62" s="42"/>
      <c r="W62" s="42"/>
      <c r="X62" s="42"/>
      <c r="Y62" s="52"/>
      <c r="Z62" s="52"/>
      <c r="AA62" s="52">
        <v>1</v>
      </c>
      <c r="AB62" s="70"/>
      <c r="AC62" s="70"/>
      <c r="AD62" s="70"/>
      <c r="AE62" s="61"/>
      <c r="AF62" s="61"/>
      <c r="AG62" s="61">
        <v>1</v>
      </c>
      <c r="AH62" s="104">
        <v>2</v>
      </c>
      <c r="AI62" s="104"/>
      <c r="AJ62" s="25">
        <f>1/1</f>
        <v>1</v>
      </c>
      <c r="AK62" s="104"/>
      <c r="AL62" s="110"/>
      <c r="AM62" s="81">
        <f>(AJ62+AL62)/2</f>
        <v>0.5</v>
      </c>
      <c r="AN62" s="110"/>
      <c r="AO62" s="41">
        <v>0.25</v>
      </c>
    </row>
    <row r="63" spans="1:41" s="90" customFormat="1" ht="73.5" customHeight="1" x14ac:dyDescent="0.25">
      <c r="A63" s="127"/>
      <c r="B63" s="127"/>
      <c r="C63" s="127"/>
      <c r="D63" s="127"/>
      <c r="E63" s="127"/>
      <c r="F63" s="130"/>
      <c r="G63" s="137" t="s">
        <v>50</v>
      </c>
      <c r="H63" s="130" t="s">
        <v>626</v>
      </c>
      <c r="I63" s="93" t="s">
        <v>320</v>
      </c>
      <c r="J63" s="115" t="s">
        <v>321</v>
      </c>
      <c r="K63" s="116">
        <v>0.14285714299999999</v>
      </c>
      <c r="L63" s="115" t="s">
        <v>322</v>
      </c>
      <c r="M63" s="115" t="s">
        <v>323</v>
      </c>
      <c r="N63" s="14" t="s">
        <v>576</v>
      </c>
      <c r="O63" s="115" t="s">
        <v>323</v>
      </c>
      <c r="P63" s="93" t="s">
        <v>60</v>
      </c>
      <c r="Q63" s="92" t="s">
        <v>299</v>
      </c>
      <c r="R63" s="15" t="s">
        <v>300</v>
      </c>
      <c r="S63" s="96"/>
      <c r="T63" s="96"/>
      <c r="U63" s="94" t="s">
        <v>75</v>
      </c>
      <c r="V63" s="42"/>
      <c r="W63" s="42"/>
      <c r="X63" s="42"/>
      <c r="Y63" s="52"/>
      <c r="Z63" s="52"/>
      <c r="AA63" s="52"/>
      <c r="AB63" s="70"/>
      <c r="AC63" s="70"/>
      <c r="AD63" s="70"/>
      <c r="AE63" s="61"/>
      <c r="AF63" s="61"/>
      <c r="AG63" s="61">
        <v>1</v>
      </c>
      <c r="AH63" s="94">
        <v>1</v>
      </c>
      <c r="AI63" s="94"/>
      <c r="AJ63" s="94"/>
      <c r="AK63" s="94"/>
      <c r="AL63" s="117"/>
      <c r="AM63" s="25">
        <f>AK63</f>
        <v>0</v>
      </c>
      <c r="AN63" s="117"/>
      <c r="AO63" s="40"/>
    </row>
    <row r="64" spans="1:41" s="90" customFormat="1" ht="99.75" customHeight="1" x14ac:dyDescent="0.25">
      <c r="A64" s="127"/>
      <c r="B64" s="127"/>
      <c r="C64" s="127"/>
      <c r="D64" s="127"/>
      <c r="E64" s="127"/>
      <c r="F64" s="130"/>
      <c r="G64" s="137"/>
      <c r="H64" s="130"/>
      <c r="I64" s="93" t="s">
        <v>320</v>
      </c>
      <c r="J64" s="115" t="s">
        <v>324</v>
      </c>
      <c r="K64" s="116">
        <v>0.14285714299999999</v>
      </c>
      <c r="L64" s="115" t="s">
        <v>325</v>
      </c>
      <c r="M64" s="115" t="s">
        <v>326</v>
      </c>
      <c r="N64" s="14" t="s">
        <v>576</v>
      </c>
      <c r="O64" s="115" t="s">
        <v>327</v>
      </c>
      <c r="P64" s="93" t="s">
        <v>60</v>
      </c>
      <c r="Q64" s="92" t="s">
        <v>299</v>
      </c>
      <c r="R64" s="15" t="s">
        <v>300</v>
      </c>
      <c r="S64" s="96"/>
      <c r="T64" s="96"/>
      <c r="U64" s="94" t="s">
        <v>75</v>
      </c>
      <c r="V64" s="42"/>
      <c r="W64" s="42"/>
      <c r="X64" s="42"/>
      <c r="Y64" s="52"/>
      <c r="Z64" s="52"/>
      <c r="AA64" s="52"/>
      <c r="AB64" s="70"/>
      <c r="AC64" s="70"/>
      <c r="AD64" s="70"/>
      <c r="AE64" s="61"/>
      <c r="AF64" s="61"/>
      <c r="AG64" s="61">
        <v>1</v>
      </c>
      <c r="AH64" s="94">
        <v>1</v>
      </c>
      <c r="AI64" s="94"/>
      <c r="AJ64" s="94"/>
      <c r="AK64" s="94"/>
      <c r="AL64" s="117"/>
      <c r="AM64" s="25">
        <f>AK64</f>
        <v>0</v>
      </c>
      <c r="AN64" s="117"/>
      <c r="AO64" s="40"/>
    </row>
    <row r="65" spans="1:41" s="24" customFormat="1" ht="88.5" customHeight="1" x14ac:dyDescent="0.25">
      <c r="A65" s="126"/>
      <c r="B65" s="126"/>
      <c r="C65" s="126"/>
      <c r="D65" s="126"/>
      <c r="E65" s="126"/>
      <c r="F65" s="129"/>
      <c r="G65" s="138"/>
      <c r="H65" s="129"/>
      <c r="I65" s="14" t="s">
        <v>328</v>
      </c>
      <c r="J65" s="101" t="s">
        <v>329</v>
      </c>
      <c r="K65" s="32">
        <v>0.14285714299999999</v>
      </c>
      <c r="L65" s="101" t="s">
        <v>307</v>
      </c>
      <c r="M65" s="101" t="s">
        <v>330</v>
      </c>
      <c r="N65" s="4" t="s">
        <v>583</v>
      </c>
      <c r="O65" s="101" t="s">
        <v>331</v>
      </c>
      <c r="P65" s="14" t="s">
        <v>66</v>
      </c>
      <c r="Q65" s="4" t="s">
        <v>106</v>
      </c>
      <c r="R65" s="6" t="s">
        <v>248</v>
      </c>
      <c r="S65" s="101"/>
      <c r="T65" s="101"/>
      <c r="U65" s="104" t="s">
        <v>68</v>
      </c>
      <c r="V65" s="42"/>
      <c r="W65" s="42"/>
      <c r="X65" s="44">
        <v>1</v>
      </c>
      <c r="Y65" s="52"/>
      <c r="Z65" s="52"/>
      <c r="AA65" s="53">
        <v>1</v>
      </c>
      <c r="AB65" s="70"/>
      <c r="AC65" s="70"/>
      <c r="AD65" s="71">
        <v>1</v>
      </c>
      <c r="AE65" s="61"/>
      <c r="AF65" s="61"/>
      <c r="AG65" s="62">
        <v>1</v>
      </c>
      <c r="AH65" s="25">
        <v>1</v>
      </c>
      <c r="AI65" s="105">
        <v>1</v>
      </c>
      <c r="AJ65" s="105">
        <v>1</v>
      </c>
      <c r="AK65" s="105">
        <v>1</v>
      </c>
      <c r="AL65" s="110"/>
      <c r="AM65" s="81">
        <f>(AI65+AJ65+AK65+AL65)/4</f>
        <v>0.75</v>
      </c>
      <c r="AN65" s="110"/>
      <c r="AO65" s="39">
        <v>0.1071</v>
      </c>
    </row>
    <row r="66" spans="1:41" s="24" customFormat="1" ht="76.5" customHeight="1" x14ac:dyDescent="0.25">
      <c r="A66" s="126"/>
      <c r="B66" s="126"/>
      <c r="C66" s="126"/>
      <c r="D66" s="128"/>
      <c r="E66" s="126"/>
      <c r="F66" s="129"/>
      <c r="G66" s="138"/>
      <c r="H66" s="129"/>
      <c r="I66" s="14" t="s">
        <v>332</v>
      </c>
      <c r="J66" s="101" t="s">
        <v>333</v>
      </c>
      <c r="K66" s="32">
        <v>0.14285714299999999</v>
      </c>
      <c r="L66" s="101" t="s">
        <v>307</v>
      </c>
      <c r="M66" s="101" t="s">
        <v>334</v>
      </c>
      <c r="N66" s="4" t="s">
        <v>583</v>
      </c>
      <c r="O66" s="101" t="s">
        <v>335</v>
      </c>
      <c r="P66" s="14" t="s">
        <v>66</v>
      </c>
      <c r="Q66" s="4" t="s">
        <v>336</v>
      </c>
      <c r="R66" s="6" t="s">
        <v>248</v>
      </c>
      <c r="S66" s="101"/>
      <c r="T66" s="101"/>
      <c r="U66" s="104" t="s">
        <v>68</v>
      </c>
      <c r="V66" s="45"/>
      <c r="W66" s="45"/>
      <c r="X66" s="45">
        <v>1</v>
      </c>
      <c r="Y66" s="55"/>
      <c r="Z66" s="55"/>
      <c r="AA66" s="55">
        <v>1</v>
      </c>
      <c r="AB66" s="73"/>
      <c r="AC66" s="73"/>
      <c r="AD66" s="73">
        <v>1</v>
      </c>
      <c r="AE66" s="64"/>
      <c r="AF66" s="64"/>
      <c r="AG66" s="64">
        <v>1</v>
      </c>
      <c r="AH66" s="105">
        <v>1</v>
      </c>
      <c r="AI66" s="81">
        <f>2/2</f>
        <v>1</v>
      </c>
      <c r="AJ66" s="81">
        <f>2/2</f>
        <v>1</v>
      </c>
      <c r="AK66" s="81">
        <f>2/2</f>
        <v>1</v>
      </c>
      <c r="AL66" s="110"/>
      <c r="AM66" s="81">
        <f>(AI66+AJ66+AK66+AL66)/4</f>
        <v>0.75</v>
      </c>
      <c r="AN66" s="110"/>
      <c r="AO66" s="39">
        <v>0.10714285725</v>
      </c>
    </row>
    <row r="67" spans="1:41" s="24" customFormat="1" ht="72" customHeight="1" x14ac:dyDescent="0.25">
      <c r="A67" s="126"/>
      <c r="B67" s="126"/>
      <c r="C67" s="126"/>
      <c r="D67" s="126"/>
      <c r="E67" s="126"/>
      <c r="F67" s="129"/>
      <c r="G67" s="138"/>
      <c r="H67" s="129"/>
      <c r="I67" s="14" t="s">
        <v>337</v>
      </c>
      <c r="J67" s="101" t="s">
        <v>338</v>
      </c>
      <c r="K67" s="32">
        <v>0.14285714299999999</v>
      </c>
      <c r="L67" s="101" t="s">
        <v>339</v>
      </c>
      <c r="M67" s="101" t="s">
        <v>340</v>
      </c>
      <c r="N67" s="4" t="s">
        <v>583</v>
      </c>
      <c r="O67" s="101" t="s">
        <v>341</v>
      </c>
      <c r="P67" s="14" t="s">
        <v>66</v>
      </c>
      <c r="Q67" s="4" t="s">
        <v>272</v>
      </c>
      <c r="R67" s="6" t="s">
        <v>248</v>
      </c>
      <c r="S67" s="101"/>
      <c r="T67" s="101"/>
      <c r="U67" s="104" t="s">
        <v>82</v>
      </c>
      <c r="V67" s="45">
        <v>1</v>
      </c>
      <c r="W67" s="45">
        <v>1</v>
      </c>
      <c r="X67" s="45">
        <v>1</v>
      </c>
      <c r="Y67" s="55">
        <v>1</v>
      </c>
      <c r="Z67" s="55">
        <v>1</v>
      </c>
      <c r="AA67" s="55">
        <v>1</v>
      </c>
      <c r="AB67" s="73">
        <v>1</v>
      </c>
      <c r="AC67" s="73">
        <v>1</v>
      </c>
      <c r="AD67" s="73">
        <v>1</v>
      </c>
      <c r="AE67" s="64">
        <v>1</v>
      </c>
      <c r="AF67" s="64">
        <v>1</v>
      </c>
      <c r="AG67" s="64">
        <v>1</v>
      </c>
      <c r="AH67" s="105">
        <v>1</v>
      </c>
      <c r="AI67" s="25">
        <f>2442/2442</f>
        <v>1</v>
      </c>
      <c r="AJ67" s="81">
        <f>2447/2447</f>
        <v>1</v>
      </c>
      <c r="AK67" s="95">
        <f>2435/2435</f>
        <v>1</v>
      </c>
      <c r="AL67" s="110"/>
      <c r="AM67" s="81">
        <f>(AI67+AJ67+AK67+AL67)/4</f>
        <v>0.75</v>
      </c>
      <c r="AN67" s="110"/>
      <c r="AO67" s="39">
        <v>0.10714285725</v>
      </c>
    </row>
    <row r="68" spans="1:41" s="24" customFormat="1" ht="72" customHeight="1" x14ac:dyDescent="0.25">
      <c r="A68" s="126"/>
      <c r="B68" s="126"/>
      <c r="C68" s="126"/>
      <c r="D68" s="126"/>
      <c r="E68" s="126"/>
      <c r="F68" s="129"/>
      <c r="G68" s="138"/>
      <c r="H68" s="129"/>
      <c r="I68" s="14" t="s">
        <v>342</v>
      </c>
      <c r="J68" s="101" t="s">
        <v>343</v>
      </c>
      <c r="K68" s="32">
        <v>0.14285714299999999</v>
      </c>
      <c r="L68" s="101" t="s">
        <v>344</v>
      </c>
      <c r="M68" s="101" t="s">
        <v>345</v>
      </c>
      <c r="N68" s="4" t="s">
        <v>583</v>
      </c>
      <c r="O68" s="101" t="s">
        <v>346</v>
      </c>
      <c r="P68" s="14" t="s">
        <v>66</v>
      </c>
      <c r="Q68" s="4" t="s">
        <v>347</v>
      </c>
      <c r="R68" s="6" t="s">
        <v>248</v>
      </c>
      <c r="S68" s="101"/>
      <c r="T68" s="101"/>
      <c r="U68" s="104" t="s">
        <v>63</v>
      </c>
      <c r="V68" s="45"/>
      <c r="W68" s="45"/>
      <c r="X68" s="45"/>
      <c r="Y68" s="55"/>
      <c r="Z68" s="55"/>
      <c r="AA68" s="55">
        <v>1</v>
      </c>
      <c r="AB68" s="73"/>
      <c r="AC68" s="73"/>
      <c r="AD68" s="73"/>
      <c r="AE68" s="64"/>
      <c r="AF68" s="64"/>
      <c r="AG68" s="64">
        <v>1</v>
      </c>
      <c r="AH68" s="105">
        <v>1</v>
      </c>
      <c r="AI68" s="104"/>
      <c r="AJ68" s="81">
        <f>729/729</f>
        <v>1</v>
      </c>
      <c r="AK68" s="81"/>
      <c r="AL68" s="110"/>
      <c r="AM68" s="81">
        <f>(AJ68+AL68)/2</f>
        <v>0.5</v>
      </c>
      <c r="AN68" s="110"/>
      <c r="AO68" s="39">
        <v>7.1428571499999996E-2</v>
      </c>
    </row>
    <row r="69" spans="1:41" s="24" customFormat="1" ht="72" customHeight="1" x14ac:dyDescent="0.25">
      <c r="A69" s="126"/>
      <c r="B69" s="126"/>
      <c r="C69" s="126"/>
      <c r="D69" s="126"/>
      <c r="E69" s="126"/>
      <c r="F69" s="129"/>
      <c r="G69" s="138"/>
      <c r="H69" s="129"/>
      <c r="I69" s="14" t="s">
        <v>342</v>
      </c>
      <c r="J69" s="101" t="s">
        <v>348</v>
      </c>
      <c r="K69" s="32">
        <v>0.14285714299999999</v>
      </c>
      <c r="L69" s="101" t="s">
        <v>349</v>
      </c>
      <c r="M69" s="101" t="s">
        <v>350</v>
      </c>
      <c r="N69" s="4" t="s">
        <v>583</v>
      </c>
      <c r="O69" s="101" t="s">
        <v>351</v>
      </c>
      <c r="P69" s="14" t="s">
        <v>66</v>
      </c>
      <c r="Q69" s="4" t="s">
        <v>347</v>
      </c>
      <c r="R69" s="6" t="s">
        <v>248</v>
      </c>
      <c r="S69" s="101"/>
      <c r="T69" s="101"/>
      <c r="U69" s="104" t="s">
        <v>266</v>
      </c>
      <c r="V69" s="45"/>
      <c r="W69" s="45"/>
      <c r="X69" s="45"/>
      <c r="Y69" s="55">
        <v>1</v>
      </c>
      <c r="Z69" s="55"/>
      <c r="AA69" s="55"/>
      <c r="AB69" s="73"/>
      <c r="AC69" s="73">
        <v>1</v>
      </c>
      <c r="AD69" s="73"/>
      <c r="AE69" s="64"/>
      <c r="AF69" s="64"/>
      <c r="AG69" s="64">
        <v>1</v>
      </c>
      <c r="AH69" s="105">
        <v>1</v>
      </c>
      <c r="AI69" s="104"/>
      <c r="AJ69" s="81">
        <f>127/127</f>
        <v>1</v>
      </c>
      <c r="AK69" s="105">
        <f>131/131</f>
        <v>1</v>
      </c>
      <c r="AL69" s="110"/>
      <c r="AM69" s="39">
        <f>(AI69+AJ69+AK69+AL69)/3</f>
        <v>0.66666666666666663</v>
      </c>
      <c r="AN69" s="110"/>
      <c r="AO69" s="39">
        <v>9.5238095333333328E-2</v>
      </c>
    </row>
    <row r="70" spans="1:41" s="24" customFormat="1" ht="97.5" customHeight="1" x14ac:dyDescent="0.25">
      <c r="A70" s="126"/>
      <c r="B70" s="126"/>
      <c r="C70" s="126"/>
      <c r="D70" s="126"/>
      <c r="E70" s="126"/>
      <c r="F70" s="129"/>
      <c r="G70" s="126" t="s">
        <v>51</v>
      </c>
      <c r="H70" s="129" t="s">
        <v>627</v>
      </c>
      <c r="I70" s="106" t="s">
        <v>352</v>
      </c>
      <c r="J70" s="96" t="s">
        <v>353</v>
      </c>
      <c r="K70" s="32">
        <v>0.125</v>
      </c>
      <c r="L70" s="108" t="s">
        <v>354</v>
      </c>
      <c r="M70" s="101" t="s">
        <v>355</v>
      </c>
      <c r="N70" s="14" t="s">
        <v>576</v>
      </c>
      <c r="O70" s="101" t="s">
        <v>356</v>
      </c>
      <c r="P70" s="14" t="s">
        <v>60</v>
      </c>
      <c r="Q70" s="106" t="s">
        <v>28</v>
      </c>
      <c r="R70" s="5" t="s">
        <v>357</v>
      </c>
      <c r="S70" s="108"/>
      <c r="T70" s="108"/>
      <c r="U70" s="104" t="s">
        <v>75</v>
      </c>
      <c r="V70" s="47"/>
      <c r="W70" s="47"/>
      <c r="X70" s="48">
        <v>1</v>
      </c>
      <c r="Y70" s="56"/>
      <c r="Z70" s="56"/>
      <c r="AA70" s="56"/>
      <c r="AB70" s="74"/>
      <c r="AC70" s="74"/>
      <c r="AD70" s="74"/>
      <c r="AE70" s="65"/>
      <c r="AF70" s="65"/>
      <c r="AG70" s="66"/>
      <c r="AH70" s="83">
        <v>1</v>
      </c>
      <c r="AI70" s="84">
        <f>1/1</f>
        <v>1</v>
      </c>
      <c r="AJ70" s="84"/>
      <c r="AK70" s="89"/>
      <c r="AL70" s="85"/>
      <c r="AM70" s="84">
        <v>1</v>
      </c>
      <c r="AN70" s="85"/>
      <c r="AO70" s="119">
        <v>0.125</v>
      </c>
    </row>
    <row r="71" spans="1:41" s="24" customFormat="1" ht="84.75" customHeight="1" x14ac:dyDescent="0.25">
      <c r="A71" s="126"/>
      <c r="B71" s="126"/>
      <c r="C71" s="126"/>
      <c r="D71" s="126"/>
      <c r="E71" s="126"/>
      <c r="F71" s="129"/>
      <c r="G71" s="126"/>
      <c r="H71" s="129"/>
      <c r="I71" s="106" t="s">
        <v>352</v>
      </c>
      <c r="J71" s="101" t="s">
        <v>358</v>
      </c>
      <c r="K71" s="32">
        <v>0.125</v>
      </c>
      <c r="L71" s="108" t="s">
        <v>359</v>
      </c>
      <c r="M71" s="101" t="s">
        <v>360</v>
      </c>
      <c r="N71" s="14" t="s">
        <v>576</v>
      </c>
      <c r="O71" s="101" t="s">
        <v>360</v>
      </c>
      <c r="P71" s="106" t="s">
        <v>60</v>
      </c>
      <c r="Q71" s="106" t="s">
        <v>28</v>
      </c>
      <c r="R71" s="5" t="s">
        <v>357</v>
      </c>
      <c r="S71" s="108"/>
      <c r="T71" s="108"/>
      <c r="U71" s="104" t="s">
        <v>82</v>
      </c>
      <c r="V71" s="48">
        <v>1</v>
      </c>
      <c r="W71" s="48">
        <v>1</v>
      </c>
      <c r="X71" s="48">
        <v>1</v>
      </c>
      <c r="Y71" s="57">
        <v>1</v>
      </c>
      <c r="Z71" s="57">
        <v>1</v>
      </c>
      <c r="AA71" s="57">
        <v>1</v>
      </c>
      <c r="AB71" s="75">
        <v>1</v>
      </c>
      <c r="AC71" s="75">
        <v>1</v>
      </c>
      <c r="AD71" s="75">
        <v>1</v>
      </c>
      <c r="AE71" s="66">
        <v>1</v>
      </c>
      <c r="AF71" s="66">
        <v>1</v>
      </c>
      <c r="AG71" s="66">
        <v>1</v>
      </c>
      <c r="AH71" s="104">
        <v>12</v>
      </c>
      <c r="AI71" s="81">
        <f>3/3</f>
        <v>1</v>
      </c>
      <c r="AJ71" s="81">
        <f>3/3</f>
        <v>1</v>
      </c>
      <c r="AK71" s="105">
        <f>3/3</f>
        <v>1</v>
      </c>
      <c r="AL71" s="110"/>
      <c r="AM71" s="81">
        <f t="shared" ref="AM71:AM126" si="0">(AI71+AJ71+AK71+AL71)/4</f>
        <v>0.75</v>
      </c>
      <c r="AN71" s="110"/>
      <c r="AO71" s="39">
        <v>9.375E-2</v>
      </c>
    </row>
    <row r="72" spans="1:41" s="24" customFormat="1" ht="127.5" customHeight="1" x14ac:dyDescent="0.25">
      <c r="A72" s="126"/>
      <c r="B72" s="126"/>
      <c r="C72" s="126"/>
      <c r="D72" s="126"/>
      <c r="E72" s="126"/>
      <c r="F72" s="129"/>
      <c r="G72" s="126"/>
      <c r="H72" s="129"/>
      <c r="I72" s="106" t="s">
        <v>352</v>
      </c>
      <c r="J72" s="101" t="s">
        <v>361</v>
      </c>
      <c r="K72" s="32">
        <v>0.125</v>
      </c>
      <c r="L72" s="108" t="s">
        <v>362</v>
      </c>
      <c r="M72" s="101" t="s">
        <v>363</v>
      </c>
      <c r="N72" s="14" t="s">
        <v>583</v>
      </c>
      <c r="O72" s="101" t="s">
        <v>364</v>
      </c>
      <c r="P72" s="106" t="s">
        <v>113</v>
      </c>
      <c r="Q72" s="106" t="s">
        <v>28</v>
      </c>
      <c r="R72" s="5" t="s">
        <v>357</v>
      </c>
      <c r="S72" s="108"/>
      <c r="T72" s="108"/>
      <c r="U72" s="104" t="s">
        <v>82</v>
      </c>
      <c r="V72" s="44">
        <v>1</v>
      </c>
      <c r="W72" s="44">
        <v>1</v>
      </c>
      <c r="X72" s="44">
        <v>1</v>
      </c>
      <c r="Y72" s="53">
        <v>1</v>
      </c>
      <c r="Z72" s="53">
        <v>1</v>
      </c>
      <c r="AA72" s="53">
        <v>1</v>
      </c>
      <c r="AB72" s="71">
        <v>1</v>
      </c>
      <c r="AC72" s="71">
        <v>1</v>
      </c>
      <c r="AD72" s="71">
        <v>1</v>
      </c>
      <c r="AE72" s="62">
        <v>1</v>
      </c>
      <c r="AF72" s="62">
        <v>1</v>
      </c>
      <c r="AG72" s="62">
        <v>1</v>
      </c>
      <c r="AH72" s="81">
        <v>1</v>
      </c>
      <c r="AI72" s="25">
        <f>3/3</f>
        <v>1</v>
      </c>
      <c r="AJ72" s="81">
        <f>3/3</f>
        <v>1</v>
      </c>
      <c r="AK72" s="81">
        <f>4/4</f>
        <v>1</v>
      </c>
      <c r="AL72" s="110"/>
      <c r="AM72" s="81">
        <f t="shared" si="0"/>
        <v>0.75</v>
      </c>
      <c r="AN72" s="110"/>
      <c r="AO72" s="39">
        <v>9.375E-2</v>
      </c>
    </row>
    <row r="73" spans="1:41" s="24" customFormat="1" ht="87" customHeight="1" x14ac:dyDescent="0.25">
      <c r="A73" s="126"/>
      <c r="B73" s="126"/>
      <c r="C73" s="126"/>
      <c r="D73" s="126"/>
      <c r="E73" s="126"/>
      <c r="F73" s="129"/>
      <c r="G73" s="126"/>
      <c r="H73" s="129"/>
      <c r="I73" s="106" t="s">
        <v>365</v>
      </c>
      <c r="J73" s="101" t="s">
        <v>366</v>
      </c>
      <c r="K73" s="32">
        <v>0.125</v>
      </c>
      <c r="L73" s="108" t="s">
        <v>367</v>
      </c>
      <c r="M73" s="101" t="s">
        <v>368</v>
      </c>
      <c r="N73" s="14" t="s">
        <v>576</v>
      </c>
      <c r="O73" s="101" t="s">
        <v>369</v>
      </c>
      <c r="P73" s="106" t="s">
        <v>60</v>
      </c>
      <c r="Q73" s="106" t="s">
        <v>370</v>
      </c>
      <c r="R73" s="5" t="s">
        <v>357</v>
      </c>
      <c r="S73" s="108"/>
      <c r="T73" s="108"/>
      <c r="U73" s="106" t="s">
        <v>68</v>
      </c>
      <c r="V73" s="49"/>
      <c r="W73" s="49"/>
      <c r="X73" s="49">
        <v>1</v>
      </c>
      <c r="Y73" s="58"/>
      <c r="Z73" s="58"/>
      <c r="AA73" s="58">
        <v>1</v>
      </c>
      <c r="AB73" s="76"/>
      <c r="AC73" s="76"/>
      <c r="AD73" s="76">
        <v>1</v>
      </c>
      <c r="AE73" s="67"/>
      <c r="AF73" s="67"/>
      <c r="AG73" s="67">
        <v>1</v>
      </c>
      <c r="AH73" s="106">
        <v>4</v>
      </c>
      <c r="AI73" s="81">
        <f>1/1</f>
        <v>1</v>
      </c>
      <c r="AJ73" s="81">
        <f>1/1</f>
        <v>1</v>
      </c>
      <c r="AK73" s="105">
        <f>1/1</f>
        <v>1</v>
      </c>
      <c r="AL73" s="110"/>
      <c r="AM73" s="81">
        <f t="shared" si="0"/>
        <v>0.75</v>
      </c>
      <c r="AN73" s="110"/>
      <c r="AO73" s="39">
        <v>9.375E-2</v>
      </c>
    </row>
    <row r="74" spans="1:41" s="24" customFormat="1" ht="102" customHeight="1" x14ac:dyDescent="0.25">
      <c r="A74" s="126"/>
      <c r="B74" s="126"/>
      <c r="C74" s="126"/>
      <c r="D74" s="126"/>
      <c r="E74" s="126"/>
      <c r="F74" s="129"/>
      <c r="G74" s="126"/>
      <c r="H74" s="129"/>
      <c r="I74" s="106" t="s">
        <v>365</v>
      </c>
      <c r="J74" s="101" t="s">
        <v>371</v>
      </c>
      <c r="K74" s="32">
        <v>0.125</v>
      </c>
      <c r="L74" s="108" t="s">
        <v>372</v>
      </c>
      <c r="M74" s="101" t="s">
        <v>373</v>
      </c>
      <c r="N74" s="4" t="s">
        <v>583</v>
      </c>
      <c r="O74" s="101" t="s">
        <v>374</v>
      </c>
      <c r="P74" s="106" t="s">
        <v>66</v>
      </c>
      <c r="Q74" s="106" t="s">
        <v>370</v>
      </c>
      <c r="R74" s="5" t="s">
        <v>357</v>
      </c>
      <c r="S74" s="108"/>
      <c r="T74" s="108"/>
      <c r="U74" s="106" t="s">
        <v>63</v>
      </c>
      <c r="V74" s="49"/>
      <c r="W74" s="49"/>
      <c r="X74" s="49"/>
      <c r="Y74" s="58"/>
      <c r="Z74" s="58"/>
      <c r="AA74" s="55">
        <v>1</v>
      </c>
      <c r="AB74" s="76"/>
      <c r="AC74" s="76"/>
      <c r="AD74" s="76"/>
      <c r="AE74" s="67"/>
      <c r="AF74" s="67"/>
      <c r="AG74" s="64">
        <v>1</v>
      </c>
      <c r="AH74" s="105">
        <v>1</v>
      </c>
      <c r="AI74" s="104"/>
      <c r="AJ74" s="39">
        <f>683/690</f>
        <v>0.98985507246376814</v>
      </c>
      <c r="AK74" s="81"/>
      <c r="AL74" s="110"/>
      <c r="AM74" s="39">
        <f>(AJ74+AL74)/2</f>
        <v>0.49492753623188407</v>
      </c>
      <c r="AN74" s="110"/>
      <c r="AO74" s="39">
        <v>6.1865942028985509E-2</v>
      </c>
    </row>
    <row r="75" spans="1:41" s="24" customFormat="1" ht="78" customHeight="1" x14ac:dyDescent="0.25">
      <c r="A75" s="126"/>
      <c r="B75" s="126"/>
      <c r="C75" s="126"/>
      <c r="D75" s="126"/>
      <c r="E75" s="126"/>
      <c r="F75" s="129"/>
      <c r="G75" s="126"/>
      <c r="H75" s="129"/>
      <c r="I75" s="106" t="s">
        <v>375</v>
      </c>
      <c r="J75" s="101" t="s">
        <v>376</v>
      </c>
      <c r="K75" s="32">
        <v>0.125</v>
      </c>
      <c r="L75" s="108" t="s">
        <v>377</v>
      </c>
      <c r="M75" s="108" t="s">
        <v>378</v>
      </c>
      <c r="N75" s="4" t="s">
        <v>583</v>
      </c>
      <c r="O75" s="108" t="s">
        <v>549</v>
      </c>
      <c r="P75" s="106" t="s">
        <v>66</v>
      </c>
      <c r="Q75" s="106" t="s">
        <v>379</v>
      </c>
      <c r="R75" s="5" t="s">
        <v>357</v>
      </c>
      <c r="S75" s="108"/>
      <c r="T75" s="108"/>
      <c r="U75" s="104" t="s">
        <v>68</v>
      </c>
      <c r="V75" s="42"/>
      <c r="W75" s="42"/>
      <c r="X75" s="45">
        <v>0.3</v>
      </c>
      <c r="Y75" s="52"/>
      <c r="Z75" s="52"/>
      <c r="AA75" s="55">
        <v>0.5</v>
      </c>
      <c r="AB75" s="73"/>
      <c r="AC75" s="73"/>
      <c r="AD75" s="73">
        <v>0.75</v>
      </c>
      <c r="AE75" s="64"/>
      <c r="AF75" s="64"/>
      <c r="AG75" s="64">
        <v>0.95</v>
      </c>
      <c r="AH75" s="105">
        <v>0.95</v>
      </c>
      <c r="AI75" s="39">
        <f>542012256488.57/939039514632</f>
        <v>0.57719856091570232</v>
      </c>
      <c r="AJ75" s="39">
        <f>760149665721.6/939039514632</f>
        <v>0.80949699546934917</v>
      </c>
      <c r="AK75" s="105">
        <f>863432898164.39/1100123410485</f>
        <v>0.78485094484421281</v>
      </c>
      <c r="AL75" s="110"/>
      <c r="AM75" s="41">
        <v>0.75</v>
      </c>
      <c r="AN75" s="110"/>
      <c r="AO75" s="39">
        <v>9.375E-2</v>
      </c>
    </row>
    <row r="76" spans="1:41" s="24" customFormat="1" ht="78" customHeight="1" x14ac:dyDescent="0.25">
      <c r="A76" s="126"/>
      <c r="B76" s="126"/>
      <c r="C76" s="126"/>
      <c r="D76" s="126"/>
      <c r="E76" s="126"/>
      <c r="F76" s="129"/>
      <c r="G76" s="126"/>
      <c r="H76" s="129"/>
      <c r="I76" s="106" t="s">
        <v>375</v>
      </c>
      <c r="J76" s="101" t="s">
        <v>544</v>
      </c>
      <c r="K76" s="32">
        <v>0.125</v>
      </c>
      <c r="L76" s="108" t="s">
        <v>545</v>
      </c>
      <c r="M76" s="108" t="s">
        <v>546</v>
      </c>
      <c r="N76" s="4" t="s">
        <v>583</v>
      </c>
      <c r="O76" s="108" t="s">
        <v>547</v>
      </c>
      <c r="P76" s="106" t="s">
        <v>66</v>
      </c>
      <c r="Q76" s="106" t="s">
        <v>379</v>
      </c>
      <c r="R76" s="5"/>
      <c r="S76" s="108"/>
      <c r="T76" s="108"/>
      <c r="U76" s="104" t="s">
        <v>68</v>
      </c>
      <c r="V76" s="42"/>
      <c r="W76" s="42"/>
      <c r="X76" s="45">
        <v>0.2</v>
      </c>
      <c r="Y76" s="52"/>
      <c r="Z76" s="52"/>
      <c r="AA76" s="55">
        <v>0.4</v>
      </c>
      <c r="AB76" s="73"/>
      <c r="AC76" s="73"/>
      <c r="AD76" s="73">
        <v>0.6</v>
      </c>
      <c r="AE76" s="64"/>
      <c r="AF76" s="64"/>
      <c r="AG76" s="64">
        <v>0.85</v>
      </c>
      <c r="AH76" s="105">
        <v>0.85</v>
      </c>
      <c r="AI76" s="39">
        <f>107987084953.56/542012256488.57</f>
        <v>0.19923365876106758</v>
      </c>
      <c r="AJ76" s="39">
        <f>348672921648.98/760149665721.6</f>
        <v>0.45868983092689963</v>
      </c>
      <c r="AK76" s="39">
        <f>595565970947.48/863432898164.39</f>
        <v>0.68976520609027048</v>
      </c>
      <c r="AM76" s="40">
        <f>(AI76*25%/X76)+25%+25%</f>
        <v>0.74904207345133444</v>
      </c>
      <c r="AN76" s="110"/>
      <c r="AO76" s="39">
        <v>9.3625E-2</v>
      </c>
    </row>
    <row r="77" spans="1:41" s="24" customFormat="1" ht="75.75" customHeight="1" x14ac:dyDescent="0.25">
      <c r="A77" s="126"/>
      <c r="B77" s="126"/>
      <c r="C77" s="126"/>
      <c r="D77" s="126"/>
      <c r="E77" s="126"/>
      <c r="F77" s="129"/>
      <c r="G77" s="126"/>
      <c r="H77" s="129"/>
      <c r="I77" s="106" t="s">
        <v>375</v>
      </c>
      <c r="J77" s="101" t="s">
        <v>380</v>
      </c>
      <c r="K77" s="32">
        <v>0.125</v>
      </c>
      <c r="L77" s="108" t="s">
        <v>381</v>
      </c>
      <c r="M77" s="108" t="s">
        <v>382</v>
      </c>
      <c r="N77" s="4" t="s">
        <v>583</v>
      </c>
      <c r="O77" s="108" t="s">
        <v>383</v>
      </c>
      <c r="P77" s="106" t="s">
        <v>66</v>
      </c>
      <c r="Q77" s="106" t="s">
        <v>379</v>
      </c>
      <c r="R77" s="5" t="s">
        <v>357</v>
      </c>
      <c r="S77" s="108"/>
      <c r="T77" s="108"/>
      <c r="U77" s="104" t="s">
        <v>68</v>
      </c>
      <c r="V77" s="42"/>
      <c r="W77" s="42"/>
      <c r="X77" s="45">
        <v>0.95</v>
      </c>
      <c r="Y77" s="52"/>
      <c r="Z77" s="52"/>
      <c r="AA77" s="55">
        <v>0.95</v>
      </c>
      <c r="AB77" s="70"/>
      <c r="AC77" s="70"/>
      <c r="AD77" s="73">
        <v>0.95</v>
      </c>
      <c r="AE77" s="61"/>
      <c r="AF77" s="61"/>
      <c r="AG77" s="64">
        <v>0.95</v>
      </c>
      <c r="AH77" s="105">
        <v>0.95</v>
      </c>
      <c r="AI77" s="81">
        <f>104419927777.29/104421105095.85</f>
        <v>0.99998872528155169</v>
      </c>
      <c r="AJ77" s="39">
        <f>318109108236.7/324439481481.6</f>
        <v>0.98048827714804809</v>
      </c>
      <c r="AK77" s="114">
        <f>561607120297/575108047718</f>
        <v>0.97652453747679069</v>
      </c>
      <c r="AL77" s="112"/>
      <c r="AM77" s="121">
        <f>(AI77+AJ77+AK77+AL77)/4</f>
        <v>0.73925038497659756</v>
      </c>
      <c r="AN77" s="110"/>
      <c r="AO77" s="39">
        <v>9.375E-2</v>
      </c>
    </row>
    <row r="78" spans="1:41" s="24" customFormat="1" ht="78" customHeight="1" x14ac:dyDescent="0.25">
      <c r="A78" s="126"/>
      <c r="B78" s="126"/>
      <c r="C78" s="126"/>
      <c r="D78" s="126"/>
      <c r="E78" s="126"/>
      <c r="F78" s="129"/>
      <c r="G78" s="126" t="s">
        <v>52</v>
      </c>
      <c r="H78" s="126" t="s">
        <v>628</v>
      </c>
      <c r="I78" s="106" t="s">
        <v>384</v>
      </c>
      <c r="J78" s="101" t="s">
        <v>385</v>
      </c>
      <c r="K78" s="33">
        <v>2.5000000000000001E-2</v>
      </c>
      <c r="L78" s="108" t="s">
        <v>532</v>
      </c>
      <c r="M78" s="108" t="s">
        <v>533</v>
      </c>
      <c r="N78" s="4" t="s">
        <v>583</v>
      </c>
      <c r="O78" s="108" t="s">
        <v>534</v>
      </c>
      <c r="P78" s="106" t="s">
        <v>66</v>
      </c>
      <c r="Q78" s="4" t="s">
        <v>67</v>
      </c>
      <c r="R78" s="5" t="s">
        <v>248</v>
      </c>
      <c r="S78" s="108"/>
      <c r="T78" s="108"/>
      <c r="U78" s="104" t="s">
        <v>68</v>
      </c>
      <c r="V78" s="42"/>
      <c r="W78" s="42"/>
      <c r="X78" s="45">
        <v>1</v>
      </c>
      <c r="Y78" s="52"/>
      <c r="Z78" s="52"/>
      <c r="AA78" s="55">
        <v>1</v>
      </c>
      <c r="AB78" s="73"/>
      <c r="AC78" s="73"/>
      <c r="AD78" s="73">
        <v>1</v>
      </c>
      <c r="AE78" s="64"/>
      <c r="AF78" s="64"/>
      <c r="AG78" s="64">
        <v>1</v>
      </c>
      <c r="AH78" s="105">
        <v>1</v>
      </c>
      <c r="AI78" s="104"/>
      <c r="AJ78" s="104"/>
      <c r="AK78" s="81"/>
      <c r="AL78" s="110"/>
      <c r="AM78" s="81">
        <f t="shared" si="0"/>
        <v>0</v>
      </c>
      <c r="AN78" s="110"/>
      <c r="AO78" s="39">
        <v>0</v>
      </c>
    </row>
    <row r="79" spans="1:41" s="24" customFormat="1" ht="78" customHeight="1" x14ac:dyDescent="0.25">
      <c r="A79" s="126"/>
      <c r="B79" s="126"/>
      <c r="C79" s="126"/>
      <c r="D79" s="126"/>
      <c r="E79" s="126"/>
      <c r="F79" s="129"/>
      <c r="G79" s="126"/>
      <c r="H79" s="126"/>
      <c r="I79" s="106" t="s">
        <v>386</v>
      </c>
      <c r="J79" s="101" t="s">
        <v>385</v>
      </c>
      <c r="K79" s="33">
        <v>2.5000000000000001E-2</v>
      </c>
      <c r="L79" s="108" t="s">
        <v>532</v>
      </c>
      <c r="M79" s="108" t="s">
        <v>533</v>
      </c>
      <c r="N79" s="4" t="s">
        <v>583</v>
      </c>
      <c r="O79" s="108" t="s">
        <v>534</v>
      </c>
      <c r="P79" s="106" t="s">
        <v>66</v>
      </c>
      <c r="Q79" s="106" t="s">
        <v>28</v>
      </c>
      <c r="R79" s="5" t="s">
        <v>248</v>
      </c>
      <c r="S79" s="108"/>
      <c r="T79" s="108"/>
      <c r="U79" s="104" t="s">
        <v>68</v>
      </c>
      <c r="V79" s="42"/>
      <c r="W79" s="42"/>
      <c r="X79" s="45">
        <v>1</v>
      </c>
      <c r="Y79" s="52"/>
      <c r="Z79" s="52"/>
      <c r="AA79" s="55">
        <v>1</v>
      </c>
      <c r="AB79" s="73"/>
      <c r="AC79" s="73"/>
      <c r="AD79" s="73">
        <v>1</v>
      </c>
      <c r="AE79" s="64"/>
      <c r="AF79" s="64"/>
      <c r="AG79" s="64">
        <v>1</v>
      </c>
      <c r="AH79" s="105">
        <v>1</v>
      </c>
      <c r="AI79" s="105">
        <v>1</v>
      </c>
      <c r="AJ79" s="105">
        <v>1</v>
      </c>
      <c r="AK79" s="105">
        <v>1</v>
      </c>
      <c r="AL79" s="110"/>
      <c r="AM79" s="81">
        <f t="shared" si="0"/>
        <v>0.75</v>
      </c>
      <c r="AN79" s="110"/>
      <c r="AO79" s="39">
        <v>1.9230000000000001E-2</v>
      </c>
    </row>
    <row r="80" spans="1:41" s="24" customFormat="1" ht="47.25" customHeight="1" x14ac:dyDescent="0.25">
      <c r="A80" s="126"/>
      <c r="B80" s="126"/>
      <c r="C80" s="126"/>
      <c r="D80" s="126"/>
      <c r="E80" s="126"/>
      <c r="F80" s="129"/>
      <c r="G80" s="126"/>
      <c r="H80" s="126"/>
      <c r="I80" s="106" t="s">
        <v>386</v>
      </c>
      <c r="J80" s="108" t="s">
        <v>387</v>
      </c>
      <c r="K80" s="33">
        <v>2.5000000000000001E-2</v>
      </c>
      <c r="L80" s="108" t="s">
        <v>388</v>
      </c>
      <c r="M80" s="108" t="s">
        <v>389</v>
      </c>
      <c r="N80" s="14" t="s">
        <v>576</v>
      </c>
      <c r="O80" s="108" t="s">
        <v>390</v>
      </c>
      <c r="P80" s="106" t="s">
        <v>60</v>
      </c>
      <c r="Q80" s="106" t="s">
        <v>28</v>
      </c>
      <c r="R80" s="5" t="s">
        <v>62</v>
      </c>
      <c r="S80" s="108"/>
      <c r="T80" s="108"/>
      <c r="U80" s="104" t="s">
        <v>75</v>
      </c>
      <c r="V80" s="46"/>
      <c r="W80" s="46"/>
      <c r="X80" s="48">
        <v>1</v>
      </c>
      <c r="Y80" s="55"/>
      <c r="Z80" s="55"/>
      <c r="AA80" s="55"/>
      <c r="AB80" s="73"/>
      <c r="AC80" s="73"/>
      <c r="AD80" s="73"/>
      <c r="AE80" s="64"/>
      <c r="AF80" s="64"/>
      <c r="AG80" s="64"/>
      <c r="AH80" s="83">
        <v>1</v>
      </c>
      <c r="AI80" s="84">
        <v>0</v>
      </c>
      <c r="AJ80" s="84"/>
      <c r="AK80" s="84">
        <f>1/1</f>
        <v>1</v>
      </c>
      <c r="AL80" s="85"/>
      <c r="AM80" s="84">
        <v>1</v>
      </c>
      <c r="AN80" s="85"/>
      <c r="AO80" s="88">
        <v>2.564E-2</v>
      </c>
    </row>
    <row r="81" spans="1:41" s="24" customFormat="1" ht="48.75" customHeight="1" x14ac:dyDescent="0.25">
      <c r="A81" s="126"/>
      <c r="B81" s="126"/>
      <c r="C81" s="126"/>
      <c r="D81" s="126"/>
      <c r="E81" s="126"/>
      <c r="F81" s="129"/>
      <c r="G81" s="126"/>
      <c r="H81" s="126"/>
      <c r="I81" s="106" t="s">
        <v>386</v>
      </c>
      <c r="J81" s="108" t="s">
        <v>391</v>
      </c>
      <c r="K81" s="33">
        <v>2.5000000000000001E-2</v>
      </c>
      <c r="L81" s="108" t="s">
        <v>392</v>
      </c>
      <c r="M81" s="108" t="s">
        <v>393</v>
      </c>
      <c r="N81" s="14" t="s">
        <v>576</v>
      </c>
      <c r="O81" s="108" t="s">
        <v>394</v>
      </c>
      <c r="P81" s="106" t="s">
        <v>60</v>
      </c>
      <c r="Q81" s="106" t="s">
        <v>28</v>
      </c>
      <c r="R81" s="5" t="s">
        <v>62</v>
      </c>
      <c r="S81" s="108"/>
      <c r="T81" s="108"/>
      <c r="U81" s="104" t="s">
        <v>75</v>
      </c>
      <c r="V81" s="47"/>
      <c r="W81" s="47"/>
      <c r="X81" s="48">
        <v>1</v>
      </c>
      <c r="Y81" s="56"/>
      <c r="Z81" s="56"/>
      <c r="AA81" s="56"/>
      <c r="AB81" s="74"/>
      <c r="AC81" s="74"/>
      <c r="AD81" s="74"/>
      <c r="AE81" s="65"/>
      <c r="AF81" s="65"/>
      <c r="AG81" s="66"/>
      <c r="AH81" s="83">
        <v>1</v>
      </c>
      <c r="AI81" s="84">
        <f>1/1</f>
        <v>1</v>
      </c>
      <c r="AJ81" s="84"/>
      <c r="AK81" s="84"/>
      <c r="AL81" s="85"/>
      <c r="AM81" s="84">
        <v>1</v>
      </c>
      <c r="AN81" s="85"/>
      <c r="AO81" s="88">
        <v>2.564E-2</v>
      </c>
    </row>
    <row r="82" spans="1:41" s="24" customFormat="1" ht="94.5" customHeight="1" x14ac:dyDescent="0.25">
      <c r="A82" s="126"/>
      <c r="B82" s="126"/>
      <c r="C82" s="126"/>
      <c r="D82" s="126"/>
      <c r="E82" s="126"/>
      <c r="F82" s="129"/>
      <c r="G82" s="126"/>
      <c r="H82" s="126"/>
      <c r="I82" s="106" t="s">
        <v>386</v>
      </c>
      <c r="J82" s="108" t="s">
        <v>395</v>
      </c>
      <c r="K82" s="33">
        <v>2.5000000000000001E-2</v>
      </c>
      <c r="L82" s="108" t="s">
        <v>396</v>
      </c>
      <c r="M82" s="108" t="s">
        <v>397</v>
      </c>
      <c r="N82" s="14" t="s">
        <v>576</v>
      </c>
      <c r="O82" s="108" t="s">
        <v>397</v>
      </c>
      <c r="P82" s="106" t="s">
        <v>60</v>
      </c>
      <c r="Q82" s="106" t="s">
        <v>28</v>
      </c>
      <c r="R82" s="5" t="s">
        <v>62</v>
      </c>
      <c r="S82" s="108"/>
      <c r="T82" s="108"/>
      <c r="U82" s="104" t="s">
        <v>75</v>
      </c>
      <c r="V82" s="48">
        <v>3</v>
      </c>
      <c r="W82" s="46"/>
      <c r="X82" s="45"/>
      <c r="Y82" s="55"/>
      <c r="Z82" s="55"/>
      <c r="AA82" s="55"/>
      <c r="AB82" s="73"/>
      <c r="AC82" s="73"/>
      <c r="AD82" s="73"/>
      <c r="AE82" s="64"/>
      <c r="AF82" s="64"/>
      <c r="AG82" s="64"/>
      <c r="AH82" s="83">
        <v>3</v>
      </c>
      <c r="AI82" s="84">
        <f>3/3</f>
        <v>1</v>
      </c>
      <c r="AJ82" s="84"/>
      <c r="AK82" s="89"/>
      <c r="AL82" s="85"/>
      <c r="AM82" s="84">
        <v>1</v>
      </c>
      <c r="AN82" s="85"/>
      <c r="AO82" s="88">
        <v>2.564E-2</v>
      </c>
    </row>
    <row r="83" spans="1:41" s="24" customFormat="1" ht="83.25" customHeight="1" x14ac:dyDescent="0.25">
      <c r="A83" s="126"/>
      <c r="B83" s="126"/>
      <c r="C83" s="126"/>
      <c r="D83" s="126"/>
      <c r="E83" s="126"/>
      <c r="F83" s="129"/>
      <c r="G83" s="126"/>
      <c r="H83" s="126"/>
      <c r="I83" s="106" t="s">
        <v>386</v>
      </c>
      <c r="J83" s="108" t="s">
        <v>398</v>
      </c>
      <c r="K83" s="33">
        <v>2.5000000000000001E-2</v>
      </c>
      <c r="L83" s="108" t="s">
        <v>307</v>
      </c>
      <c r="M83" s="108" t="s">
        <v>399</v>
      </c>
      <c r="N83" s="4" t="s">
        <v>583</v>
      </c>
      <c r="O83" s="108" t="s">
        <v>400</v>
      </c>
      <c r="P83" s="106" t="s">
        <v>66</v>
      </c>
      <c r="Q83" s="106" t="s">
        <v>28</v>
      </c>
      <c r="R83" s="5" t="s">
        <v>62</v>
      </c>
      <c r="S83" s="108"/>
      <c r="T83" s="108"/>
      <c r="U83" s="104" t="s">
        <v>68</v>
      </c>
      <c r="V83" s="46"/>
      <c r="W83" s="46"/>
      <c r="X83" s="45">
        <v>1</v>
      </c>
      <c r="Y83" s="55"/>
      <c r="Z83" s="55"/>
      <c r="AA83" s="55">
        <v>1</v>
      </c>
      <c r="AB83" s="73"/>
      <c r="AC83" s="73"/>
      <c r="AD83" s="73">
        <v>1</v>
      </c>
      <c r="AE83" s="64"/>
      <c r="AF83" s="64"/>
      <c r="AG83" s="64">
        <v>1</v>
      </c>
      <c r="AH83" s="105">
        <v>1</v>
      </c>
      <c r="AI83" s="39">
        <f>9/11</f>
        <v>0.81818181818181823</v>
      </c>
      <c r="AJ83" s="81">
        <f>2/2</f>
        <v>1</v>
      </c>
      <c r="AK83" s="105">
        <f>1/1</f>
        <v>1</v>
      </c>
      <c r="AL83" s="110"/>
      <c r="AM83" s="39">
        <f t="shared" si="0"/>
        <v>0.70454545454545459</v>
      </c>
      <c r="AN83" s="110"/>
      <c r="AO83" s="39">
        <v>1.8064545454545455E-2</v>
      </c>
    </row>
    <row r="84" spans="1:41" s="24" customFormat="1" ht="69.75" customHeight="1" x14ac:dyDescent="0.25">
      <c r="A84" s="126"/>
      <c r="B84" s="126"/>
      <c r="C84" s="126"/>
      <c r="D84" s="126"/>
      <c r="E84" s="126"/>
      <c r="F84" s="129"/>
      <c r="G84" s="126"/>
      <c r="H84" s="126"/>
      <c r="I84" s="106" t="s">
        <v>401</v>
      </c>
      <c r="J84" s="101" t="s">
        <v>385</v>
      </c>
      <c r="K84" s="33">
        <v>2.5000000000000001E-2</v>
      </c>
      <c r="L84" s="108" t="s">
        <v>532</v>
      </c>
      <c r="M84" s="108" t="s">
        <v>533</v>
      </c>
      <c r="N84" s="4" t="s">
        <v>583</v>
      </c>
      <c r="O84" s="108" t="s">
        <v>534</v>
      </c>
      <c r="P84" s="106" t="s">
        <v>66</v>
      </c>
      <c r="Q84" s="106" t="s">
        <v>61</v>
      </c>
      <c r="R84" s="5" t="s">
        <v>248</v>
      </c>
      <c r="S84" s="108"/>
      <c r="T84" s="108"/>
      <c r="U84" s="104" t="s">
        <v>68</v>
      </c>
      <c r="V84" s="42"/>
      <c r="W84" s="42"/>
      <c r="X84" s="45">
        <v>1</v>
      </c>
      <c r="Y84" s="52"/>
      <c r="Z84" s="52"/>
      <c r="AA84" s="55">
        <v>1</v>
      </c>
      <c r="AB84" s="73"/>
      <c r="AC84" s="73"/>
      <c r="AD84" s="73">
        <v>1</v>
      </c>
      <c r="AE84" s="64"/>
      <c r="AF84" s="64"/>
      <c r="AG84" s="64">
        <v>1</v>
      </c>
      <c r="AH84" s="105">
        <v>1</v>
      </c>
      <c r="AI84" s="105">
        <v>1</v>
      </c>
      <c r="AJ84" s="105">
        <v>1</v>
      </c>
      <c r="AK84" s="81">
        <v>1</v>
      </c>
      <c r="AL84" s="110"/>
      <c r="AM84" s="81">
        <f t="shared" si="0"/>
        <v>0.75</v>
      </c>
      <c r="AN84" s="110"/>
      <c r="AO84" s="39">
        <v>1.9230000000000001E-2</v>
      </c>
    </row>
    <row r="85" spans="1:41" s="24" customFormat="1" ht="81.75" customHeight="1" x14ac:dyDescent="0.25">
      <c r="A85" s="126"/>
      <c r="B85" s="126"/>
      <c r="C85" s="126"/>
      <c r="D85" s="126"/>
      <c r="E85" s="126"/>
      <c r="F85" s="129"/>
      <c r="G85" s="126"/>
      <c r="H85" s="126"/>
      <c r="I85" s="106" t="s">
        <v>402</v>
      </c>
      <c r="J85" s="101" t="s">
        <v>385</v>
      </c>
      <c r="K85" s="33">
        <v>2.5000000000000001E-2</v>
      </c>
      <c r="L85" s="108" t="s">
        <v>532</v>
      </c>
      <c r="M85" s="108" t="s">
        <v>533</v>
      </c>
      <c r="N85" s="4" t="s">
        <v>583</v>
      </c>
      <c r="O85" s="108" t="s">
        <v>534</v>
      </c>
      <c r="P85" s="106" t="s">
        <v>66</v>
      </c>
      <c r="Q85" s="106" t="s">
        <v>299</v>
      </c>
      <c r="R85" s="5" t="s">
        <v>248</v>
      </c>
      <c r="S85" s="108"/>
      <c r="T85" s="108"/>
      <c r="U85" s="104" t="s">
        <v>68</v>
      </c>
      <c r="V85" s="42"/>
      <c r="W85" s="42"/>
      <c r="X85" s="45">
        <v>1</v>
      </c>
      <c r="Y85" s="52"/>
      <c r="Z85" s="52"/>
      <c r="AA85" s="55">
        <v>1</v>
      </c>
      <c r="AB85" s="73"/>
      <c r="AC85" s="73"/>
      <c r="AD85" s="73">
        <v>1</v>
      </c>
      <c r="AE85" s="64"/>
      <c r="AF85" s="64"/>
      <c r="AG85" s="64">
        <v>1</v>
      </c>
      <c r="AH85" s="105">
        <v>1</v>
      </c>
      <c r="AI85" s="105">
        <v>1</v>
      </c>
      <c r="AJ85" s="105">
        <v>1</v>
      </c>
      <c r="AK85" s="105">
        <f>6/6</f>
        <v>1</v>
      </c>
      <c r="AL85" s="110"/>
      <c r="AM85" s="81">
        <f t="shared" si="0"/>
        <v>0.75</v>
      </c>
      <c r="AN85" s="110"/>
      <c r="AO85" s="39">
        <v>1.9230000000000001E-2</v>
      </c>
    </row>
    <row r="86" spans="1:41" s="24" customFormat="1" ht="51.75" customHeight="1" x14ac:dyDescent="0.25">
      <c r="A86" s="126"/>
      <c r="B86" s="126"/>
      <c r="C86" s="126"/>
      <c r="D86" s="126"/>
      <c r="E86" s="126"/>
      <c r="F86" s="129"/>
      <c r="G86" s="126"/>
      <c r="H86" s="126"/>
      <c r="I86" s="106" t="s">
        <v>402</v>
      </c>
      <c r="J86" s="108" t="s">
        <v>403</v>
      </c>
      <c r="K86" s="33">
        <v>2.5000000000000001E-2</v>
      </c>
      <c r="L86" s="108" t="s">
        <v>404</v>
      </c>
      <c r="M86" s="108" t="s">
        <v>405</v>
      </c>
      <c r="N86" s="14" t="s">
        <v>576</v>
      </c>
      <c r="O86" s="108" t="s">
        <v>406</v>
      </c>
      <c r="P86" s="106" t="s">
        <v>60</v>
      </c>
      <c r="Q86" s="4" t="s">
        <v>299</v>
      </c>
      <c r="R86" s="15" t="s">
        <v>300</v>
      </c>
      <c r="S86" s="96"/>
      <c r="T86" s="96"/>
      <c r="U86" s="104" t="s">
        <v>63</v>
      </c>
      <c r="V86" s="42"/>
      <c r="W86" s="42"/>
      <c r="X86" s="42"/>
      <c r="Y86" s="52"/>
      <c r="Z86" s="52"/>
      <c r="AA86" s="52">
        <v>1</v>
      </c>
      <c r="AB86" s="70"/>
      <c r="AC86" s="70"/>
      <c r="AD86" s="70"/>
      <c r="AE86" s="61"/>
      <c r="AF86" s="61"/>
      <c r="AG86" s="61">
        <v>1</v>
      </c>
      <c r="AH86" s="104">
        <v>2</v>
      </c>
      <c r="AI86" s="104"/>
      <c r="AJ86" s="81">
        <f>1/1</f>
        <v>1</v>
      </c>
      <c r="AK86" s="81"/>
      <c r="AL86" s="110"/>
      <c r="AM86" s="81">
        <f>(AI86+AJ86+AK86+AL86)/2</f>
        <v>0.5</v>
      </c>
      <c r="AN86" s="110"/>
      <c r="AO86" s="39">
        <v>1.282E-2</v>
      </c>
    </row>
    <row r="87" spans="1:41" s="24" customFormat="1" ht="65.25" customHeight="1" x14ac:dyDescent="0.25">
      <c r="A87" s="126"/>
      <c r="B87" s="126"/>
      <c r="C87" s="126"/>
      <c r="D87" s="126"/>
      <c r="E87" s="126"/>
      <c r="F87" s="129"/>
      <c r="G87" s="126"/>
      <c r="H87" s="126"/>
      <c r="I87" s="106" t="s">
        <v>402</v>
      </c>
      <c r="J87" s="108" t="s">
        <v>407</v>
      </c>
      <c r="K87" s="33">
        <v>2.5000000000000001E-2</v>
      </c>
      <c r="L87" s="108" t="s">
        <v>408</v>
      </c>
      <c r="M87" s="108" t="s">
        <v>409</v>
      </c>
      <c r="N87" s="14" t="s">
        <v>576</v>
      </c>
      <c r="O87" s="108" t="s">
        <v>410</v>
      </c>
      <c r="P87" s="106" t="s">
        <v>60</v>
      </c>
      <c r="Q87" s="4" t="s">
        <v>299</v>
      </c>
      <c r="R87" s="15" t="s">
        <v>300</v>
      </c>
      <c r="S87" s="96"/>
      <c r="T87" s="96"/>
      <c r="U87" s="104" t="s">
        <v>75</v>
      </c>
      <c r="V87" s="42"/>
      <c r="W87" s="42"/>
      <c r="X87" s="42"/>
      <c r="Y87" s="52"/>
      <c r="Z87" s="52"/>
      <c r="AA87" s="52"/>
      <c r="AB87" s="70"/>
      <c r="AC87" s="70"/>
      <c r="AD87" s="70">
        <v>1</v>
      </c>
      <c r="AE87" s="61"/>
      <c r="AF87" s="61"/>
      <c r="AG87" s="61"/>
      <c r="AH87" s="83">
        <v>1</v>
      </c>
      <c r="AI87" s="83"/>
      <c r="AJ87" s="83"/>
      <c r="AK87" s="84">
        <f>1/1</f>
        <v>1</v>
      </c>
      <c r="AL87" s="85"/>
      <c r="AM87" s="89">
        <f>AK87</f>
        <v>1</v>
      </c>
      <c r="AN87" s="85"/>
      <c r="AO87" s="88">
        <v>2.564E-2</v>
      </c>
    </row>
    <row r="88" spans="1:41" s="24" customFormat="1" ht="120.75" customHeight="1" x14ac:dyDescent="0.25">
      <c r="A88" s="126"/>
      <c r="B88" s="126"/>
      <c r="C88" s="126"/>
      <c r="D88" s="126"/>
      <c r="E88" s="126"/>
      <c r="F88" s="129"/>
      <c r="G88" s="126"/>
      <c r="H88" s="126"/>
      <c r="I88" s="106" t="s">
        <v>402</v>
      </c>
      <c r="J88" s="108" t="s">
        <v>411</v>
      </c>
      <c r="K88" s="33">
        <v>2.5000000000000001E-2</v>
      </c>
      <c r="L88" s="108" t="s">
        <v>412</v>
      </c>
      <c r="M88" s="108" t="s">
        <v>413</v>
      </c>
      <c r="N88" s="14" t="s">
        <v>576</v>
      </c>
      <c r="O88" s="108" t="s">
        <v>414</v>
      </c>
      <c r="P88" s="106" t="s">
        <v>60</v>
      </c>
      <c r="Q88" s="4" t="s">
        <v>299</v>
      </c>
      <c r="R88" s="15" t="s">
        <v>300</v>
      </c>
      <c r="S88" s="96"/>
      <c r="T88" s="96"/>
      <c r="U88" s="104" t="s">
        <v>75</v>
      </c>
      <c r="V88" s="42"/>
      <c r="W88" s="42"/>
      <c r="X88" s="42"/>
      <c r="Y88" s="52"/>
      <c r="Z88" s="52"/>
      <c r="AA88" s="52"/>
      <c r="AB88" s="70"/>
      <c r="AC88" s="70"/>
      <c r="AD88" s="70"/>
      <c r="AE88" s="61">
        <v>1</v>
      </c>
      <c r="AF88" s="61"/>
      <c r="AG88" s="61"/>
      <c r="AH88" s="104">
        <v>1</v>
      </c>
      <c r="AI88" s="104"/>
      <c r="AJ88" s="104"/>
      <c r="AK88" s="81"/>
      <c r="AL88" s="110"/>
      <c r="AM88" s="81">
        <f>AL88</f>
        <v>0</v>
      </c>
      <c r="AN88" s="110"/>
      <c r="AO88" s="39"/>
    </row>
    <row r="89" spans="1:41" s="24" customFormat="1" ht="126" customHeight="1" x14ac:dyDescent="0.25">
      <c r="A89" s="126"/>
      <c r="B89" s="126"/>
      <c r="C89" s="126"/>
      <c r="D89" s="126"/>
      <c r="E89" s="126"/>
      <c r="F89" s="129"/>
      <c r="G89" s="126"/>
      <c r="H89" s="126"/>
      <c r="I89" s="106" t="s">
        <v>402</v>
      </c>
      <c r="J89" s="108" t="s">
        <v>415</v>
      </c>
      <c r="K89" s="33">
        <v>2.5000000000000001E-2</v>
      </c>
      <c r="L89" s="108" t="s">
        <v>416</v>
      </c>
      <c r="M89" s="108" t="s">
        <v>417</v>
      </c>
      <c r="N89" s="14" t="s">
        <v>576</v>
      </c>
      <c r="O89" s="108" t="s">
        <v>418</v>
      </c>
      <c r="P89" s="106" t="s">
        <v>60</v>
      </c>
      <c r="Q89" s="4" t="s">
        <v>299</v>
      </c>
      <c r="R89" s="15" t="s">
        <v>300</v>
      </c>
      <c r="S89" s="96"/>
      <c r="T89" s="96"/>
      <c r="U89" s="104" t="s">
        <v>75</v>
      </c>
      <c r="V89" s="42">
        <v>6</v>
      </c>
      <c r="W89" s="42"/>
      <c r="X89" s="42"/>
      <c r="Y89" s="52"/>
      <c r="Z89" s="52"/>
      <c r="AA89" s="52"/>
      <c r="AB89" s="70"/>
      <c r="AC89" s="70"/>
      <c r="AD89" s="70"/>
      <c r="AE89" s="61"/>
      <c r="AF89" s="61"/>
      <c r="AG89" s="61"/>
      <c r="AH89" s="83">
        <v>6</v>
      </c>
      <c r="AI89" s="84">
        <f>6/6</f>
        <v>1</v>
      </c>
      <c r="AJ89" s="84"/>
      <c r="AK89" s="84"/>
      <c r="AL89" s="85"/>
      <c r="AM89" s="84">
        <f>AI89</f>
        <v>1</v>
      </c>
      <c r="AN89" s="85"/>
      <c r="AO89" s="88">
        <v>2.564E-2</v>
      </c>
    </row>
    <row r="90" spans="1:41" s="24" customFormat="1" ht="97.5" customHeight="1" x14ac:dyDescent="0.25">
      <c r="A90" s="126"/>
      <c r="B90" s="126"/>
      <c r="C90" s="126"/>
      <c r="D90" s="126"/>
      <c r="E90" s="126"/>
      <c r="F90" s="129"/>
      <c r="G90" s="126"/>
      <c r="H90" s="126"/>
      <c r="I90" s="106" t="s">
        <v>419</v>
      </c>
      <c r="J90" s="101" t="s">
        <v>385</v>
      </c>
      <c r="K90" s="33">
        <v>2.5000000000000001E-2</v>
      </c>
      <c r="L90" s="108" t="s">
        <v>532</v>
      </c>
      <c r="M90" s="108" t="s">
        <v>533</v>
      </c>
      <c r="N90" s="4" t="s">
        <v>583</v>
      </c>
      <c r="O90" s="108" t="s">
        <v>534</v>
      </c>
      <c r="P90" s="106" t="s">
        <v>66</v>
      </c>
      <c r="Q90" s="106" t="s">
        <v>106</v>
      </c>
      <c r="R90" s="5" t="s">
        <v>248</v>
      </c>
      <c r="S90" s="108"/>
      <c r="T90" s="108"/>
      <c r="U90" s="104" t="s">
        <v>68</v>
      </c>
      <c r="V90" s="42"/>
      <c r="W90" s="42"/>
      <c r="X90" s="45">
        <v>1</v>
      </c>
      <c r="Y90" s="52"/>
      <c r="Z90" s="52"/>
      <c r="AA90" s="55">
        <v>1</v>
      </c>
      <c r="AB90" s="73"/>
      <c r="AC90" s="73"/>
      <c r="AD90" s="73">
        <v>1</v>
      </c>
      <c r="AE90" s="64"/>
      <c r="AF90" s="64"/>
      <c r="AG90" s="64">
        <v>1</v>
      </c>
      <c r="AH90" s="105">
        <v>1</v>
      </c>
      <c r="AI90" s="105">
        <v>1</v>
      </c>
      <c r="AJ90" s="105">
        <v>1</v>
      </c>
      <c r="AK90" s="105">
        <v>1</v>
      </c>
      <c r="AL90" s="110"/>
      <c r="AM90" s="81">
        <f t="shared" si="0"/>
        <v>0.75</v>
      </c>
      <c r="AN90" s="110"/>
      <c r="AO90" s="39">
        <v>1.9230000000000001E-2</v>
      </c>
    </row>
    <row r="91" spans="1:41" s="24" customFormat="1" ht="78" customHeight="1" x14ac:dyDescent="0.25">
      <c r="A91" s="126"/>
      <c r="B91" s="126"/>
      <c r="C91" s="126"/>
      <c r="D91" s="126"/>
      <c r="E91" s="126"/>
      <c r="F91" s="129"/>
      <c r="G91" s="126"/>
      <c r="H91" s="126"/>
      <c r="I91" s="106" t="s">
        <v>419</v>
      </c>
      <c r="J91" s="108" t="s">
        <v>420</v>
      </c>
      <c r="K91" s="33">
        <v>2.5000000000000001E-2</v>
      </c>
      <c r="L91" s="108" t="s">
        <v>421</v>
      </c>
      <c r="M91" s="108" t="s">
        <v>422</v>
      </c>
      <c r="N91" s="4" t="s">
        <v>583</v>
      </c>
      <c r="O91" s="108" t="s">
        <v>423</v>
      </c>
      <c r="P91" s="106" t="s">
        <v>66</v>
      </c>
      <c r="Q91" s="4" t="s">
        <v>106</v>
      </c>
      <c r="R91" s="5" t="s">
        <v>226</v>
      </c>
      <c r="S91" s="108"/>
      <c r="T91" s="108"/>
      <c r="U91" s="104" t="s">
        <v>75</v>
      </c>
      <c r="V91" s="44">
        <v>1</v>
      </c>
      <c r="W91" s="42"/>
      <c r="X91" s="42"/>
      <c r="Y91" s="52"/>
      <c r="Z91" s="52"/>
      <c r="AA91" s="52"/>
      <c r="AB91" s="70"/>
      <c r="AC91" s="70"/>
      <c r="AD91" s="70"/>
      <c r="AE91" s="61"/>
      <c r="AF91" s="61"/>
      <c r="AG91" s="61"/>
      <c r="AH91" s="25">
        <v>1</v>
      </c>
      <c r="AI91" s="39">
        <f>16/17</f>
        <v>0.94117647058823528</v>
      </c>
      <c r="AJ91" s="104"/>
      <c r="AK91" s="105"/>
      <c r="AL91" s="110"/>
      <c r="AM91" s="39">
        <f>AI91</f>
        <v>0.94117647058823528</v>
      </c>
      <c r="AN91" s="110"/>
      <c r="AO91" s="39">
        <v>2.4131764705882353E-2</v>
      </c>
    </row>
    <row r="92" spans="1:41" s="24" customFormat="1" ht="55.5" customHeight="1" x14ac:dyDescent="0.25">
      <c r="A92" s="126"/>
      <c r="B92" s="126"/>
      <c r="C92" s="126"/>
      <c r="D92" s="126"/>
      <c r="E92" s="126"/>
      <c r="F92" s="129"/>
      <c r="G92" s="126"/>
      <c r="H92" s="126"/>
      <c r="I92" s="106" t="s">
        <v>419</v>
      </c>
      <c r="J92" s="108" t="s">
        <v>424</v>
      </c>
      <c r="K92" s="33">
        <v>2.5000000000000001E-2</v>
      </c>
      <c r="L92" s="108" t="s">
        <v>425</v>
      </c>
      <c r="M92" s="108" t="s">
        <v>426</v>
      </c>
      <c r="N92" s="14" t="s">
        <v>576</v>
      </c>
      <c r="O92" s="108" t="s">
        <v>426</v>
      </c>
      <c r="P92" s="106" t="s">
        <v>60</v>
      </c>
      <c r="Q92" s="4" t="s">
        <v>106</v>
      </c>
      <c r="R92" s="5" t="s">
        <v>226</v>
      </c>
      <c r="S92" s="108"/>
      <c r="T92" s="108"/>
      <c r="U92" s="104" t="s">
        <v>75</v>
      </c>
      <c r="V92" s="42"/>
      <c r="W92" s="42"/>
      <c r="X92" s="42"/>
      <c r="Y92" s="52"/>
      <c r="Z92" s="52"/>
      <c r="AA92" s="52">
        <v>1</v>
      </c>
      <c r="AB92" s="70"/>
      <c r="AC92" s="70"/>
      <c r="AD92" s="70"/>
      <c r="AE92" s="61"/>
      <c r="AF92" s="61"/>
      <c r="AG92" s="61"/>
      <c r="AH92" s="83">
        <v>1</v>
      </c>
      <c r="AI92" s="84"/>
      <c r="AJ92" s="84">
        <f>1/1</f>
        <v>1</v>
      </c>
      <c r="AK92" s="89"/>
      <c r="AL92" s="85"/>
      <c r="AM92" s="84">
        <f>AJ92</f>
        <v>1</v>
      </c>
      <c r="AN92" s="85"/>
      <c r="AO92" s="88">
        <v>2.564E-2</v>
      </c>
    </row>
    <row r="93" spans="1:41" s="24" customFormat="1" ht="85.5" customHeight="1" x14ac:dyDescent="0.25">
      <c r="A93" s="126"/>
      <c r="B93" s="126"/>
      <c r="C93" s="126"/>
      <c r="D93" s="126"/>
      <c r="E93" s="126"/>
      <c r="F93" s="129"/>
      <c r="G93" s="126"/>
      <c r="H93" s="126"/>
      <c r="I93" s="106" t="s">
        <v>427</v>
      </c>
      <c r="J93" s="101" t="s">
        <v>385</v>
      </c>
      <c r="K93" s="33">
        <v>2.5000000000000001E-2</v>
      </c>
      <c r="L93" s="108" t="s">
        <v>532</v>
      </c>
      <c r="M93" s="108" t="s">
        <v>533</v>
      </c>
      <c r="N93" s="4" t="s">
        <v>583</v>
      </c>
      <c r="O93" s="108" t="s">
        <v>534</v>
      </c>
      <c r="P93" s="106" t="s">
        <v>66</v>
      </c>
      <c r="Q93" s="106" t="s">
        <v>74</v>
      </c>
      <c r="R93" s="5" t="s">
        <v>248</v>
      </c>
      <c r="S93" s="108"/>
      <c r="T93" s="108"/>
      <c r="U93" s="104" t="s">
        <v>68</v>
      </c>
      <c r="V93" s="42"/>
      <c r="W93" s="42"/>
      <c r="X93" s="45">
        <v>1</v>
      </c>
      <c r="Y93" s="52"/>
      <c r="Z93" s="52"/>
      <c r="AA93" s="55">
        <v>1</v>
      </c>
      <c r="AB93" s="73"/>
      <c r="AC93" s="73"/>
      <c r="AD93" s="73">
        <v>1</v>
      </c>
      <c r="AE93" s="64"/>
      <c r="AF93" s="64"/>
      <c r="AG93" s="64">
        <v>1</v>
      </c>
      <c r="AH93" s="105">
        <v>1</v>
      </c>
      <c r="AI93" s="105">
        <v>1</v>
      </c>
      <c r="AJ93" s="105">
        <f>3/3</f>
        <v>1</v>
      </c>
      <c r="AK93" s="105">
        <f>4/4</f>
        <v>1</v>
      </c>
      <c r="AL93" s="110"/>
      <c r="AM93" s="81">
        <f t="shared" si="0"/>
        <v>0.75</v>
      </c>
      <c r="AN93" s="110"/>
      <c r="AO93" s="39">
        <v>1.9230000000000001E-2</v>
      </c>
    </row>
    <row r="94" spans="1:41" s="24" customFormat="1" ht="69" customHeight="1" x14ac:dyDescent="0.25">
      <c r="A94" s="126"/>
      <c r="B94" s="126"/>
      <c r="C94" s="126"/>
      <c r="D94" s="126"/>
      <c r="E94" s="126"/>
      <c r="F94" s="129"/>
      <c r="G94" s="126"/>
      <c r="H94" s="126"/>
      <c r="I94" s="106" t="s">
        <v>428</v>
      </c>
      <c r="J94" s="101" t="s">
        <v>385</v>
      </c>
      <c r="K94" s="33">
        <v>2.5000000000000001E-2</v>
      </c>
      <c r="L94" s="108" t="s">
        <v>532</v>
      </c>
      <c r="M94" s="108" t="s">
        <v>533</v>
      </c>
      <c r="N94" s="4" t="s">
        <v>583</v>
      </c>
      <c r="O94" s="108" t="s">
        <v>534</v>
      </c>
      <c r="P94" s="106" t="s">
        <v>66</v>
      </c>
      <c r="Q94" s="106" t="s">
        <v>81</v>
      </c>
      <c r="R94" s="5" t="s">
        <v>248</v>
      </c>
      <c r="S94" s="108"/>
      <c r="T94" s="108"/>
      <c r="U94" s="104" t="s">
        <v>68</v>
      </c>
      <c r="V94" s="42"/>
      <c r="W94" s="42"/>
      <c r="X94" s="45">
        <v>1</v>
      </c>
      <c r="Y94" s="52"/>
      <c r="Z94" s="52"/>
      <c r="AA94" s="55">
        <v>1</v>
      </c>
      <c r="AB94" s="73"/>
      <c r="AC94" s="73"/>
      <c r="AD94" s="73">
        <v>1</v>
      </c>
      <c r="AE94" s="64"/>
      <c r="AF94" s="64"/>
      <c r="AG94" s="64">
        <v>1</v>
      </c>
      <c r="AH94" s="105">
        <v>1</v>
      </c>
      <c r="AI94" s="105">
        <v>1</v>
      </c>
      <c r="AJ94" s="105">
        <v>1</v>
      </c>
      <c r="AK94" s="81">
        <v>1</v>
      </c>
      <c r="AL94" s="110"/>
      <c r="AM94" s="81">
        <f t="shared" si="0"/>
        <v>0.75</v>
      </c>
      <c r="AN94" s="110"/>
      <c r="AO94" s="39">
        <v>1.9230000000000001E-2</v>
      </c>
    </row>
    <row r="95" spans="1:41" s="24" customFormat="1" ht="75.75" customHeight="1" x14ac:dyDescent="0.25">
      <c r="A95" s="126"/>
      <c r="B95" s="126"/>
      <c r="C95" s="126"/>
      <c r="D95" s="126"/>
      <c r="E95" s="126"/>
      <c r="F95" s="129"/>
      <c r="G95" s="126"/>
      <c r="H95" s="126"/>
      <c r="I95" s="106" t="s">
        <v>429</v>
      </c>
      <c r="J95" s="101" t="s">
        <v>385</v>
      </c>
      <c r="K95" s="33">
        <v>2.5000000000000001E-2</v>
      </c>
      <c r="L95" s="108" t="s">
        <v>532</v>
      </c>
      <c r="M95" s="108" t="s">
        <v>533</v>
      </c>
      <c r="N95" s="4" t="s">
        <v>583</v>
      </c>
      <c r="O95" s="108" t="s">
        <v>534</v>
      </c>
      <c r="P95" s="106" t="s">
        <v>66</v>
      </c>
      <c r="Q95" s="106" t="s">
        <v>92</v>
      </c>
      <c r="R95" s="5" t="s">
        <v>248</v>
      </c>
      <c r="S95" s="108"/>
      <c r="T95" s="108"/>
      <c r="U95" s="104" t="s">
        <v>68</v>
      </c>
      <c r="V95" s="42"/>
      <c r="W95" s="42"/>
      <c r="X95" s="45">
        <v>1</v>
      </c>
      <c r="Y95" s="52"/>
      <c r="Z95" s="52"/>
      <c r="AA95" s="55">
        <v>1</v>
      </c>
      <c r="AB95" s="73"/>
      <c r="AC95" s="73"/>
      <c r="AD95" s="73">
        <v>1</v>
      </c>
      <c r="AE95" s="64"/>
      <c r="AF95" s="64"/>
      <c r="AG95" s="64">
        <v>1</v>
      </c>
      <c r="AH95" s="105">
        <v>1</v>
      </c>
      <c r="AI95" s="105">
        <v>1</v>
      </c>
      <c r="AJ95" s="81">
        <f>1/1</f>
        <v>1</v>
      </c>
      <c r="AK95" s="105">
        <v>1</v>
      </c>
      <c r="AL95" s="110"/>
      <c r="AM95" s="81">
        <f t="shared" si="0"/>
        <v>0.75</v>
      </c>
      <c r="AN95" s="110"/>
      <c r="AO95" s="39">
        <v>1.9230000000000001E-2</v>
      </c>
    </row>
    <row r="96" spans="1:41" s="24" customFormat="1" ht="85.5" customHeight="1" x14ac:dyDescent="0.25">
      <c r="A96" s="126"/>
      <c r="B96" s="126"/>
      <c r="C96" s="126"/>
      <c r="D96" s="126"/>
      <c r="E96" s="126"/>
      <c r="F96" s="129"/>
      <c r="G96" s="126"/>
      <c r="H96" s="126"/>
      <c r="I96" s="106" t="s">
        <v>430</v>
      </c>
      <c r="J96" s="101" t="s">
        <v>385</v>
      </c>
      <c r="K96" s="33">
        <v>2.5000000000000001E-2</v>
      </c>
      <c r="L96" s="108" t="s">
        <v>532</v>
      </c>
      <c r="M96" s="108" t="s">
        <v>533</v>
      </c>
      <c r="N96" s="4" t="s">
        <v>583</v>
      </c>
      <c r="O96" s="108" t="s">
        <v>534</v>
      </c>
      <c r="P96" s="106" t="s">
        <v>66</v>
      </c>
      <c r="Q96" s="106" t="s">
        <v>370</v>
      </c>
      <c r="R96" s="5" t="s">
        <v>248</v>
      </c>
      <c r="S96" s="108"/>
      <c r="T96" s="108"/>
      <c r="U96" s="104" t="s">
        <v>68</v>
      </c>
      <c r="V96" s="42"/>
      <c r="W96" s="42"/>
      <c r="X96" s="45">
        <v>1</v>
      </c>
      <c r="Y96" s="52"/>
      <c r="Z96" s="52"/>
      <c r="AA96" s="55">
        <v>1</v>
      </c>
      <c r="AB96" s="73"/>
      <c r="AC96" s="73"/>
      <c r="AD96" s="73">
        <v>1</v>
      </c>
      <c r="AE96" s="64"/>
      <c r="AF96" s="64"/>
      <c r="AG96" s="64">
        <v>1</v>
      </c>
      <c r="AH96" s="105">
        <v>1</v>
      </c>
      <c r="AI96" s="105">
        <v>1</v>
      </c>
      <c r="AJ96" s="81">
        <f>1/1</f>
        <v>1</v>
      </c>
      <c r="AK96" s="81">
        <v>1</v>
      </c>
      <c r="AL96" s="110"/>
      <c r="AM96" s="81">
        <f t="shared" si="0"/>
        <v>0.75</v>
      </c>
      <c r="AN96" s="110"/>
      <c r="AO96" s="39">
        <v>1.9230000000000001E-2</v>
      </c>
    </row>
    <row r="97" spans="1:41" s="24" customFormat="1" ht="80.25" customHeight="1" x14ac:dyDescent="0.25">
      <c r="A97" s="126"/>
      <c r="B97" s="126"/>
      <c r="C97" s="126"/>
      <c r="D97" s="126"/>
      <c r="E97" s="126"/>
      <c r="F97" s="129"/>
      <c r="G97" s="126"/>
      <c r="H97" s="126"/>
      <c r="I97" s="106" t="s">
        <v>431</v>
      </c>
      <c r="J97" s="101" t="s">
        <v>385</v>
      </c>
      <c r="K97" s="33">
        <v>2.5000000000000001E-2</v>
      </c>
      <c r="L97" s="108" t="s">
        <v>532</v>
      </c>
      <c r="M97" s="108" t="s">
        <v>533</v>
      </c>
      <c r="N97" s="4" t="s">
        <v>583</v>
      </c>
      <c r="O97" s="108" t="s">
        <v>534</v>
      </c>
      <c r="P97" s="106" t="s">
        <v>66</v>
      </c>
      <c r="Q97" s="106" t="s">
        <v>225</v>
      </c>
      <c r="R97" s="5" t="s">
        <v>248</v>
      </c>
      <c r="S97" s="108"/>
      <c r="T97" s="108"/>
      <c r="U97" s="104" t="s">
        <v>68</v>
      </c>
      <c r="V97" s="42"/>
      <c r="W97" s="42"/>
      <c r="X97" s="45">
        <v>1</v>
      </c>
      <c r="Y97" s="52"/>
      <c r="Z97" s="52"/>
      <c r="AA97" s="55">
        <v>1</v>
      </c>
      <c r="AB97" s="73"/>
      <c r="AC97" s="73"/>
      <c r="AD97" s="73">
        <v>1</v>
      </c>
      <c r="AE97" s="64"/>
      <c r="AF97" s="64"/>
      <c r="AG97" s="64">
        <v>1</v>
      </c>
      <c r="AH97" s="105">
        <v>1</v>
      </c>
      <c r="AI97" s="105">
        <v>1</v>
      </c>
      <c r="AJ97" s="105">
        <v>1</v>
      </c>
      <c r="AK97" s="105">
        <f>1/1</f>
        <v>1</v>
      </c>
      <c r="AL97" s="110"/>
      <c r="AM97" s="81">
        <f t="shared" si="0"/>
        <v>0.75</v>
      </c>
      <c r="AN97" s="110"/>
      <c r="AO97" s="39">
        <v>1.9230000000000001E-2</v>
      </c>
    </row>
    <row r="98" spans="1:41" s="24" customFormat="1" ht="46.5" x14ac:dyDescent="0.25">
      <c r="A98" s="126"/>
      <c r="B98" s="126"/>
      <c r="C98" s="126"/>
      <c r="D98" s="126"/>
      <c r="E98" s="126"/>
      <c r="F98" s="129"/>
      <c r="G98" s="126"/>
      <c r="H98" s="126"/>
      <c r="I98" s="106" t="s">
        <v>431</v>
      </c>
      <c r="J98" s="108" t="s">
        <v>432</v>
      </c>
      <c r="K98" s="33">
        <v>2.5000000000000001E-2</v>
      </c>
      <c r="L98" s="108" t="s">
        <v>433</v>
      </c>
      <c r="M98" s="108" t="s">
        <v>434</v>
      </c>
      <c r="N98" s="14" t="s">
        <v>576</v>
      </c>
      <c r="O98" s="108" t="s">
        <v>435</v>
      </c>
      <c r="P98" s="106" t="s">
        <v>60</v>
      </c>
      <c r="Q98" s="4" t="s">
        <v>225</v>
      </c>
      <c r="R98" s="15" t="s">
        <v>226</v>
      </c>
      <c r="S98" s="96"/>
      <c r="T98" s="96"/>
      <c r="U98" s="104" t="s">
        <v>75</v>
      </c>
      <c r="V98" s="42"/>
      <c r="W98" s="42"/>
      <c r="X98" s="42"/>
      <c r="Y98" s="52"/>
      <c r="Z98" s="52"/>
      <c r="AA98" s="52"/>
      <c r="AB98" s="70"/>
      <c r="AC98" s="70"/>
      <c r="AD98" s="70">
        <v>1</v>
      </c>
      <c r="AE98" s="61"/>
      <c r="AF98" s="61"/>
      <c r="AG98" s="61"/>
      <c r="AH98" s="83">
        <v>1</v>
      </c>
      <c r="AI98" s="83"/>
      <c r="AJ98" s="83"/>
      <c r="AK98" s="89">
        <f>1/1</f>
        <v>1</v>
      </c>
      <c r="AL98" s="85"/>
      <c r="AM98" s="89">
        <f>100%</f>
        <v>1</v>
      </c>
      <c r="AN98" s="85"/>
      <c r="AO98" s="88">
        <v>2.564E-2</v>
      </c>
    </row>
    <row r="99" spans="1:41" s="24" customFormat="1" ht="66.75" customHeight="1" x14ac:dyDescent="0.25">
      <c r="A99" s="126"/>
      <c r="B99" s="126"/>
      <c r="C99" s="126"/>
      <c r="D99" s="126"/>
      <c r="E99" s="126"/>
      <c r="F99" s="129"/>
      <c r="G99" s="126"/>
      <c r="H99" s="126"/>
      <c r="I99" s="106" t="s">
        <v>431</v>
      </c>
      <c r="J99" s="108" t="s">
        <v>436</v>
      </c>
      <c r="K99" s="33">
        <v>2.5000000000000001E-2</v>
      </c>
      <c r="L99" s="108" t="s">
        <v>437</v>
      </c>
      <c r="M99" s="108" t="s">
        <v>438</v>
      </c>
      <c r="N99" s="14" t="s">
        <v>576</v>
      </c>
      <c r="O99" s="108" t="s">
        <v>438</v>
      </c>
      <c r="P99" s="106" t="s">
        <v>60</v>
      </c>
      <c r="Q99" s="4" t="s">
        <v>225</v>
      </c>
      <c r="R99" s="15" t="s">
        <v>226</v>
      </c>
      <c r="S99" s="96"/>
      <c r="T99" s="96"/>
      <c r="U99" s="104" t="s">
        <v>75</v>
      </c>
      <c r="V99" s="42"/>
      <c r="W99" s="42"/>
      <c r="X99" s="42"/>
      <c r="Y99" s="52"/>
      <c r="Z99" s="52"/>
      <c r="AA99" s="52"/>
      <c r="AB99" s="70"/>
      <c r="AC99" s="70"/>
      <c r="AD99" s="70"/>
      <c r="AE99" s="61">
        <v>1</v>
      </c>
      <c r="AF99" s="61"/>
      <c r="AG99" s="61"/>
      <c r="AH99" s="104">
        <v>1</v>
      </c>
      <c r="AI99" s="104"/>
      <c r="AJ99" s="104"/>
      <c r="AK99" s="105"/>
      <c r="AL99" s="110"/>
      <c r="AM99" s="81">
        <f>AL99</f>
        <v>0</v>
      </c>
      <c r="AN99" s="110"/>
      <c r="AO99" s="39"/>
    </row>
    <row r="100" spans="1:41" s="24" customFormat="1" ht="118.5" customHeight="1" x14ac:dyDescent="0.25">
      <c r="A100" s="126"/>
      <c r="B100" s="126"/>
      <c r="C100" s="126"/>
      <c r="D100" s="126"/>
      <c r="E100" s="126"/>
      <c r="F100" s="129"/>
      <c r="G100" s="126"/>
      <c r="H100" s="126"/>
      <c r="I100" s="106" t="s">
        <v>431</v>
      </c>
      <c r="J100" s="108" t="s">
        <v>439</v>
      </c>
      <c r="K100" s="33">
        <v>2.5000000000000001E-2</v>
      </c>
      <c r="L100" s="108" t="s">
        <v>440</v>
      </c>
      <c r="M100" s="108" t="s">
        <v>441</v>
      </c>
      <c r="N100" s="4" t="s">
        <v>583</v>
      </c>
      <c r="O100" s="108" t="s">
        <v>442</v>
      </c>
      <c r="P100" s="106" t="s">
        <v>66</v>
      </c>
      <c r="Q100" s="4" t="s">
        <v>225</v>
      </c>
      <c r="R100" s="15" t="s">
        <v>226</v>
      </c>
      <c r="S100" s="96"/>
      <c r="T100" s="96"/>
      <c r="U100" s="104" t="s">
        <v>266</v>
      </c>
      <c r="V100" s="42"/>
      <c r="W100" s="42"/>
      <c r="X100" s="42"/>
      <c r="Y100" s="55">
        <v>1</v>
      </c>
      <c r="Z100" s="52"/>
      <c r="AA100" s="52"/>
      <c r="AB100" s="70"/>
      <c r="AC100" s="73">
        <v>1</v>
      </c>
      <c r="AD100" s="70"/>
      <c r="AE100" s="61"/>
      <c r="AF100" s="61"/>
      <c r="AG100" s="64">
        <v>1</v>
      </c>
      <c r="AH100" s="105">
        <v>1</v>
      </c>
      <c r="AI100" s="104"/>
      <c r="AJ100" s="81">
        <f>1/1</f>
        <v>1</v>
      </c>
      <c r="AK100" s="81">
        <f>1/1</f>
        <v>1</v>
      </c>
      <c r="AL100" s="110"/>
      <c r="AM100" s="39">
        <f>(AI100+AJ100+AK100+AL100)/3</f>
        <v>0.66666666666666663</v>
      </c>
      <c r="AN100" s="110"/>
      <c r="AO100" s="39">
        <v>1.7093333333333332E-2</v>
      </c>
    </row>
    <row r="101" spans="1:41" s="24" customFormat="1" ht="64.5" customHeight="1" x14ac:dyDescent="0.25">
      <c r="A101" s="126"/>
      <c r="B101" s="126"/>
      <c r="C101" s="126"/>
      <c r="D101" s="126"/>
      <c r="E101" s="126"/>
      <c r="F101" s="129"/>
      <c r="G101" s="126"/>
      <c r="H101" s="126"/>
      <c r="I101" s="106" t="s">
        <v>431</v>
      </c>
      <c r="J101" s="108" t="s">
        <v>443</v>
      </c>
      <c r="K101" s="33">
        <v>2.5000000000000001E-2</v>
      </c>
      <c r="L101" s="108" t="s">
        <v>444</v>
      </c>
      <c r="M101" s="108" t="s">
        <v>445</v>
      </c>
      <c r="N101" s="14" t="s">
        <v>576</v>
      </c>
      <c r="O101" s="108" t="s">
        <v>445</v>
      </c>
      <c r="P101" s="106" t="s">
        <v>60</v>
      </c>
      <c r="Q101" s="4" t="s">
        <v>225</v>
      </c>
      <c r="R101" s="15" t="s">
        <v>226</v>
      </c>
      <c r="S101" s="96"/>
      <c r="T101" s="96"/>
      <c r="U101" s="104" t="s">
        <v>82</v>
      </c>
      <c r="V101" s="42">
        <v>1</v>
      </c>
      <c r="W101" s="42">
        <v>1</v>
      </c>
      <c r="X101" s="42">
        <v>1</v>
      </c>
      <c r="Y101" s="52">
        <v>1</v>
      </c>
      <c r="Z101" s="52">
        <v>1</v>
      </c>
      <c r="AA101" s="52">
        <v>1</v>
      </c>
      <c r="AB101" s="70">
        <v>1</v>
      </c>
      <c r="AC101" s="70">
        <v>1</v>
      </c>
      <c r="AD101" s="70">
        <v>1</v>
      </c>
      <c r="AE101" s="61">
        <v>1</v>
      </c>
      <c r="AF101" s="61">
        <v>1</v>
      </c>
      <c r="AG101" s="61">
        <v>1</v>
      </c>
      <c r="AH101" s="104">
        <v>12</v>
      </c>
      <c r="AI101" s="81">
        <f>3/3</f>
        <v>1</v>
      </c>
      <c r="AJ101" s="81">
        <f>3/3</f>
        <v>1</v>
      </c>
      <c r="AK101" s="105">
        <f>3/3</f>
        <v>1</v>
      </c>
      <c r="AL101" s="110"/>
      <c r="AM101" s="81">
        <f t="shared" si="0"/>
        <v>0.75</v>
      </c>
      <c r="AN101" s="110"/>
      <c r="AO101" s="39">
        <v>1.9230000000000001E-2</v>
      </c>
    </row>
    <row r="102" spans="1:41" s="24" customFormat="1" ht="89.25" customHeight="1" x14ac:dyDescent="0.25">
      <c r="A102" s="126"/>
      <c r="B102" s="126"/>
      <c r="C102" s="126"/>
      <c r="D102" s="126"/>
      <c r="E102" s="126"/>
      <c r="F102" s="129"/>
      <c r="G102" s="126"/>
      <c r="H102" s="126"/>
      <c r="I102" s="106" t="s">
        <v>431</v>
      </c>
      <c r="J102" s="108" t="s">
        <v>446</v>
      </c>
      <c r="K102" s="33">
        <v>2.5000000000000001E-2</v>
      </c>
      <c r="L102" s="108" t="s">
        <v>447</v>
      </c>
      <c r="M102" s="108" t="s">
        <v>448</v>
      </c>
      <c r="N102" s="14" t="s">
        <v>576</v>
      </c>
      <c r="O102" s="108" t="s">
        <v>449</v>
      </c>
      <c r="P102" s="106" t="s">
        <v>60</v>
      </c>
      <c r="Q102" s="4" t="s">
        <v>225</v>
      </c>
      <c r="R102" s="15" t="s">
        <v>226</v>
      </c>
      <c r="S102" s="96"/>
      <c r="T102" s="96"/>
      <c r="U102" s="104" t="s">
        <v>75</v>
      </c>
      <c r="V102" s="42"/>
      <c r="W102" s="42"/>
      <c r="X102" s="42"/>
      <c r="Y102" s="52"/>
      <c r="Z102" s="52"/>
      <c r="AA102" s="52"/>
      <c r="AB102" s="70"/>
      <c r="AC102" s="70"/>
      <c r="AD102" s="70"/>
      <c r="AE102" s="61"/>
      <c r="AF102" s="61"/>
      <c r="AG102" s="61">
        <v>1</v>
      </c>
      <c r="AH102" s="104">
        <v>1</v>
      </c>
      <c r="AI102" s="104"/>
      <c r="AJ102" s="104"/>
      <c r="AK102" s="81"/>
      <c r="AL102" s="110"/>
      <c r="AM102" s="81">
        <f>AL102</f>
        <v>0</v>
      </c>
      <c r="AN102" s="110"/>
      <c r="AO102" s="39"/>
    </row>
    <row r="103" spans="1:41" s="24" customFormat="1" ht="81" customHeight="1" x14ac:dyDescent="0.25">
      <c r="A103" s="126"/>
      <c r="B103" s="126"/>
      <c r="C103" s="126"/>
      <c r="D103" s="126"/>
      <c r="E103" s="126"/>
      <c r="F103" s="129"/>
      <c r="G103" s="126"/>
      <c r="H103" s="126"/>
      <c r="I103" s="106" t="s">
        <v>431</v>
      </c>
      <c r="J103" s="108" t="s">
        <v>450</v>
      </c>
      <c r="K103" s="33">
        <v>2.5000000000000001E-2</v>
      </c>
      <c r="L103" s="108" t="s">
        <v>451</v>
      </c>
      <c r="M103" s="108" t="s">
        <v>452</v>
      </c>
      <c r="N103" s="14" t="s">
        <v>576</v>
      </c>
      <c r="O103" s="108" t="s">
        <v>453</v>
      </c>
      <c r="P103" s="106" t="s">
        <v>60</v>
      </c>
      <c r="Q103" s="4" t="s">
        <v>225</v>
      </c>
      <c r="R103" s="15" t="s">
        <v>226</v>
      </c>
      <c r="S103" s="96"/>
      <c r="T103" s="96"/>
      <c r="U103" s="104" t="s">
        <v>75</v>
      </c>
      <c r="V103" s="42"/>
      <c r="W103" s="42"/>
      <c r="X103" s="42"/>
      <c r="Y103" s="52"/>
      <c r="Z103" s="52">
        <v>1</v>
      </c>
      <c r="AA103" s="52"/>
      <c r="AB103" s="70"/>
      <c r="AC103" s="70"/>
      <c r="AD103" s="70"/>
      <c r="AE103" s="61"/>
      <c r="AF103" s="61"/>
      <c r="AG103" s="61"/>
      <c r="AH103" s="83">
        <v>1</v>
      </c>
      <c r="AI103" s="84"/>
      <c r="AJ103" s="84">
        <f>1/1</f>
        <v>1</v>
      </c>
      <c r="AK103" s="84"/>
      <c r="AL103" s="85"/>
      <c r="AM103" s="84">
        <f>AJ103</f>
        <v>1</v>
      </c>
      <c r="AN103" s="85"/>
      <c r="AO103" s="88">
        <v>2.564E-2</v>
      </c>
    </row>
    <row r="104" spans="1:41" s="24" customFormat="1" ht="73.5" customHeight="1" x14ac:dyDescent="0.25">
      <c r="A104" s="126"/>
      <c r="B104" s="126"/>
      <c r="C104" s="126"/>
      <c r="D104" s="128"/>
      <c r="E104" s="126"/>
      <c r="F104" s="129"/>
      <c r="G104" s="126"/>
      <c r="H104" s="126"/>
      <c r="I104" s="106" t="s">
        <v>454</v>
      </c>
      <c r="J104" s="101" t="s">
        <v>385</v>
      </c>
      <c r="K104" s="33">
        <v>2.5000000000000001E-2</v>
      </c>
      <c r="L104" s="108" t="s">
        <v>532</v>
      </c>
      <c r="M104" s="108" t="s">
        <v>533</v>
      </c>
      <c r="N104" s="4" t="s">
        <v>583</v>
      </c>
      <c r="O104" s="108" t="s">
        <v>534</v>
      </c>
      <c r="P104" s="106" t="s">
        <v>66</v>
      </c>
      <c r="Q104" s="106" t="s">
        <v>336</v>
      </c>
      <c r="R104" s="5" t="s">
        <v>248</v>
      </c>
      <c r="S104" s="108"/>
      <c r="T104" s="108"/>
      <c r="U104" s="104" t="s">
        <v>68</v>
      </c>
      <c r="V104" s="42"/>
      <c r="W104" s="42"/>
      <c r="X104" s="45">
        <v>1</v>
      </c>
      <c r="Y104" s="52"/>
      <c r="Z104" s="52"/>
      <c r="AA104" s="55">
        <v>1</v>
      </c>
      <c r="AB104" s="73"/>
      <c r="AC104" s="73"/>
      <c r="AD104" s="73">
        <v>1</v>
      </c>
      <c r="AE104" s="64"/>
      <c r="AF104" s="64"/>
      <c r="AG104" s="64">
        <v>1</v>
      </c>
      <c r="AH104" s="105">
        <v>1</v>
      </c>
      <c r="AI104" s="81">
        <v>1</v>
      </c>
      <c r="AJ104" s="105">
        <v>1</v>
      </c>
      <c r="AK104" s="41">
        <f>3/4</f>
        <v>0.75</v>
      </c>
      <c r="AL104" s="110"/>
      <c r="AM104" s="81">
        <f t="shared" si="0"/>
        <v>0.6875</v>
      </c>
      <c r="AN104" s="110"/>
      <c r="AO104" s="39">
        <v>1.7627500000000001E-2</v>
      </c>
    </row>
    <row r="105" spans="1:41" s="24" customFormat="1" ht="91.5" customHeight="1" x14ac:dyDescent="0.25">
      <c r="A105" s="126"/>
      <c r="B105" s="126"/>
      <c r="C105" s="126"/>
      <c r="D105" s="126"/>
      <c r="E105" s="126"/>
      <c r="F105" s="129"/>
      <c r="G105" s="126"/>
      <c r="H105" s="126"/>
      <c r="I105" s="106" t="s">
        <v>455</v>
      </c>
      <c r="J105" s="101" t="s">
        <v>385</v>
      </c>
      <c r="K105" s="33">
        <v>2.5000000000000001E-2</v>
      </c>
      <c r="L105" s="108" t="s">
        <v>532</v>
      </c>
      <c r="M105" s="108" t="s">
        <v>533</v>
      </c>
      <c r="N105" s="4" t="s">
        <v>583</v>
      </c>
      <c r="O105" s="108" t="s">
        <v>534</v>
      </c>
      <c r="P105" s="106" t="s">
        <v>66</v>
      </c>
      <c r="Q105" s="106" t="s">
        <v>379</v>
      </c>
      <c r="R105" s="5" t="s">
        <v>248</v>
      </c>
      <c r="S105" s="108"/>
      <c r="T105" s="108"/>
      <c r="U105" s="104" t="s">
        <v>68</v>
      </c>
      <c r="V105" s="42"/>
      <c r="W105" s="42"/>
      <c r="X105" s="45">
        <v>1</v>
      </c>
      <c r="Y105" s="52"/>
      <c r="Z105" s="52"/>
      <c r="AA105" s="55">
        <v>1</v>
      </c>
      <c r="AB105" s="73"/>
      <c r="AC105" s="73"/>
      <c r="AD105" s="73">
        <v>1</v>
      </c>
      <c r="AE105" s="64"/>
      <c r="AF105" s="64"/>
      <c r="AG105" s="64">
        <v>1</v>
      </c>
      <c r="AH105" s="105">
        <v>1</v>
      </c>
      <c r="AI105" s="105">
        <v>1</v>
      </c>
      <c r="AJ105" s="105">
        <v>1</v>
      </c>
      <c r="AK105" s="105">
        <v>1</v>
      </c>
      <c r="AL105" s="110"/>
      <c r="AM105" s="81">
        <f t="shared" si="0"/>
        <v>0.75</v>
      </c>
      <c r="AN105" s="110"/>
      <c r="AO105" s="39">
        <v>1.9230000000000001E-2</v>
      </c>
    </row>
    <row r="106" spans="1:41" s="24" customFormat="1" ht="75" customHeight="1" x14ac:dyDescent="0.25">
      <c r="A106" s="126"/>
      <c r="B106" s="126"/>
      <c r="C106" s="126"/>
      <c r="D106" s="126"/>
      <c r="E106" s="126"/>
      <c r="F106" s="129"/>
      <c r="G106" s="126"/>
      <c r="H106" s="126"/>
      <c r="I106" s="106" t="s">
        <v>456</v>
      </c>
      <c r="J106" s="101" t="s">
        <v>385</v>
      </c>
      <c r="K106" s="33">
        <v>2.5000000000000001E-2</v>
      </c>
      <c r="L106" s="108" t="s">
        <v>532</v>
      </c>
      <c r="M106" s="108" t="s">
        <v>533</v>
      </c>
      <c r="N106" s="4" t="s">
        <v>583</v>
      </c>
      <c r="O106" s="108" t="s">
        <v>534</v>
      </c>
      <c r="P106" s="106" t="s">
        <v>66</v>
      </c>
      <c r="Q106" s="106" t="s">
        <v>272</v>
      </c>
      <c r="R106" s="5" t="s">
        <v>248</v>
      </c>
      <c r="S106" s="108"/>
      <c r="T106" s="108"/>
      <c r="U106" s="104" t="s">
        <v>68</v>
      </c>
      <c r="V106" s="42"/>
      <c r="W106" s="42"/>
      <c r="X106" s="45">
        <v>1</v>
      </c>
      <c r="Y106" s="52"/>
      <c r="Z106" s="52"/>
      <c r="AA106" s="55">
        <v>1</v>
      </c>
      <c r="AB106" s="73"/>
      <c r="AC106" s="73"/>
      <c r="AD106" s="73">
        <v>1</v>
      </c>
      <c r="AE106" s="64"/>
      <c r="AF106" s="64"/>
      <c r="AG106" s="64">
        <v>1</v>
      </c>
      <c r="AH106" s="105">
        <v>1</v>
      </c>
      <c r="AI106" s="105">
        <v>1</v>
      </c>
      <c r="AJ106" s="105">
        <v>1</v>
      </c>
      <c r="AK106" s="81">
        <v>1</v>
      </c>
      <c r="AL106" s="110"/>
      <c r="AM106" s="81">
        <f t="shared" si="0"/>
        <v>0.75</v>
      </c>
      <c r="AN106" s="110"/>
      <c r="AO106" s="39">
        <v>1.9230000000000001E-2</v>
      </c>
    </row>
    <row r="107" spans="1:41" s="24" customFormat="1" ht="114.75" customHeight="1" x14ac:dyDescent="0.25">
      <c r="A107" s="126"/>
      <c r="B107" s="126"/>
      <c r="C107" s="126"/>
      <c r="D107" s="126"/>
      <c r="E107" s="126"/>
      <c r="F107" s="129"/>
      <c r="G107" s="126"/>
      <c r="H107" s="126"/>
      <c r="I107" s="106" t="s">
        <v>456</v>
      </c>
      <c r="J107" s="108" t="s">
        <v>457</v>
      </c>
      <c r="K107" s="33">
        <v>2.5000000000000001E-2</v>
      </c>
      <c r="L107" s="108" t="s">
        <v>458</v>
      </c>
      <c r="M107" s="108" t="s">
        <v>459</v>
      </c>
      <c r="N107" s="14" t="s">
        <v>576</v>
      </c>
      <c r="O107" s="108" t="s">
        <v>460</v>
      </c>
      <c r="P107" s="106" t="s">
        <v>60</v>
      </c>
      <c r="Q107" s="106" t="s">
        <v>272</v>
      </c>
      <c r="R107" s="6" t="s">
        <v>248</v>
      </c>
      <c r="S107" s="101"/>
      <c r="T107" s="101"/>
      <c r="U107" s="104" t="s">
        <v>75</v>
      </c>
      <c r="V107" s="42"/>
      <c r="W107" s="42"/>
      <c r="X107" s="42"/>
      <c r="Y107" s="52"/>
      <c r="Z107" s="52"/>
      <c r="AA107" s="52">
        <v>1</v>
      </c>
      <c r="AB107" s="70"/>
      <c r="AC107" s="70"/>
      <c r="AD107" s="70"/>
      <c r="AE107" s="61"/>
      <c r="AF107" s="61"/>
      <c r="AG107" s="61"/>
      <c r="AH107" s="83">
        <v>1</v>
      </c>
      <c r="AI107" s="84"/>
      <c r="AJ107" s="84">
        <f>1/1</f>
        <v>1</v>
      </c>
      <c r="AK107" s="83"/>
      <c r="AL107" s="85"/>
      <c r="AM107" s="84">
        <f>AJ107</f>
        <v>1</v>
      </c>
      <c r="AN107" s="85"/>
      <c r="AO107" s="88">
        <v>2.564E-2</v>
      </c>
    </row>
    <row r="108" spans="1:41" s="24" customFormat="1" ht="76.5" customHeight="1" x14ac:dyDescent="0.25">
      <c r="A108" s="126"/>
      <c r="B108" s="126"/>
      <c r="C108" s="126"/>
      <c r="D108" s="126"/>
      <c r="E108" s="126"/>
      <c r="F108" s="129"/>
      <c r="G108" s="126"/>
      <c r="H108" s="126"/>
      <c r="I108" s="106" t="s">
        <v>461</v>
      </c>
      <c r="J108" s="101" t="s">
        <v>385</v>
      </c>
      <c r="K108" s="33">
        <v>2.5000000000000001E-2</v>
      </c>
      <c r="L108" s="108" t="s">
        <v>532</v>
      </c>
      <c r="M108" s="108" t="s">
        <v>533</v>
      </c>
      <c r="N108" s="4" t="s">
        <v>583</v>
      </c>
      <c r="O108" s="108" t="s">
        <v>534</v>
      </c>
      <c r="P108" s="106" t="s">
        <v>66</v>
      </c>
      <c r="Q108" s="106" t="s">
        <v>347</v>
      </c>
      <c r="R108" s="5" t="s">
        <v>248</v>
      </c>
      <c r="S108" s="108"/>
      <c r="T108" s="108"/>
      <c r="U108" s="104" t="s">
        <v>68</v>
      </c>
      <c r="V108" s="42"/>
      <c r="W108" s="42"/>
      <c r="X108" s="45">
        <v>1</v>
      </c>
      <c r="Y108" s="52"/>
      <c r="Z108" s="52"/>
      <c r="AA108" s="55">
        <v>1</v>
      </c>
      <c r="AB108" s="73"/>
      <c r="AC108" s="73"/>
      <c r="AD108" s="73">
        <v>1</v>
      </c>
      <c r="AE108" s="64"/>
      <c r="AF108" s="64"/>
      <c r="AG108" s="64">
        <v>1</v>
      </c>
      <c r="AH108" s="105">
        <v>1</v>
      </c>
      <c r="AI108" s="105">
        <v>1</v>
      </c>
      <c r="AJ108" s="105">
        <v>1</v>
      </c>
      <c r="AK108" s="105">
        <v>1</v>
      </c>
      <c r="AL108" s="110"/>
      <c r="AM108" s="81">
        <f t="shared" si="0"/>
        <v>0.75</v>
      </c>
      <c r="AN108" s="110"/>
      <c r="AO108" s="39">
        <v>1.9230000000000001E-2</v>
      </c>
    </row>
    <row r="109" spans="1:41" s="24" customFormat="1" ht="77.25" customHeight="1" x14ac:dyDescent="0.25">
      <c r="A109" s="126"/>
      <c r="B109" s="126"/>
      <c r="C109" s="126"/>
      <c r="D109" s="126"/>
      <c r="E109" s="126"/>
      <c r="F109" s="129"/>
      <c r="G109" s="126"/>
      <c r="H109" s="126"/>
      <c r="I109" s="106" t="s">
        <v>462</v>
      </c>
      <c r="J109" s="101" t="s">
        <v>385</v>
      </c>
      <c r="K109" s="33">
        <v>2.5000000000000001E-2</v>
      </c>
      <c r="L109" s="108" t="s">
        <v>532</v>
      </c>
      <c r="M109" s="108" t="s">
        <v>533</v>
      </c>
      <c r="N109" s="4" t="s">
        <v>583</v>
      </c>
      <c r="O109" s="108" t="s">
        <v>534</v>
      </c>
      <c r="P109" s="106" t="s">
        <v>66</v>
      </c>
      <c r="Q109" s="106" t="s">
        <v>278</v>
      </c>
      <c r="R109" s="5" t="s">
        <v>248</v>
      </c>
      <c r="S109" s="108"/>
      <c r="T109" s="108"/>
      <c r="U109" s="104" t="s">
        <v>68</v>
      </c>
      <c r="V109" s="42"/>
      <c r="W109" s="42"/>
      <c r="X109" s="45">
        <v>1</v>
      </c>
      <c r="Y109" s="52"/>
      <c r="Z109" s="52"/>
      <c r="AA109" s="55">
        <v>1</v>
      </c>
      <c r="AB109" s="73"/>
      <c r="AC109" s="73"/>
      <c r="AD109" s="73">
        <v>1</v>
      </c>
      <c r="AE109" s="64"/>
      <c r="AF109" s="64"/>
      <c r="AG109" s="64">
        <v>1</v>
      </c>
      <c r="AH109" s="105">
        <v>1</v>
      </c>
      <c r="AI109" s="105">
        <v>1</v>
      </c>
      <c r="AJ109" s="81">
        <f>1/1</f>
        <v>1</v>
      </c>
      <c r="AK109" s="81">
        <v>1</v>
      </c>
      <c r="AL109" s="110"/>
      <c r="AM109" s="81">
        <f t="shared" si="0"/>
        <v>0.75</v>
      </c>
      <c r="AN109" s="110"/>
      <c r="AO109" s="39">
        <v>1.9230000000000001E-2</v>
      </c>
    </row>
    <row r="110" spans="1:41" s="24" customFormat="1" ht="72.75" customHeight="1" x14ac:dyDescent="0.25">
      <c r="A110" s="126"/>
      <c r="B110" s="126"/>
      <c r="C110" s="126"/>
      <c r="D110" s="126"/>
      <c r="E110" s="126"/>
      <c r="F110" s="129"/>
      <c r="G110" s="126"/>
      <c r="H110" s="126"/>
      <c r="I110" s="106" t="s">
        <v>463</v>
      </c>
      <c r="J110" s="101" t="s">
        <v>385</v>
      </c>
      <c r="K110" s="33">
        <v>2.5000000000000001E-2</v>
      </c>
      <c r="L110" s="108" t="s">
        <v>532</v>
      </c>
      <c r="M110" s="108" t="s">
        <v>533</v>
      </c>
      <c r="N110" s="4" t="s">
        <v>583</v>
      </c>
      <c r="O110" s="108" t="s">
        <v>534</v>
      </c>
      <c r="P110" s="106" t="s">
        <v>66</v>
      </c>
      <c r="Q110" s="106" t="s">
        <v>310</v>
      </c>
      <c r="R110" s="5" t="s">
        <v>248</v>
      </c>
      <c r="S110" s="108"/>
      <c r="T110" s="108"/>
      <c r="U110" s="104" t="s">
        <v>68</v>
      </c>
      <c r="V110" s="42"/>
      <c r="W110" s="42"/>
      <c r="X110" s="45">
        <v>1</v>
      </c>
      <c r="Y110" s="52"/>
      <c r="Z110" s="52"/>
      <c r="AA110" s="55">
        <v>1</v>
      </c>
      <c r="AB110" s="73"/>
      <c r="AC110" s="73"/>
      <c r="AD110" s="73">
        <v>1</v>
      </c>
      <c r="AE110" s="64"/>
      <c r="AF110" s="64"/>
      <c r="AG110" s="64">
        <v>1</v>
      </c>
      <c r="AH110" s="105">
        <v>1</v>
      </c>
      <c r="AI110" s="105">
        <v>1</v>
      </c>
      <c r="AJ110" s="105">
        <v>1</v>
      </c>
      <c r="AK110" s="105">
        <v>1</v>
      </c>
      <c r="AL110" s="110"/>
      <c r="AM110" s="81">
        <f t="shared" si="0"/>
        <v>0.75</v>
      </c>
      <c r="AN110" s="110"/>
      <c r="AO110" s="39">
        <v>1.9230000000000001E-2</v>
      </c>
    </row>
    <row r="111" spans="1:41" s="24" customFormat="1" ht="102.75" customHeight="1" x14ac:dyDescent="0.25">
      <c r="A111" s="126"/>
      <c r="B111" s="126"/>
      <c r="C111" s="126"/>
      <c r="D111" s="126"/>
      <c r="E111" s="126"/>
      <c r="F111" s="129"/>
      <c r="G111" s="126"/>
      <c r="H111" s="126"/>
      <c r="I111" s="106" t="s">
        <v>463</v>
      </c>
      <c r="J111" s="108" t="s">
        <v>464</v>
      </c>
      <c r="K111" s="33">
        <v>2.5000000000000001E-2</v>
      </c>
      <c r="L111" s="108" t="s">
        <v>465</v>
      </c>
      <c r="M111" s="108" t="s">
        <v>466</v>
      </c>
      <c r="N111" s="4" t="s">
        <v>583</v>
      </c>
      <c r="O111" s="108" t="s">
        <v>467</v>
      </c>
      <c r="P111" s="106" t="s">
        <v>66</v>
      </c>
      <c r="Q111" s="4" t="s">
        <v>310</v>
      </c>
      <c r="R111" s="15" t="s">
        <v>311</v>
      </c>
      <c r="S111" s="96"/>
      <c r="T111" s="96"/>
      <c r="U111" s="104" t="s">
        <v>68</v>
      </c>
      <c r="V111" s="42"/>
      <c r="W111" s="42"/>
      <c r="X111" s="45">
        <v>1</v>
      </c>
      <c r="Y111" s="52"/>
      <c r="Z111" s="52"/>
      <c r="AA111" s="55">
        <v>1</v>
      </c>
      <c r="AB111" s="70"/>
      <c r="AC111" s="70"/>
      <c r="AD111" s="73">
        <v>1</v>
      </c>
      <c r="AE111" s="61"/>
      <c r="AF111" s="61"/>
      <c r="AG111" s="64">
        <v>1</v>
      </c>
      <c r="AH111" s="105">
        <v>1</v>
      </c>
      <c r="AI111" s="81">
        <f>4/4</f>
        <v>1</v>
      </c>
      <c r="AJ111" s="81">
        <f>4/4</f>
        <v>1</v>
      </c>
      <c r="AK111" s="81">
        <f>4/4</f>
        <v>1</v>
      </c>
      <c r="AL111" s="110"/>
      <c r="AM111" s="81">
        <f t="shared" si="0"/>
        <v>0.75</v>
      </c>
      <c r="AN111" s="110"/>
      <c r="AO111" s="39">
        <v>1.9230000000000001E-2</v>
      </c>
    </row>
    <row r="112" spans="1:41" s="24" customFormat="1" ht="69" customHeight="1" x14ac:dyDescent="0.25">
      <c r="A112" s="126"/>
      <c r="B112" s="126"/>
      <c r="C112" s="126"/>
      <c r="D112" s="126"/>
      <c r="E112" s="126"/>
      <c r="F112" s="129"/>
      <c r="G112" s="126"/>
      <c r="H112" s="126"/>
      <c r="I112" s="106" t="s">
        <v>463</v>
      </c>
      <c r="J112" s="108" t="s">
        <v>468</v>
      </c>
      <c r="K112" s="33">
        <v>2.5000000000000001E-2</v>
      </c>
      <c r="L112" s="108" t="s">
        <v>469</v>
      </c>
      <c r="M112" s="108" t="s">
        <v>470</v>
      </c>
      <c r="N112" s="14" t="s">
        <v>576</v>
      </c>
      <c r="O112" s="108" t="s">
        <v>470</v>
      </c>
      <c r="P112" s="106" t="s">
        <v>60</v>
      </c>
      <c r="Q112" s="4" t="s">
        <v>310</v>
      </c>
      <c r="R112" s="15" t="s">
        <v>311</v>
      </c>
      <c r="S112" s="96"/>
      <c r="T112" s="96"/>
      <c r="U112" s="104" t="s">
        <v>68</v>
      </c>
      <c r="V112" s="42"/>
      <c r="W112" s="42"/>
      <c r="X112" s="42">
        <v>1</v>
      </c>
      <c r="Y112" s="52"/>
      <c r="Z112" s="52"/>
      <c r="AA112" s="52">
        <v>1</v>
      </c>
      <c r="AB112" s="70"/>
      <c r="AC112" s="70"/>
      <c r="AD112" s="70">
        <v>1</v>
      </c>
      <c r="AE112" s="61"/>
      <c r="AF112" s="61"/>
      <c r="AG112" s="61">
        <v>1</v>
      </c>
      <c r="AH112" s="104">
        <v>4</v>
      </c>
      <c r="AI112" s="81">
        <f>1/1</f>
        <v>1</v>
      </c>
      <c r="AJ112" s="81">
        <f>1/1</f>
        <v>1</v>
      </c>
      <c r="AK112" s="81">
        <f>1/1</f>
        <v>1</v>
      </c>
      <c r="AL112" s="110"/>
      <c r="AM112" s="81">
        <f t="shared" si="0"/>
        <v>0.75</v>
      </c>
      <c r="AN112" s="110"/>
      <c r="AO112" s="39">
        <v>1.9230000000000001E-2</v>
      </c>
    </row>
    <row r="113" spans="1:41" s="24" customFormat="1" ht="69" customHeight="1" x14ac:dyDescent="0.25">
      <c r="A113" s="126"/>
      <c r="B113" s="126"/>
      <c r="C113" s="126"/>
      <c r="D113" s="126"/>
      <c r="E113" s="126"/>
      <c r="F113" s="129"/>
      <c r="G113" s="126"/>
      <c r="H113" s="126"/>
      <c r="I113" s="106" t="s">
        <v>471</v>
      </c>
      <c r="J113" s="101" t="s">
        <v>385</v>
      </c>
      <c r="K113" s="33">
        <v>2.5000000000000001E-2</v>
      </c>
      <c r="L113" s="108" t="s">
        <v>532</v>
      </c>
      <c r="M113" s="108" t="s">
        <v>533</v>
      </c>
      <c r="N113" s="4" t="s">
        <v>583</v>
      </c>
      <c r="O113" s="108" t="s">
        <v>534</v>
      </c>
      <c r="P113" s="106" t="s">
        <v>66</v>
      </c>
      <c r="Q113" s="106" t="s">
        <v>472</v>
      </c>
      <c r="R113" s="5" t="s">
        <v>248</v>
      </c>
      <c r="S113" s="108"/>
      <c r="T113" s="108"/>
      <c r="U113" s="104" t="s">
        <v>68</v>
      </c>
      <c r="V113" s="42"/>
      <c r="W113" s="42"/>
      <c r="X113" s="45">
        <v>1</v>
      </c>
      <c r="Y113" s="52"/>
      <c r="Z113" s="52"/>
      <c r="AA113" s="55">
        <v>1</v>
      </c>
      <c r="AB113" s="73"/>
      <c r="AC113" s="73"/>
      <c r="AD113" s="73">
        <v>1</v>
      </c>
      <c r="AE113" s="64"/>
      <c r="AF113" s="64"/>
      <c r="AG113" s="64">
        <v>1</v>
      </c>
      <c r="AH113" s="105">
        <v>1</v>
      </c>
      <c r="AI113" s="105">
        <v>1</v>
      </c>
      <c r="AJ113" s="105">
        <v>1</v>
      </c>
      <c r="AK113" s="81">
        <f>1/1</f>
        <v>1</v>
      </c>
      <c r="AL113" s="110"/>
      <c r="AM113" s="81">
        <f t="shared" si="0"/>
        <v>0.75</v>
      </c>
      <c r="AN113" s="110"/>
      <c r="AO113" s="39">
        <v>1.9230000000000001E-2</v>
      </c>
    </row>
    <row r="114" spans="1:41" s="24" customFormat="1" ht="80.25" customHeight="1" x14ac:dyDescent="0.25">
      <c r="A114" s="126"/>
      <c r="B114" s="126"/>
      <c r="C114" s="126"/>
      <c r="D114" s="126"/>
      <c r="E114" s="126"/>
      <c r="F114" s="129"/>
      <c r="G114" s="126"/>
      <c r="H114" s="126"/>
      <c r="I114" s="106" t="s">
        <v>471</v>
      </c>
      <c r="J114" s="108" t="s">
        <v>473</v>
      </c>
      <c r="K114" s="33">
        <v>2.5000000000000001E-2</v>
      </c>
      <c r="L114" s="108" t="s">
        <v>537</v>
      </c>
      <c r="M114" s="108" t="s">
        <v>538</v>
      </c>
      <c r="N114" s="4" t="s">
        <v>583</v>
      </c>
      <c r="O114" s="108" t="s">
        <v>539</v>
      </c>
      <c r="P114" s="106" t="s">
        <v>66</v>
      </c>
      <c r="Q114" s="4" t="s">
        <v>472</v>
      </c>
      <c r="R114" s="5" t="s">
        <v>248</v>
      </c>
      <c r="S114" s="108"/>
      <c r="T114" s="108"/>
      <c r="U114" s="8" t="s">
        <v>68</v>
      </c>
      <c r="V114" s="50"/>
      <c r="W114" s="50"/>
      <c r="X114" s="51">
        <v>1</v>
      </c>
      <c r="Y114" s="59"/>
      <c r="Z114" s="59"/>
      <c r="AA114" s="60">
        <v>1</v>
      </c>
      <c r="AB114" s="77"/>
      <c r="AC114" s="77"/>
      <c r="AD114" s="78">
        <v>1</v>
      </c>
      <c r="AE114" s="68"/>
      <c r="AF114" s="68"/>
      <c r="AG114" s="69">
        <v>1</v>
      </c>
      <c r="AH114" s="9">
        <v>1</v>
      </c>
      <c r="AI114" s="105">
        <v>1</v>
      </c>
      <c r="AJ114" s="81">
        <f>3/3</f>
        <v>1</v>
      </c>
      <c r="AK114" s="81">
        <f>4/4</f>
        <v>1</v>
      </c>
      <c r="AL114" s="110"/>
      <c r="AM114" s="81">
        <f t="shared" si="0"/>
        <v>0.75</v>
      </c>
      <c r="AN114" s="110"/>
      <c r="AO114" s="39">
        <v>1.9230000000000001E-2</v>
      </c>
    </row>
    <row r="115" spans="1:41" s="24" customFormat="1" ht="74.25" customHeight="1" x14ac:dyDescent="0.25">
      <c r="A115" s="126"/>
      <c r="B115" s="126"/>
      <c r="C115" s="126"/>
      <c r="D115" s="126"/>
      <c r="E115" s="126"/>
      <c r="F115" s="129"/>
      <c r="G115" s="126"/>
      <c r="H115" s="126"/>
      <c r="I115" s="106" t="s">
        <v>471</v>
      </c>
      <c r="J115" s="108" t="s">
        <v>474</v>
      </c>
      <c r="K115" s="33">
        <v>2.5000000000000001E-2</v>
      </c>
      <c r="L115" s="108" t="s">
        <v>475</v>
      </c>
      <c r="M115" s="108" t="s">
        <v>476</v>
      </c>
      <c r="N115" s="4" t="s">
        <v>583</v>
      </c>
      <c r="O115" s="108" t="s">
        <v>540</v>
      </c>
      <c r="P115" s="106" t="s">
        <v>113</v>
      </c>
      <c r="Q115" s="4" t="s">
        <v>472</v>
      </c>
      <c r="R115" s="5" t="s">
        <v>248</v>
      </c>
      <c r="S115" s="108"/>
      <c r="T115" s="108"/>
      <c r="U115" s="8" t="s">
        <v>68</v>
      </c>
      <c r="V115" s="50"/>
      <c r="W115" s="50"/>
      <c r="X115" s="51">
        <v>1</v>
      </c>
      <c r="Y115" s="59"/>
      <c r="Z115" s="59"/>
      <c r="AA115" s="60">
        <v>1</v>
      </c>
      <c r="AB115" s="77"/>
      <c r="AC115" s="77"/>
      <c r="AD115" s="78">
        <v>1</v>
      </c>
      <c r="AE115" s="68"/>
      <c r="AF115" s="68"/>
      <c r="AG115" s="69">
        <v>1</v>
      </c>
      <c r="AH115" s="9">
        <v>1</v>
      </c>
      <c r="AI115" s="81">
        <f>13/13</f>
        <v>1</v>
      </c>
      <c r="AJ115" s="81">
        <f>3/3</f>
        <v>1</v>
      </c>
      <c r="AK115" s="81">
        <f>8/8</f>
        <v>1</v>
      </c>
      <c r="AL115" s="110"/>
      <c r="AM115" s="81">
        <f>(AI115+AJ115+AK115+AL115)/4</f>
        <v>0.75</v>
      </c>
      <c r="AN115" s="110"/>
      <c r="AO115" s="39">
        <v>1.9230000000000001E-2</v>
      </c>
    </row>
    <row r="116" spans="1:41" s="36" customFormat="1" ht="70.5" customHeight="1" x14ac:dyDescent="0.25">
      <c r="A116" s="126"/>
      <c r="B116" s="126"/>
      <c r="C116" s="126"/>
      <c r="D116" s="126"/>
      <c r="E116" s="126"/>
      <c r="F116" s="129"/>
      <c r="G116" s="126"/>
      <c r="H116" s="126"/>
      <c r="I116" s="4" t="s">
        <v>471</v>
      </c>
      <c r="J116" s="96" t="s">
        <v>477</v>
      </c>
      <c r="K116" s="34">
        <v>2.5000000000000001E-2</v>
      </c>
      <c r="L116" s="96" t="s">
        <v>541</v>
      </c>
      <c r="M116" s="96" t="s">
        <v>542</v>
      </c>
      <c r="N116" s="4" t="s">
        <v>583</v>
      </c>
      <c r="O116" s="96" t="s">
        <v>543</v>
      </c>
      <c r="P116" s="4" t="s">
        <v>629</v>
      </c>
      <c r="Q116" s="4" t="s">
        <v>472</v>
      </c>
      <c r="R116" s="15" t="s">
        <v>226</v>
      </c>
      <c r="S116" s="96"/>
      <c r="T116" s="96"/>
      <c r="U116" s="10" t="s">
        <v>266</v>
      </c>
      <c r="V116" s="50"/>
      <c r="W116" s="50"/>
      <c r="X116" s="50"/>
      <c r="Y116" s="60">
        <v>1</v>
      </c>
      <c r="Z116" s="59"/>
      <c r="AA116" s="59"/>
      <c r="AB116" s="77"/>
      <c r="AC116" s="78">
        <v>1</v>
      </c>
      <c r="AD116" s="77"/>
      <c r="AE116" s="68"/>
      <c r="AF116" s="68"/>
      <c r="AG116" s="69">
        <v>1</v>
      </c>
      <c r="AH116" s="35">
        <v>1</v>
      </c>
      <c r="AI116" s="10"/>
      <c r="AJ116" s="82">
        <f>26/58</f>
        <v>0.44827586206896552</v>
      </c>
      <c r="AK116" s="82">
        <f>52/60</f>
        <v>0.8666666666666667</v>
      </c>
      <c r="AL116" s="97"/>
      <c r="AM116" s="39">
        <f>(AI116+AJ116+AK116+AL116)/3</f>
        <v>0.43831417624521074</v>
      </c>
      <c r="AN116" s="97"/>
      <c r="AO116" s="82">
        <v>1.1238375478927202E-2</v>
      </c>
    </row>
    <row r="117" spans="1:41" s="24" customFormat="1" ht="102" customHeight="1" x14ac:dyDescent="0.25">
      <c r="A117" s="126"/>
      <c r="B117" s="126"/>
      <c r="C117" s="126"/>
      <c r="D117" s="126"/>
      <c r="E117" s="126"/>
      <c r="F117" s="129"/>
      <c r="G117" s="129" t="s">
        <v>53</v>
      </c>
      <c r="H117" s="129" t="s">
        <v>630</v>
      </c>
      <c r="I117" s="4" t="s">
        <v>478</v>
      </c>
      <c r="J117" s="96" t="s">
        <v>631</v>
      </c>
      <c r="K117" s="28" t="s">
        <v>632</v>
      </c>
      <c r="L117" s="96" t="s">
        <v>535</v>
      </c>
      <c r="M117" s="96" t="s">
        <v>536</v>
      </c>
      <c r="N117" s="14" t="s">
        <v>576</v>
      </c>
      <c r="O117" s="96" t="s">
        <v>633</v>
      </c>
      <c r="P117" s="4" t="s">
        <v>60</v>
      </c>
      <c r="Q117" s="4" t="s">
        <v>67</v>
      </c>
      <c r="R117" s="15" t="s">
        <v>62</v>
      </c>
      <c r="S117" s="96"/>
      <c r="T117" s="96"/>
      <c r="U117" s="104" t="s">
        <v>75</v>
      </c>
      <c r="V117" s="42"/>
      <c r="W117" s="42"/>
      <c r="X117" s="42"/>
      <c r="Y117" s="52"/>
      <c r="Z117" s="52"/>
      <c r="AA117" s="52">
        <v>1</v>
      </c>
      <c r="AB117" s="70"/>
      <c r="AC117" s="70"/>
      <c r="AD117" s="70"/>
      <c r="AE117" s="61"/>
      <c r="AF117" s="61"/>
      <c r="AG117" s="61"/>
      <c r="AH117" s="104">
        <v>1</v>
      </c>
      <c r="AI117" s="104"/>
      <c r="AJ117" s="104"/>
      <c r="AK117" s="104"/>
      <c r="AL117" s="110"/>
      <c r="AM117" s="81">
        <f>AJ117</f>
        <v>0</v>
      </c>
      <c r="AN117" s="110"/>
      <c r="AO117" s="39">
        <v>0</v>
      </c>
    </row>
    <row r="118" spans="1:41" s="24" customFormat="1" ht="132.75" customHeight="1" x14ac:dyDescent="0.25">
      <c r="A118" s="126"/>
      <c r="B118" s="126"/>
      <c r="C118" s="126"/>
      <c r="D118" s="126"/>
      <c r="E118" s="126"/>
      <c r="F118" s="129"/>
      <c r="G118" s="129"/>
      <c r="H118" s="129"/>
      <c r="I118" s="4" t="s">
        <v>479</v>
      </c>
      <c r="J118" s="96" t="s">
        <v>480</v>
      </c>
      <c r="K118" s="37" t="s">
        <v>632</v>
      </c>
      <c r="L118" s="96" t="s">
        <v>481</v>
      </c>
      <c r="M118" s="96" t="s">
        <v>482</v>
      </c>
      <c r="N118" s="4" t="s">
        <v>583</v>
      </c>
      <c r="O118" s="96" t="s">
        <v>483</v>
      </c>
      <c r="P118" s="4" t="s">
        <v>66</v>
      </c>
      <c r="Q118" s="106" t="s">
        <v>61</v>
      </c>
      <c r="R118" s="5" t="s">
        <v>226</v>
      </c>
      <c r="S118" s="108"/>
      <c r="T118" s="108"/>
      <c r="U118" s="104" t="s">
        <v>63</v>
      </c>
      <c r="V118" s="42"/>
      <c r="W118" s="42"/>
      <c r="X118" s="42"/>
      <c r="Y118" s="52"/>
      <c r="Z118" s="52"/>
      <c r="AA118" s="53">
        <v>1</v>
      </c>
      <c r="AB118" s="71"/>
      <c r="AC118" s="70"/>
      <c r="AD118" s="70"/>
      <c r="AE118" s="61"/>
      <c r="AF118" s="61"/>
      <c r="AG118" s="62">
        <v>1</v>
      </c>
      <c r="AH118" s="25">
        <v>1</v>
      </c>
      <c r="AI118" s="104"/>
      <c r="AJ118" s="81">
        <f>140/140</f>
        <v>1</v>
      </c>
      <c r="AK118" s="104"/>
      <c r="AL118" s="110"/>
      <c r="AM118" s="81">
        <f>(AI118+AJ118+AK118+AL118)/2</f>
        <v>0.5</v>
      </c>
      <c r="AN118" s="110"/>
      <c r="AO118" s="39">
        <v>8.3299999999999999E-2</v>
      </c>
    </row>
    <row r="119" spans="1:41" s="24" customFormat="1" ht="98.25" customHeight="1" x14ac:dyDescent="0.25">
      <c r="A119" s="126"/>
      <c r="B119" s="126"/>
      <c r="C119" s="126"/>
      <c r="D119" s="126"/>
      <c r="E119" s="126"/>
      <c r="F119" s="129"/>
      <c r="G119" s="129"/>
      <c r="H119" s="129"/>
      <c r="I119" s="4" t="s">
        <v>484</v>
      </c>
      <c r="J119" s="96" t="s">
        <v>485</v>
      </c>
      <c r="K119" s="28" t="s">
        <v>632</v>
      </c>
      <c r="L119" s="96" t="s">
        <v>486</v>
      </c>
      <c r="M119" s="96" t="s">
        <v>487</v>
      </c>
      <c r="N119" s="4" t="s">
        <v>583</v>
      </c>
      <c r="O119" s="96" t="s">
        <v>488</v>
      </c>
      <c r="P119" s="4" t="s">
        <v>66</v>
      </c>
      <c r="Q119" s="4" t="s">
        <v>225</v>
      </c>
      <c r="R119" s="15" t="s">
        <v>226</v>
      </c>
      <c r="S119" s="96"/>
      <c r="T119" s="96"/>
      <c r="U119" s="104" t="s">
        <v>82</v>
      </c>
      <c r="V119" s="45">
        <v>0.9</v>
      </c>
      <c r="W119" s="45">
        <v>0.9</v>
      </c>
      <c r="X119" s="45">
        <v>0.9</v>
      </c>
      <c r="Y119" s="55">
        <v>0.9</v>
      </c>
      <c r="Z119" s="55">
        <v>0.9</v>
      </c>
      <c r="AA119" s="55">
        <v>0.9</v>
      </c>
      <c r="AB119" s="73">
        <v>0.9</v>
      </c>
      <c r="AC119" s="73">
        <v>0.9</v>
      </c>
      <c r="AD119" s="73">
        <v>0.9</v>
      </c>
      <c r="AE119" s="64">
        <v>0.9</v>
      </c>
      <c r="AF119" s="64">
        <v>0.9</v>
      </c>
      <c r="AG119" s="64">
        <v>0.9</v>
      </c>
      <c r="AH119" s="105">
        <v>0.9</v>
      </c>
      <c r="AI119" s="25">
        <f>298/298</f>
        <v>1</v>
      </c>
      <c r="AJ119" s="81">
        <f>300/300</f>
        <v>1</v>
      </c>
      <c r="AK119" s="81">
        <f>300/300</f>
        <v>1</v>
      </c>
      <c r="AL119" s="110"/>
      <c r="AM119" s="81">
        <f t="shared" si="0"/>
        <v>0.75</v>
      </c>
      <c r="AN119" s="110"/>
      <c r="AO119" s="118">
        <v>0.12495000000000001</v>
      </c>
    </row>
    <row r="120" spans="1:41" s="24" customFormat="1" ht="87" customHeight="1" x14ac:dyDescent="0.25">
      <c r="A120" s="126"/>
      <c r="B120" s="126"/>
      <c r="C120" s="126"/>
      <c r="D120" s="126"/>
      <c r="E120" s="126"/>
      <c r="F120" s="129"/>
      <c r="G120" s="129"/>
      <c r="H120" s="129"/>
      <c r="I120" s="4" t="s">
        <v>484</v>
      </c>
      <c r="J120" s="96" t="s">
        <v>489</v>
      </c>
      <c r="K120" s="28" t="s">
        <v>632</v>
      </c>
      <c r="L120" s="96" t="s">
        <v>490</v>
      </c>
      <c r="M120" s="96" t="s">
        <v>491</v>
      </c>
      <c r="N120" s="14" t="s">
        <v>576</v>
      </c>
      <c r="O120" s="96" t="s">
        <v>492</v>
      </c>
      <c r="P120" s="4" t="s">
        <v>60</v>
      </c>
      <c r="Q120" s="4" t="s">
        <v>225</v>
      </c>
      <c r="R120" s="15" t="s">
        <v>226</v>
      </c>
      <c r="S120" s="96"/>
      <c r="T120" s="96"/>
      <c r="U120" s="104" t="s">
        <v>75</v>
      </c>
      <c r="V120" s="42"/>
      <c r="W120" s="42"/>
      <c r="X120" s="42"/>
      <c r="Y120" s="52"/>
      <c r="Z120" s="52"/>
      <c r="AA120" s="52"/>
      <c r="AB120" s="70"/>
      <c r="AC120" s="70"/>
      <c r="AD120" s="70"/>
      <c r="AE120" s="61"/>
      <c r="AF120" s="61"/>
      <c r="AG120" s="61">
        <v>1</v>
      </c>
      <c r="AH120" s="104">
        <v>1</v>
      </c>
      <c r="AI120" s="104"/>
      <c r="AJ120" s="104"/>
      <c r="AK120" s="104"/>
      <c r="AL120" s="110"/>
      <c r="AM120" s="81">
        <f>AL120</f>
        <v>0</v>
      </c>
      <c r="AN120" s="110"/>
      <c r="AO120" s="39"/>
    </row>
    <row r="121" spans="1:41" s="24" customFormat="1" ht="103.5" customHeight="1" x14ac:dyDescent="0.25">
      <c r="A121" s="126"/>
      <c r="B121" s="126"/>
      <c r="C121" s="126"/>
      <c r="D121" s="126"/>
      <c r="E121" s="126"/>
      <c r="F121" s="129"/>
      <c r="G121" s="129"/>
      <c r="H121" s="129"/>
      <c r="I121" s="4" t="s">
        <v>484</v>
      </c>
      <c r="J121" s="96" t="s">
        <v>493</v>
      </c>
      <c r="K121" s="28" t="s">
        <v>632</v>
      </c>
      <c r="L121" s="96" t="s">
        <v>494</v>
      </c>
      <c r="M121" s="96" t="s">
        <v>495</v>
      </c>
      <c r="N121" s="4" t="s">
        <v>583</v>
      </c>
      <c r="O121" s="96" t="s">
        <v>496</v>
      </c>
      <c r="P121" s="4" t="s">
        <v>66</v>
      </c>
      <c r="Q121" s="4" t="s">
        <v>225</v>
      </c>
      <c r="R121" s="15" t="s">
        <v>226</v>
      </c>
      <c r="S121" s="96"/>
      <c r="T121" s="96"/>
      <c r="U121" s="104" t="s">
        <v>68</v>
      </c>
      <c r="V121" s="42"/>
      <c r="W121" s="42"/>
      <c r="X121" s="45">
        <v>1</v>
      </c>
      <c r="Y121" s="52"/>
      <c r="Z121" s="52"/>
      <c r="AA121" s="55">
        <v>1</v>
      </c>
      <c r="AB121" s="70"/>
      <c r="AC121" s="70"/>
      <c r="AD121" s="73">
        <v>1</v>
      </c>
      <c r="AE121" s="61"/>
      <c r="AF121" s="61"/>
      <c r="AG121" s="64">
        <v>1</v>
      </c>
      <c r="AH121" s="105">
        <v>1</v>
      </c>
      <c r="AI121" s="105">
        <v>1</v>
      </c>
      <c r="AJ121" s="105">
        <v>1</v>
      </c>
      <c r="AK121" s="81">
        <v>1</v>
      </c>
      <c r="AL121" s="110"/>
      <c r="AM121" s="81">
        <f t="shared" si="0"/>
        <v>0.75</v>
      </c>
      <c r="AN121" s="110"/>
      <c r="AO121" s="118">
        <v>0.12495000000000001</v>
      </c>
    </row>
    <row r="122" spans="1:41" s="24" customFormat="1" ht="78.75" customHeight="1" x14ac:dyDescent="0.25">
      <c r="A122" s="126"/>
      <c r="B122" s="126"/>
      <c r="C122" s="126"/>
      <c r="D122" s="126"/>
      <c r="E122" s="126"/>
      <c r="F122" s="129"/>
      <c r="G122" s="129"/>
      <c r="H122" s="129"/>
      <c r="I122" s="4" t="s">
        <v>497</v>
      </c>
      <c r="J122" s="96" t="s">
        <v>498</v>
      </c>
      <c r="K122" s="28" t="s">
        <v>632</v>
      </c>
      <c r="L122" s="96" t="s">
        <v>499</v>
      </c>
      <c r="M122" s="96" t="s">
        <v>500</v>
      </c>
      <c r="N122" s="14" t="s">
        <v>576</v>
      </c>
      <c r="O122" s="96" t="s">
        <v>501</v>
      </c>
      <c r="P122" s="4" t="s">
        <v>60</v>
      </c>
      <c r="Q122" s="4" t="s">
        <v>310</v>
      </c>
      <c r="R122" s="15" t="s">
        <v>311</v>
      </c>
      <c r="S122" s="96"/>
      <c r="T122" s="96"/>
      <c r="U122" s="104" t="s">
        <v>68</v>
      </c>
      <c r="V122" s="42"/>
      <c r="W122" s="42"/>
      <c r="X122" s="42">
        <v>1</v>
      </c>
      <c r="Y122" s="52"/>
      <c r="Z122" s="52"/>
      <c r="AA122" s="52">
        <v>1</v>
      </c>
      <c r="AB122" s="70"/>
      <c r="AC122" s="70"/>
      <c r="AD122" s="70">
        <v>1</v>
      </c>
      <c r="AE122" s="61"/>
      <c r="AF122" s="61"/>
      <c r="AG122" s="61">
        <v>1</v>
      </c>
      <c r="AH122" s="104">
        <v>4</v>
      </c>
      <c r="AI122" s="81">
        <f>1/1</f>
        <v>1</v>
      </c>
      <c r="AJ122" s="81">
        <f>1/1</f>
        <v>1</v>
      </c>
      <c r="AK122" s="81">
        <f>1/1</f>
        <v>1</v>
      </c>
      <c r="AL122" s="110"/>
      <c r="AM122" s="81">
        <f t="shared" si="0"/>
        <v>0.75</v>
      </c>
      <c r="AN122" s="110"/>
      <c r="AO122" s="118">
        <v>0.12495000000000001</v>
      </c>
    </row>
    <row r="123" spans="1:41" s="24" customFormat="1" ht="65.25" customHeight="1" x14ac:dyDescent="0.25">
      <c r="A123" s="126"/>
      <c r="B123" s="126"/>
      <c r="C123" s="126"/>
      <c r="D123" s="126"/>
      <c r="E123" s="126"/>
      <c r="F123" s="129"/>
      <c r="G123" s="129" t="s">
        <v>54</v>
      </c>
      <c r="H123" s="129" t="s">
        <v>634</v>
      </c>
      <c r="I123" s="4" t="s">
        <v>502</v>
      </c>
      <c r="J123" s="96" t="s">
        <v>503</v>
      </c>
      <c r="K123" s="28">
        <v>0.25</v>
      </c>
      <c r="L123" s="96" t="s">
        <v>504</v>
      </c>
      <c r="M123" s="96" t="s">
        <v>505</v>
      </c>
      <c r="N123" s="14" t="s">
        <v>576</v>
      </c>
      <c r="O123" s="96" t="s">
        <v>506</v>
      </c>
      <c r="P123" s="4" t="s">
        <v>60</v>
      </c>
      <c r="Q123" s="4" t="s">
        <v>67</v>
      </c>
      <c r="R123" s="15" t="s">
        <v>226</v>
      </c>
      <c r="S123" s="96"/>
      <c r="T123" s="96"/>
      <c r="U123" s="104" t="s">
        <v>75</v>
      </c>
      <c r="V123" s="42"/>
      <c r="W123" s="42"/>
      <c r="X123" s="42"/>
      <c r="Y123" s="52"/>
      <c r="Z123" s="52"/>
      <c r="AA123" s="52"/>
      <c r="AB123" s="70"/>
      <c r="AC123" s="70"/>
      <c r="AD123" s="70"/>
      <c r="AE123" s="61"/>
      <c r="AF123" s="61"/>
      <c r="AG123" s="61">
        <v>1</v>
      </c>
      <c r="AH123" s="104">
        <v>1</v>
      </c>
      <c r="AI123" s="104"/>
      <c r="AJ123" s="104"/>
      <c r="AK123" s="104"/>
      <c r="AL123" s="110"/>
      <c r="AM123" s="81">
        <f>AL123</f>
        <v>0</v>
      </c>
      <c r="AN123" s="110"/>
      <c r="AO123" s="39">
        <v>0</v>
      </c>
    </row>
    <row r="124" spans="1:41" s="24" customFormat="1" ht="88.5" customHeight="1" x14ac:dyDescent="0.25">
      <c r="A124" s="126"/>
      <c r="B124" s="126"/>
      <c r="C124" s="126"/>
      <c r="D124" s="126"/>
      <c r="E124" s="126"/>
      <c r="F124" s="129"/>
      <c r="G124" s="129"/>
      <c r="H124" s="129"/>
      <c r="I124" s="4" t="s">
        <v>507</v>
      </c>
      <c r="J124" s="108" t="s">
        <v>508</v>
      </c>
      <c r="K124" s="28">
        <v>0.25</v>
      </c>
      <c r="L124" s="96" t="s">
        <v>509</v>
      </c>
      <c r="M124" s="108" t="s">
        <v>510</v>
      </c>
      <c r="N124" s="14" t="s">
        <v>576</v>
      </c>
      <c r="O124" s="108" t="s">
        <v>510</v>
      </c>
      <c r="P124" s="4" t="s">
        <v>60</v>
      </c>
      <c r="Q124" s="106" t="s">
        <v>28</v>
      </c>
      <c r="R124" s="5" t="s">
        <v>62</v>
      </c>
      <c r="S124" s="108"/>
      <c r="T124" s="108"/>
      <c r="U124" s="104" t="s">
        <v>75</v>
      </c>
      <c r="V124" s="48">
        <v>1</v>
      </c>
      <c r="W124" s="47"/>
      <c r="X124" s="47"/>
      <c r="Y124" s="56"/>
      <c r="Z124" s="56"/>
      <c r="AA124" s="56"/>
      <c r="AB124" s="74"/>
      <c r="AC124" s="74"/>
      <c r="AD124" s="74"/>
      <c r="AE124" s="65"/>
      <c r="AF124" s="65"/>
      <c r="AG124" s="66"/>
      <c r="AH124" s="83">
        <v>1</v>
      </c>
      <c r="AI124" s="84">
        <f>1/1</f>
        <v>1</v>
      </c>
      <c r="AJ124" s="84"/>
      <c r="AK124" s="83"/>
      <c r="AL124" s="85"/>
      <c r="AM124" s="84">
        <v>1</v>
      </c>
      <c r="AN124" s="85"/>
      <c r="AO124" s="120">
        <v>0.25</v>
      </c>
    </row>
    <row r="125" spans="1:41" s="24" customFormat="1" ht="88.5" customHeight="1" x14ac:dyDescent="0.25">
      <c r="A125" s="126"/>
      <c r="B125" s="126"/>
      <c r="C125" s="126"/>
      <c r="D125" s="126"/>
      <c r="E125" s="126"/>
      <c r="F125" s="129"/>
      <c r="G125" s="129"/>
      <c r="H125" s="129"/>
      <c r="I125" s="4" t="s">
        <v>511</v>
      </c>
      <c r="J125" s="108" t="s">
        <v>512</v>
      </c>
      <c r="K125" s="26">
        <v>0.25</v>
      </c>
      <c r="L125" s="108" t="s">
        <v>513</v>
      </c>
      <c r="M125" s="108" t="s">
        <v>514</v>
      </c>
      <c r="N125" s="4" t="s">
        <v>583</v>
      </c>
      <c r="O125" s="108" t="s">
        <v>515</v>
      </c>
      <c r="P125" s="106" t="s">
        <v>66</v>
      </c>
      <c r="Q125" s="106" t="s">
        <v>61</v>
      </c>
      <c r="R125" s="5" t="s">
        <v>226</v>
      </c>
      <c r="S125" s="108"/>
      <c r="T125" s="108"/>
      <c r="U125" s="104" t="s">
        <v>63</v>
      </c>
      <c r="V125" s="42"/>
      <c r="W125" s="42"/>
      <c r="X125" s="42"/>
      <c r="Y125" s="52"/>
      <c r="Z125" s="52"/>
      <c r="AA125" s="53">
        <v>1</v>
      </c>
      <c r="AB125" s="70"/>
      <c r="AC125" s="70"/>
      <c r="AD125" s="70"/>
      <c r="AE125" s="61"/>
      <c r="AF125" s="61"/>
      <c r="AG125" s="62">
        <v>1</v>
      </c>
      <c r="AH125" s="25">
        <v>1</v>
      </c>
      <c r="AI125" s="104"/>
      <c r="AJ125" s="81">
        <f>89/89</f>
        <v>1</v>
      </c>
      <c r="AK125" s="104"/>
      <c r="AL125" s="110"/>
      <c r="AM125" s="81">
        <f>(AI125+AJ125+AK125+AL125)/2</f>
        <v>0.5</v>
      </c>
      <c r="AN125" s="110"/>
      <c r="AO125" s="118">
        <v>0.125</v>
      </c>
    </row>
    <row r="126" spans="1:41" s="24" customFormat="1" ht="117.75" customHeight="1" x14ac:dyDescent="0.25">
      <c r="A126" s="126"/>
      <c r="B126" s="126"/>
      <c r="C126" s="126"/>
      <c r="D126" s="126"/>
      <c r="E126" s="126"/>
      <c r="F126" s="129"/>
      <c r="G126" s="129"/>
      <c r="H126" s="129"/>
      <c r="I126" s="4" t="s">
        <v>516</v>
      </c>
      <c r="J126" s="108" t="s">
        <v>517</v>
      </c>
      <c r="K126" s="28">
        <v>0.25</v>
      </c>
      <c r="L126" s="96" t="s">
        <v>518</v>
      </c>
      <c r="M126" s="108" t="s">
        <v>519</v>
      </c>
      <c r="N126" s="14" t="s">
        <v>576</v>
      </c>
      <c r="O126" s="108" t="s">
        <v>520</v>
      </c>
      <c r="P126" s="4" t="s">
        <v>60</v>
      </c>
      <c r="Q126" s="4" t="s">
        <v>310</v>
      </c>
      <c r="R126" s="15" t="s">
        <v>521</v>
      </c>
      <c r="S126" s="96"/>
      <c r="T126" s="96"/>
      <c r="U126" s="104" t="s">
        <v>68</v>
      </c>
      <c r="V126" s="42"/>
      <c r="W126" s="42"/>
      <c r="X126" s="42">
        <v>1</v>
      </c>
      <c r="Y126" s="52"/>
      <c r="Z126" s="52"/>
      <c r="AA126" s="52">
        <v>1</v>
      </c>
      <c r="AB126" s="70"/>
      <c r="AC126" s="70"/>
      <c r="AD126" s="70">
        <v>1</v>
      </c>
      <c r="AE126" s="61"/>
      <c r="AF126" s="61"/>
      <c r="AG126" s="61">
        <v>1</v>
      </c>
      <c r="AH126" s="104">
        <v>4</v>
      </c>
      <c r="AI126" s="81">
        <f>1/1</f>
        <v>1</v>
      </c>
      <c r="AJ126" s="81">
        <f>1/1</f>
        <v>1</v>
      </c>
      <c r="AK126" s="81">
        <f>1/1</f>
        <v>1</v>
      </c>
      <c r="AL126" s="110"/>
      <c r="AM126" s="81">
        <f t="shared" si="0"/>
        <v>0.75</v>
      </c>
      <c r="AN126" s="110"/>
      <c r="AO126" s="39">
        <v>0.1875</v>
      </c>
    </row>
    <row r="127" spans="1:41" s="13" customFormat="1" ht="23.25" customHeight="1" x14ac:dyDescent="0.7">
      <c r="A127" s="122" t="s">
        <v>1</v>
      </c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4" t="s">
        <v>0</v>
      </c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4"/>
      <c r="AE127" s="124"/>
      <c r="AF127" s="124"/>
      <c r="AG127" s="124"/>
      <c r="AH127" s="124"/>
      <c r="AI127" s="124"/>
      <c r="AJ127" s="124"/>
      <c r="AK127" s="124"/>
      <c r="AL127" s="124"/>
      <c r="AM127" s="124"/>
      <c r="AN127" s="124"/>
      <c r="AO127" s="125"/>
    </row>
    <row r="128" spans="1:41" s="38" customFormat="1" ht="20.25" thickBot="1" x14ac:dyDescent="0.25">
      <c r="A128" s="133" t="s">
        <v>635</v>
      </c>
      <c r="B128" s="134"/>
      <c r="C128" s="134"/>
      <c r="D128" s="134"/>
      <c r="E128" s="134"/>
      <c r="F128" s="134"/>
      <c r="G128" s="134"/>
      <c r="H128" s="134"/>
      <c r="I128" s="135"/>
      <c r="J128" s="139" t="s">
        <v>30</v>
      </c>
      <c r="K128" s="140"/>
      <c r="L128" s="140"/>
      <c r="M128" s="140"/>
      <c r="N128" s="140"/>
      <c r="O128" s="140"/>
      <c r="P128" s="140"/>
      <c r="Q128" s="141"/>
      <c r="R128" s="142" t="s">
        <v>636</v>
      </c>
      <c r="S128" s="143"/>
      <c r="T128" s="143"/>
      <c r="U128" s="143"/>
      <c r="V128" s="143"/>
      <c r="W128" s="143"/>
      <c r="X128" s="143"/>
      <c r="Y128" s="143"/>
      <c r="Z128" s="143"/>
      <c r="AA128" s="143"/>
      <c r="AB128" s="143"/>
      <c r="AC128" s="143"/>
      <c r="AD128" s="143"/>
      <c r="AE128" s="143"/>
      <c r="AF128" s="143"/>
      <c r="AG128" s="143"/>
      <c r="AH128" s="143"/>
      <c r="AI128" s="143"/>
      <c r="AJ128" s="143"/>
      <c r="AK128" s="143"/>
      <c r="AL128" s="143"/>
      <c r="AM128" s="143"/>
      <c r="AN128" s="143"/>
      <c r="AO128" s="144"/>
    </row>
    <row r="131" spans="35:37" x14ac:dyDescent="0.25">
      <c r="AI131" s="1"/>
    </row>
    <row r="132" spans="35:37" x14ac:dyDescent="0.25">
      <c r="AI132" s="86"/>
      <c r="AJ132" s="86"/>
    </row>
    <row r="133" spans="35:37" x14ac:dyDescent="0.25">
      <c r="AI133" s="87"/>
      <c r="AJ133" s="80"/>
      <c r="AK133" s="79"/>
    </row>
  </sheetData>
  <mergeCells count="83">
    <mergeCell ref="A4:D4"/>
    <mergeCell ref="F4:I4"/>
    <mergeCell ref="J4:Q4"/>
    <mergeCell ref="R4:R5"/>
    <mergeCell ref="S4:S5"/>
    <mergeCell ref="A1:B3"/>
    <mergeCell ref="C1:AH1"/>
    <mergeCell ref="AI1:AO3"/>
    <mergeCell ref="C2:AH2"/>
    <mergeCell ref="C3:AH3"/>
    <mergeCell ref="A7:A13"/>
    <mergeCell ref="B7:B13"/>
    <mergeCell ref="C7:C13"/>
    <mergeCell ref="D7:D13"/>
    <mergeCell ref="E7:E13"/>
    <mergeCell ref="T4:T5"/>
    <mergeCell ref="U4:U5"/>
    <mergeCell ref="V4:AG4"/>
    <mergeCell ref="AH4:AH5"/>
    <mergeCell ref="AI4:AO4"/>
    <mergeCell ref="A14:A31"/>
    <mergeCell ref="B14:B31"/>
    <mergeCell ref="C14:C31"/>
    <mergeCell ref="D14:D31"/>
    <mergeCell ref="E14:E31"/>
    <mergeCell ref="F7:F13"/>
    <mergeCell ref="G7:G10"/>
    <mergeCell ref="H7:H10"/>
    <mergeCell ref="G12:G13"/>
    <mergeCell ref="H12:H13"/>
    <mergeCell ref="F14:F31"/>
    <mergeCell ref="G14:G23"/>
    <mergeCell ref="H14:H23"/>
    <mergeCell ref="G25:G27"/>
    <mergeCell ref="H25:H27"/>
    <mergeCell ref="G28:G30"/>
    <mergeCell ref="H28:H30"/>
    <mergeCell ref="G48:G52"/>
    <mergeCell ref="H48:H52"/>
    <mergeCell ref="A32:A42"/>
    <mergeCell ref="B32:B42"/>
    <mergeCell ref="C32:C42"/>
    <mergeCell ref="D32:D42"/>
    <mergeCell ref="E32:E42"/>
    <mergeCell ref="F32:F42"/>
    <mergeCell ref="G33:G36"/>
    <mergeCell ref="H33:H36"/>
    <mergeCell ref="G37:G38"/>
    <mergeCell ref="H37:H38"/>
    <mergeCell ref="G39:G42"/>
    <mergeCell ref="H40:H42"/>
    <mergeCell ref="A128:I128"/>
    <mergeCell ref="T54:T57"/>
    <mergeCell ref="G58:G60"/>
    <mergeCell ref="H58:H60"/>
    <mergeCell ref="G63:G69"/>
    <mergeCell ref="H63:H69"/>
    <mergeCell ref="G61:G62"/>
    <mergeCell ref="H61:H62"/>
    <mergeCell ref="G54:G57"/>
    <mergeCell ref="H54:H57"/>
    <mergeCell ref="J128:Q128"/>
    <mergeCell ref="R128:AO128"/>
    <mergeCell ref="G117:G122"/>
    <mergeCell ref="H117:H122"/>
    <mergeCell ref="G123:G126"/>
    <mergeCell ref="H123:H126"/>
    <mergeCell ref="A127:M127"/>
    <mergeCell ref="N127:AO127"/>
    <mergeCell ref="A43:A126"/>
    <mergeCell ref="B43:B126"/>
    <mergeCell ref="C43:C126"/>
    <mergeCell ref="D43:D126"/>
    <mergeCell ref="E43:E126"/>
    <mergeCell ref="F43:F126"/>
    <mergeCell ref="G70:G77"/>
    <mergeCell ref="H70:H77"/>
    <mergeCell ref="G78:G116"/>
    <mergeCell ref="H78:H116"/>
    <mergeCell ref="G43:G44"/>
    <mergeCell ref="H43:H44"/>
    <mergeCell ref="G46:G47"/>
    <mergeCell ref="H46:H47"/>
  </mergeCells>
  <dataValidations count="18">
    <dataValidation allowBlank="1" showInputMessage="1" showErrorMessage="1" prompt="Definición clara del propósito fundamental y el contexto dentro del cual se desarrollan las actividades de la Unidad. Debe iniciar con un verbo en infinitivo." sqref="F5" xr:uid="{4B1BCB82-1460-4ADA-A7BC-30497C5162EB}"/>
    <dataValidation allowBlank="1" showInputMessage="1" showErrorMessage="1" prompt="Nombre del indicador relacionado directamente con la Estrategia Institucional" sqref="H5" xr:uid="{1FC6B5F4-73C8-4F1A-9BAB-CF45C6771CEA}"/>
    <dataValidation allowBlank="1" showInputMessage="1" showErrorMessage="1" prompt="Define los cursos de acción que muestran los medios, recursos y esfuerzos para el cumplimiento de los objetivos estratégicos." sqref="G5" xr:uid="{FCA27ABA-9AF2-41EB-94E6-B5E1F503FB59}"/>
    <dataValidation allowBlank="1" showInputMessage="1" showErrorMessage="1" prompt="Indica el nombre del Objetivo Sectorial estipulada dentro del Plan Estratégico del Ministerio del Interior." sqref="E5" xr:uid="{48B079A9-48E2-488E-BE31-4A1A910C90A4}"/>
    <dataValidation allowBlank="1" showInputMessage="1" showErrorMessage="1" prompt="Indica el nombre del Pacto estipulado dentro del PND._x000a_" sqref="A5" xr:uid="{7F95C7E4-24E4-4E20-B368-A248AA9B7E9C}"/>
    <dataValidation allowBlank="1" showInputMessage="1" showErrorMessage="1" prompt="Indica el nombre de la línea estratégica estipulada dentro del PND. " sqref="B5" xr:uid="{7431CB92-F6C2-4633-8B6F-144B2BED9315}"/>
    <dataValidation allowBlank="1" showInputMessage="1" showErrorMessage="1" prompt="Indica el nombre del Objetivo estipulada dentro del PND." sqref="C5" xr:uid="{E8C8F9AB-1BA8-4886-9DF0-8BBB8169D3E2}"/>
    <dataValidation allowBlank="1" showInputMessage="1" showErrorMessage="1" prompt="Indica el nombre de la estrategia estipulada dentro del PND. " sqref="D5" xr:uid="{7E73AB68-BC27-4146-A001-DEF672E84C19}"/>
    <dataValidation allowBlank="1" showInputMessage="1" showErrorMessage="1" prompt="Establece el mes en el cual se debe hacer el reporte teniendo en ceunta la periocidad definida del indicador." sqref="V4:AG4" xr:uid="{6AB02F1E-92E1-429A-BD81-61A7643A3027}"/>
    <dataValidation allowBlank="1" showInputMessage="1" showErrorMessage="1" prompt="Establece la periocidad en que se debe realizar el reporte del indicador." sqref="U4:U5" xr:uid="{176591FF-5E47-4E51-8FCA-C3FF88801DDA}"/>
    <dataValidation allowBlank="1" showInputMessage="1" showErrorMessage="1" prompt="Pueden ser de eficiencia, eficacia, efectividad y de producto." sqref="P5" xr:uid="{6A05EEC1-CBD8-4E17-9553-E535C19C0052}"/>
    <dataValidation allowBlank="1" showInputMessage="1" showErrorMessage="1" prompt="Corresponde a la ecuación, la cual indica la forma en que se calcula el indicador" sqref="O5" xr:uid="{51CD6566-3B97-402B-BF97-3A04B7E209EE}"/>
    <dataValidation allowBlank="1" showInputMessage="1" showErrorMessage="1" prompt="Nombre del indicador." sqref="M5" xr:uid="{34B5C2B8-4509-4D72-A8B7-52E46B2FC626}"/>
    <dataValidation allowBlank="1" showInputMessage="1" showErrorMessage="1" prompt="Es la ponderación porcentual de cada actividad del Plan, de acuerdo con el nivel de importancia que tiene con respecto a la estrategia. La sumatoria de los porcentajes asignados debe ser igual al 100% en el subtotal de la estrategia institucional." sqref="K5" xr:uid="{D74006E6-EA2B-456A-BE98-036C2B806C90}"/>
    <dataValidation allowBlank="1" showInputMessage="1" showErrorMessage="1" prompt="Es el entregable de la actividad definida" sqref="L5" xr:uid="{774EF5D4-69F9-481D-8087-C5A099239BFB}"/>
    <dataValidation allowBlank="1" showInputMessage="1" showErrorMessage="1" prompt="Describe la actividad que va hacer medida con el indicador. Debe iniciar con un verbo en infinitivo, ser cuantificable y clara" sqref="J5" xr:uid="{FCF3D1FD-8CBB-4470-8540-618D1CDFBE34}"/>
    <dataValidation allowBlank="1" showInputMessage="1" showErrorMessage="1" prompt="Dependencia responsable" sqref="Q5" xr:uid="{75B12134-586E-4517-AD0F-2FFBEDFB1A1F}"/>
    <dataValidation allowBlank="1" showInputMessage="1" showErrorMessage="1" prompt="Describe el número al cual se encuentra asociada la actividad y aporta al objetivo estrategico y a la estrategia institucional." sqref="I5" xr:uid="{1DDAD113-01D7-4A43-BD21-CBD661C54972}"/>
  </dataValidations>
  <pageMargins left="0.7" right="0.7" top="0.75" bottom="0.75" header="0.3" footer="0.3"/>
  <pageSetup orientation="portrait" r:id="rId1"/>
  <ignoredErrors>
    <ignoredError sqref="AM52 AJ14 AM90 AM12:AM13 AM26 AM28 AM107" 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P a s e o   1 "   I d = " { 9 6 9 3 B D C 9 - 9 E 9 7 - 4 F C F - A B B 1 - 7 5 0 E 7 3 D D 2 D 5 3 } "   T o u r I d = " 3 e 5 7 0 8 b 0 - 5 9 c 3 - 4 3 c 6 - 9 0 5 f - 0 6 c c a a 0 2 6 7 b 4 "   X m l V e r = " 6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B C E A A A Q h A V l M W R s A A D K 9 S U R B V H h e 7 X 3 3 f 1 t H t t 9 B B 1 h A s B d R h R R V L c l 1 L c u W v f Z 6 9 5 X k J S 9 5 b 7 M v y S a 7 y d t 8 P i / / X n 5 4 L 8 k W 2 2 t b x e r F J k W J 6 h J 7 A Q m Q 6 E D O 9 8 z M v R c g S J E S Z V 4 A + U q H M 3 f u R Z u Z 7 5 w z Z 5 r n n 8 9 d K d H / B 0 X C I T p 9 b I R 8 l K N i s U i l U k l C A H G D f D 4 v o c / n k 9 A g s b J M L a 1 R f a W w m k x S c 0 u L v i L K 5 X I U C A Q k n s 1 k K B g K S d w A n + P x e P S V D b x P U 3 M z / e l e R K f s L K p 9 p o H z H u J O 8 f v 9 / H t 8 V E i M U i G X 0 k 8 1 N r w 6 b G j 0 H X i H P j k 5 b J E J k s 2 k 5 Z 4 h E 0 I I i F R J J q Q b o h m A M E 4 y 4 R l D J i A Q D O q Y I h r u o 5 I W C g X K Z j O U T q X k P S a X f b S w 5 q M v J l 4 P m Q D z 2 6 r B e c / E T R 7 h N 2 c y O a K m Y x Q d e F e e a X Q w o d A C N a 5 0 D r x D b 7 Q n u R L n p D K j o i z M z 5 H P H 7 A q E C T P l d 4 A F X 1 t N W l V L C A U D k t o A O 2 T S K z o K 6 L U 2 p p V G Q G Q B 8 D 7 g G i 4 h p Y D W Y P B E I U j E f J z + p P Z N Z p L N f F r 5 f H X C u f v r Y T z n h H 8 F u Q Z G o S V l T y F u 0 C q 9 X n c S O L 5 5 / N X f 4 S i c h 8 C k Q 5 6 a 2 i A 2 k J Z r R W y N L / q o + 6 W I i W Z C K 3 R N q k 0 T h S L B a 7 4 1 Z V 6 a m 2 V I k 3 N + k q h y O / L L 6 B 0 O k 1 N T U 0 6 1 U a B W / h 0 J k X N z a 0 6 Z T 2 e x H 1 0 d 9 b W b D 8 2 D P G d M G n O 0 O v 1 S m P g 9 / v I k 3 1 M u d S i 3 G s 0 e P 6 l A Q n V 3 P s W v d e f I W / J 7 i 8 Z A S q J B M z P z l B n d 4 + + 2 h p W l u N i u r X F 2 s v 6 S 8 5 K C i I H H e Z f N X w 5 E a a C U m y 7 h h c R y w i I h b 4 V K 1 h a m 7 0 h 9 x s J D U e o S P c 7 d G Z w l f L c T + E a s I 5 I h U K e W 1 q / X A P m H v o 1 X G X Y D P M z C V V f y m A 1 m e D + U r m W y e W y b M q t J 4 r 5 j E K + o D 4 b / z g M s I n p r e i f 8 c f Q x c c h W s u u r 8 y 7 h a 0 Q y 5 A q H P Z R e v 6 a 3 G s U M K G u N Q S h U F k D s V P 0 / p 5 V K u Z S U n F R k d H P a W E y I A 5 t h Q q B / l K B z b t Q K M x 9 n F X x s A G p 1 B q 3 v O t N t 0 r g f V C p g H w + x 5 W r u s m G 9 w u H I 2 W V F G R N p I k u P 3 t 9 T o h X h f P 7 G p g 0 h B D k L / I g H P J T N n 6 L S p y f j Q D P v 1 y o f 0 J 5 v G z b R 0 / R m 3 1 r 1 O z P K s 3 A A i 8 V C h 9 9 I 7 6 U V t U A 9 0 1 Y r Q I Z 4 D 2 c r 6 t 0 h 6 N / 5 t Q 6 l e / n d K W n c x 7 6 9 m G 5 K 9 2 t q J Y n J g 2 h E e R N k L V 6 f o V J V a p / U t W 9 2 9 z r D w q Z / K U s t Q S U e 9 o I K j o K H S Z e S X v f A N w D V p M r V i U B k A 7 t g 3 6 P g d F 0 I E a K + 0 v 8 A n 0 H Z I L 5 W O 5 i z z D h n A C Z l u N L d O V p s G b I B J g 8 c s K k I T S C B i W T z Z G v 9 R Q 3 b J v 3 F e s B X h R / P Y u 3 + Q 0 Z K 3 l 7 I C V k Q C E 7 H R E A Q o w L O d O A 5 p b y g V q Q C 2 a M 0 4 m A C o N 0 E C M C V 7 d D W 6 3 E l 3 X M R r j C v Q 5 c n e u n e K r 2 2 r b K / A J M m h H k N f K o I 5 I m T / P x q m V U T 1 K 3 4 1 B e f 5 h 8 b W / L + J L f w 2 a Z 1 y Z R R g / a O o F 0 J z L p r Y 3 8 5 + D c 0 I C m w Y A w t B W A v t f q K s a 4 4 J r P S 9 8 M f a o c X 8 N p A U m k u d K V f 3 T N o T L v D E x + Q y b j 3 D f F 4 H c L N B U a l e r l V u v i + d 8 X r 9 d 4 c V a H v + 0 t 0 U x o H d 8 d z F A 0 p G Y y o M V 0 m n G o 3 B h A B T J p R T T 0 g Z z P b I b K P h K A 9 7 k 0 G a N M v s Q t F l c o P X Z 1 d i h D s w k v 9 5 W 8 d K j H H i j + 4 9 3 1 W q s W U S 3 P k O Y U 5 J X X w / 3 I 1 K h + o r 5 Q l 4 Q K x E A m 1 g j c I o J A w G c j K R k X g r l m z C 5 o k k Q i w V p k l c M k D Q z 0 U y w W k 3 t b Q T K V p 2 Q u R H 5 f i Y L M q W i 4 y C T y 0 K U n Q Q k 3 Q 1 d z g d 7 a o 0 j 1 3 e M g J T L 1 0 5 2 t J J Y h E w C T 2 e f j 3 8 p a y 5 c Z k 7 R 6 Q t 0 R K t T x F q W 4 o k N z W H 2 m Q p b O 7 k + S h 8 3 A b E o R C P 0 d m H V d 3 T 1 W Y Y + N 3 a F j x 4 7 S 3 N w c z c z M 0 K F D h y h U M Y E V S L G G O f f w 1 T r Y B 7 t y N N S h v F 4 g 3 z c P a s c h s R V s R C o I S I X b n l K R f N l x / U R 9 w M s / s W 7 + h T v e o H S 6 U E Y m S C j g o 5 l U M 1 f a M L W 2 t l J v b y 9 F o 1 G Z L 2 c K H s + l U m m 6 d 2 + C u r q 6 a G R k h B b m y 6 f P 5 F n Z Y d b C q 5 I J m E 3 a Z m L I X 3 9 W N / L T C V M W E F U 2 G L j 2 U C E w 5 C j B 2 v 9 X N 3 Z G + 9 4 3 K Z 3 x r S M T 5 H B 3 j h 4 u B K T i 4 h q A m 7 z V s d w C x D p 0 8 A B r p R G J Q z M 9 f P T Q e j 5 X 8 N B X O z g F K J H 2 U j J j t + K w g o D 2 J v U B k U D t k 8 z k n Y E p D 4 i U E f 8 r l P x U C h / S T 9 Q + W P f y 3 x q X U G s n L S 2 p g d o y M v F t A E 6 A k L 9 I 7 d z H M V h e i e u Y A l 7 X 2 m b 3 n + L x J Y q E / E J Q 4 P y j n R 9 D u f I 0 x N 9 T x Q 1 R l 9 Y U s z D I W w 9 A O V T C l A 8 K D 2 6 b d L Z A J S 8 3 b h X l W o t S F x o q 7 x 2 0 y G Q I J d D h c p q o x Z + h m S S 0 g l e c E b F Y h 9 w z W F m x x 4 w w c z w W a x e 5 d e s 2 P X 3 6 j B K J V X 1 3 5 w A T 8 r s n Q R q b L p + a h M H B 9 d W w P m D K x p A K 9 R A 1 M V 1 q l 1 i t o + Y H d s O d b z J B l J k H M T A F t 6 c t T 6 c G 8 l T w B G S 8 Z z X L h Y c Z D Q z M 0 w M w R t T i W A w I 7 Q S z b 3 j k E B 0 / f p S W v X s p 3 G T f 3 y q C W + g b g e D P V 8 r d 7 v q r W / B 5 X / w + b o b V w G m Y a y k z x D m v 0 Z 9 a K + 6 t W s a 1 J K y h q i X X h j R 3 D l M q p V a O G j K Z l s 9 g c t l P C 6 t e G o i q + 6 j A r d E o T U 8 9 F 6 c E g K l H m N U A z Q R 0 d f X w e x R l 4 D U U i t D 0 6 s t 5 4 L I v c J 1 v h E r 6 F I o v 9 z 5 u w k a k A r D G D A J S Z a k b K T U r N d 2 H W s u 2 C p k M i U T 4 l h N o A W 9 N B e h p X G m B h 4 s + y n F F 7 + n t s 2 a E S + F 6 S r J A M L 6 0 Q D 4 / E 2 x 5 W Z Z f P I 3 b U 4 l 2 A j A J e l o L r D V z 9 N F Q h g 5 3 5 6 k 5 i A m z + o E 6 h p N E g L P c p E A 5 E 9 I 5 7 q v q 8 q 1 F q d k + V K j j F G u Q c i e E w I Q M k / b J c N r y o g H j 8 3 7 L 3 A M w Q 7 y j s 5 v J t E i x 9 k 5 Z l o 5 F g c A j J u B O 4 U h P j j 4 8 k G G N 6 a P x W T / N s e b c 1 5 6 n M 5 z 2 + a E 0 v T O Y p U 7 t 5 a t X W O X k A N I 8 M j a F e S U e S m Z 7 9 Z 3 a g + f / X r q 5 / h e 6 H M H m L k o X + 0 Q 7 w Q t n C F V Z W O Y a i u j T g 2 n 6 4 p 4 9 x e f n h 9 N y f 2 Z 6 i v r 6 B 2 T P B 2 g s 7 A 0 x P z c r 4 1 W Y M P v F R P m y 9 q 0 C / i v T 5 d 4 O P t i f Z Y 1 V p L G Z A E 1 W 9 K 3 q B W b s z 8 B c w 8 w u 5 H N U 4 j 5 t V / M y 5 Q u 1 t 5 O S 5 / e X b t U c o a j l J G U y W c s R s R m Z D E a 6 8 j T B m s l g q H m K I p T g 1 5 e o k 7 X T y k p c F g 9 G t e s c E 1 l h + m G 3 o Y q 3 q g o / k / Z k X 4 4 6 W g p C I 2 z 9 d W G y S 9 3 c B k D + s 6 y x M J 0 J 5 i E c K V 8 / C H P l U v e D n J 4 t b J + o b s N 6 U v E f / q 1 w E B U L I B X n Z d O C u l l D q D m T L x Q b 4 U x 3 j D V V q e 3 V 0 p x k A g J N X a y Z B k U r L S 3 O U 3 t H l 5 A J 0 5 F g A i 6 x + Y d C 3 w q Z A q U k v d 0 1 R Z 2 a T P O z s / Q g 8 X J u Y P h W v n 4 Q o t U M m z / 8 2 S D U B / s y d H p / R g j m J J N s A l O j W F 9 G 0 O k I + P d p 0 2 9 / h 3 t X L W 8 E z + 8 v 1 5 a G K j W d k C U Z W z H 1 N s P R n i y 1 F O d l i Q V m l 2 N Z B V 7 n 9 a p 9 H Z 4 + f s j p Y b q f O k B r L x h k 3 c / 9 o I M d G S p A W 7 I s Z J v o h 6 n X s 1 M R v s m b A 1 m K e N f o + 9 s / 0 E / e f 4 c W k j 6 6 N Y 3 1 X O q Z W k G l l g J g 9 h V Z S 8 H 0 g 6 b q b l 3 S d 2 o D N a W h w p 0 n u e K v n 1 r k x F b I F A m W a D B W p L b 2 d t Y A R V p j 8 2 w 1 k a D k S k I 2 Y 5 m d m Z J 9 I M K R M H 3 A 5 t d m a O L + z q H u v O x Z g b V Q I G d b 6 P X V b L z z j c k g 5 Q o l a o o E h W D d r U X 6 6 X C G 3 t t n r y S u B V Q v K 6 W h V N P h o Y F Q b W l h / u b q i 7 t d P N 4 A Y T z W k K k a t k I m w D x m X O 5 N L S 1 M r g 4 q w X X O / S g v t 5 w g U 1 N T s 5 h Z 7 Z H 1 n j e f p 0 g 9 L U X 6 8 I B d i R c X F + n S r Q d c 4 V / e 1 T 4 Q L d B P 9 m b F O e G c z 4 d c O N a T o 8 G 2 g r j Z H y 9 4 R L s + W A z Q v b k A 3 W a N O L X i o 1 7 + T g C 8 m p j D e J D 7 j m 5 G t T K D 5 h L t x T K V j n J e 2 / X A 7 e L 5 w + X b W 6 u F u 4 x Q 5 w l K J O w 1 T q Y g n A W y V U I B f k + B j r U + o d 6 + P s q x C Y l V v N g B C b s Q o W / S 0 d V N y 8 t x y v O 9 r p 4 e Y o V A V x 8 W a L g 3 w J 3 l I i V w j 8 0 S r 8 / P z 6 3 Q / P w 8 x W J t l G 4 6 T N P J n Z / 3 V w 1 B S l O W a n 9 x Y r n p h + U 2 W D Y P k w + m X 5 Z O D y b p c a I 2 h h N q Z m C 3 m n Z 6 W T I B + Z K P 7 q w e k F k U H i Y F N v r v H x i k 9 o 5 O + R w I 5 v K B T A v z s + J 1 e n / Y R 4 W V Z 7 Q w O 8 3 P t 1 I 8 v k w L C 4 v U 1 d V J / f 1 9 L P 2 U y L 6 e v l M 1 1 A O Z g P K y 4 8 L G f 4 d W k v v 2 p a u l J v p Q g b Y j Z Z r J y K s C S z K u P w / R 1 w + a y l b M d v X 0 l i 1 r 7 + z q E W f F 0 u I C 9 f Y P U H d v n 9 z v 7 u 0 V U m G 8 a n F x S V Y D Y 6 6 g W x G u k S U h a r t r 2 + z 7 b i x O f a F a 0 V A 1 g G z O 3 r i / G l 6 V X H B N Y x k 6 9 n a 4 9 i x I s z P T + o 4 C Z j Z c f x 6 m l Y I 9 y H v n z h 0 a G 7 3 D / a y I j F k F A 0 H 6 P 7 e z l F p d F p N w T 6 w g 0 4 r e 3 J O j E / 3 2 / h G 7 C S w J c S v d r T L k 0 N m H A r G K z X s o 4 J z q 4 m J 4 / n D l e 1 c 3 W 7 4 g 9 0 u o X z S U c Z U D T h K 9 K q E 2 A q Y B L a 5 h T M T G W 3 u y F C q u 0 N r a q q z 8 N Y j H 4 z T 6 w x i 9 + d Y p a t Y 7 z R q k 0 x n Z R + H R T I p u T 3 o p G t v + g O / r Q m d T Q Y 7 L c Q N A I l O W 6 M e i H w X 3 O f q q A T Z w D 3 R n a M 3 l g 9 p w a E l D 4 F Y p h Q b L i A T 8 G G Q C F i r I B N x 4 H q R n 0 3 G Z m m S A 9 V U 3 b 9 y i D 8 6 c X k c m E G 1 8 / C 5 N 3 L t P b a H M S y 0 D e Z 0 A m T i b X Q G r L B F K + a t K g H 8 Z J l K b H z v 9 2 n X D j e J 6 P Z r L 2 X 2 m 1 0 m e 7 e D u S i f l P G q P c 5 D p 4 s V L t H / / P h o d H a O H D x 6 K R p q c n K S L F y 5 x 2 h 0 6 c u Q Q H T t + l N o 7 e r i f 5 T 5 H A i q C W 6 B I h P / 4 U o p M E u U / 2 B z H 7 f D 8 8 a p 7 T b 5 I 5 z G K L 9 v r n S p J 5 Q a C J e N z 3 N k v 0 M 9 P t X O R 5 + l P f 7 5 M 7 7 5 5 i F Z W V m j f v n 0 y t U k q C e P x o p / u V U y B c h O w 5 8 a L t j / 7 s Y A Z J 4 U i m / n c Y J W K O W m 4 q J C l E w N p W i 7 + e J 7 U 7 Y I p r 1 o C N 8 p a C v P Z 3 K O Z q q E l 1 k 3 + 5 j 7 6 6 n 6 I v r z P 5 l 7 P u z Q z u 0 C D g 4 P i C T R k A p 4 s u X v 2 u F v I Z C D f h v P P 7 L e R L 7 K W W s Z U J L u O u E 1 c q 0 M 9 v i D 3 n d T u O I C b S e W E N 9 h K 8 8 G T 1 m 6 0 B v j 2 6 A f s J E 4 P J q j N p 7 Y 6 2 9 l 3 d g v U r 5 K O P u L 8 P x p t J R + 5 1 4 X u W q d E s A 2 z y u 0 J s I C T V G 4 m G G a E X 3 g Y o v H p I t 1 6 p u a i 7 c S h a X g H C E y z d 7 u n 6 f f f j t L T e f X + f V F 3 T z H a L r j U J c T v l R g q B V 9 B 4 8 8 9 G C 2 r K 6 6 S P 1 3 7 w Z U 1 s 9 R 0 n F I p d f 6 t I V W t E M r A u z x O m Y V 7 1 B G L U k / / A F 2 b b K a 2 z n 5 9 d + v A G q l T / W p u H + b x J Z N J 2 Y 0 p s v c 0 9 c U C 1 N 9 a P o E U J 8 e P z r i 3 n 7 E V y J l d 6 E e J 2 x x D J h z m s u Q p p O l o + y J l W r Z 3 P O u P B S b U q C t r Z i 5 4 V E 6 t M N O A g F o j 1 M n + H L U F M 1 w x s r I g c j 4 d o U c r b f r u 1 v H x c K Z s d 1 l 4 E / f u H a Q U t b H x 4 6 G + C k I B 6 K 8 F u M s G E k I 7 j s 1 i c F x d D 3 f m q S V U p O + n 1 M y O k e 4 c T c y 5 i 4 C q 3 A t U L C N U j q + z 1 L x y h f p P v K + f d B d c 2 Y f y N / V J h j q 1 U q 2 R C Z h e 8 V L J G 6 B w u I l w C M F Q t 5 + 8 6 R n K 5 d Y f p + N j c 2 E j B H z 2 7 8 W B b b M z s 3 K q / O 3 p I N 2 Z r e 4 1 3 N d e o P 5 o g W K R I g 2 0 F W T P C g g 2 h k F 6 a 6 h E x 3 t z Q j C 3 k Q m w s 2 N 9 x n R 2 d l G o s K a v 3 A V X 9 q F K / n a L U L W M u V U f n e O + 1 F f 3 w 0 w u n 7 h + Q y u j b L 4 p j Y L f e o S 1 w 8 + 4 o n 9 y M E O f c Y j F g 1 h k Z 4 A D B W T z R I 3 Z 2 T n K 8 v u s r C T k 2 X 6 9 P d p W g M 9 z o o 3 J B o J 9 N r L 5 m q 8 f F 7 o R R V 3 Q K Q b m + z / P d F N i b s q q L 2 4 S V 2 o o D D n U O p m c g N t 3 n L X A b I J k i c e e D p + Q B x p j L 2 u S u 6 x l v p w I 0 T d M v O 6 W I h 3 w j l E x l 5 T d m n B K h x M w 9 T 7 5 5 C z d v c t 9 s 0 h O C P m q w E a a 7 p k q x 7 U S b g j 1 H / S S V A t 8 O 1 M M i I Z 2 I z g b 8 Q P c J X C X g 1 B O M a h V o u V Y K d 1 8 7 q P R p U 7 6 0 7 0 w Z f S y + j v c t 3 m 2 r M w 2 b M 2 c z R U p G m 2 h E 9 1 J C m 4 w B o y D D N C v y O Z 2 z r P 3 2 U i a j j T d p 5 h L t j F T R D J l r U I U v Q j H V / N Y c 7 a + 7 u y 2 u F J D G S d E v S E c a a F o 5 4 B U i v O P Q n R n J r B u N f C N e 7 M 0 M z 1 L X b G N W 2 C 4 j k O h o G w m g 4 O y Y U q + a p 4 t L C x R b 0 8 3 v T e Y p U M 7 o P V e D X q S L J h T D Z w + M Q 8 n i / v q i e e L G 2 M b f e 1 d Q T B 2 l J a X y 1 f m 1 o O G 2 i o y q V U 6 t S / A p u D m l Q U n L i 4 u L d L 0 1 I w c I I f h h X f f f Z s 6 O s o P Q d g K k K f I 6 8 d P n t L w 0 A F J + / p + a N e 2 K 5 M y h 4 e P v 5 O c T Z x X q 3 f h 5 c M K X r j P E b 4 9 s E b 5 t u 0 P Q 7 x O e L 5 0 G a F K T U d p b U 3 t a t S I h A L g I o e r f C s w + Y E h h u v X b 1 B v r z q R M Z l c l b V a w 8 P D c n 8 z z M 3 P U y c T 0 W x N b X B 3 z k / 3 Z w s U C P y 4 p y s a Q h U g c J m j c R V i g U h q P A q E e q t / l Y q x A f 0 q d 8 B 1 J h / z y C J R I 5 C n G s z c t a 0 A 5 F E m Y I h O n T p J 7 e 3 t c j o j z g v G 2 N d W 0 N X Z K S u P K y H 7 r i e / F 7 f 7 s d 4 c v T m Q Y x M 1 R 2 l 9 q M L r h J S 8 V f x c F + w L C z v Z h 9 w p u M 4 p g a 7 A R k R q F I K 1 v O Q 2 Z P B 8 Y b w L Z l 9 q L S X a a i s A I R 8 8 e C A a D t u o G W B G R o j W Z L x q D 5 O q u 6 V A B 1 s X 6 C f 9 i z I 4 / F o h Z c 2 C h l W u V Z I 0 t P r 2 r a m w p F f W o d 0 U 1 2 m o S t I 0 o p a K p 3 a g W L h 8 s Q 9 G J b D r r h M w F W d n Z 2 U N F 1 z y c 3 P z k u f o w 1 6 + f E X W c T m B B Z O x W F Q I 9 T 5 2 s 3 1 N Z 1 f h X V H 0 8 u 5 S B 4 w g 0 H E E 3 B i 4 C a 7 a 9 c g f a Z f C N N K o G I w V X n m z l 3 A 4 L P s E O r H E Z P j 9 7 / 9 A D x 8 9 k m 3 P J i e n 6 I s v v h I N 9 d 5 7 7 1 A n m 3 5 j o + N C s n Q 6 L a f g R x 0 r k w G 8 L / q 3 Q J Q 1 6 W B p l E r 5 H T Y B U f Y W a V Q 9 k C s V t e L Q V a X 0 S t W 6 t F s i g / B u k c 3 M v U b C 8 7 h P J s G + C r A U / 9 G j x + J W N 2 h n c / D o 0 c P U K q c 1 s n n i 9 d I v f v E 5 d X d 3 C 1 F w w J z f 7 x f B 9 c O H j 8 S D 6 A T 6 Z 1 j S D 4 B 4 c 7 M z d G J w 5 6 Y u S W O K f w g d c f 6 D u x V x o r m E u 3 b C c 1 U f S u U V M q u x 8 e a e V 9 9 S G d p n / 7 5 9 Q g w n u r q 6 a G k p z t q o g / r 6 y r d L w 3 l b e / b 0 S x p I d e b M a b p x 8 7 a + q 8 o m E o n I h j M A z M M T J 9 5 4 6 T 5 f V f B n l N U B V S l U m o l r Y k H S a Y y Z V a 9 P u y G u 6 k P 5 m 1 Q n u i x D G w x Y p t H V v A 0 3 X x V g u A F T n O Y X F s S x 4 E Q w G G K t s 0 Z X r l z V K T a g s V Y S C S v / Q S q Y g n j + x o 2 b d P 7 c B T r 3 7 X n q 7 O i k 6 e l p E Z x N j I m 2 O w E h C f / j i I q L 8 C X S n H 8 R E Z Q o k V w / 0 X g 3 4 S p 9 a V z m j Y h i M U + + Q k L m 8 r 0 M 0 K + Z m 5 u j i Y n 7 9 P X X 3 3 I f a Y E 1 U I / s b e E E Z h c s L y / T 0 N A B 7 m P N 6 1 Q F a B + Q C v 0 n E B H v d f H 8 d 3 T j + k 0 K B A J 0 + o P 3 u V 9 1 U P Z 9 x / X I y E F L w 2 G S 7 a t D k 0 j H h U 0 S q q j U D R 0 a s q X W W E N V q U u 7 J Z 6 v b o 3 z 1 3 I J m g 5 z Q a r 1 L 3 a m 2 V / P G a 8 3 s N 4 g 3 / x l 6 u n p F m 8 b x p W 2 A 5 D k h x / G p M K j n 4 N d b E E m 7 M j 0 8 c c f y Q z 1 5 X h c + l V v v H F c T D + c 2 h i p m G S K 1 1 y + d J V a o y 3 8 X i P U 1 t Y m J H M C e x L i / G G Q y o l L T / g z 0 y 9 v 9 G B B o a y B 4 n L G Q K 7 a m 0 8 N 7 K r Q 7 N O n Z k v k c x n y l P J 0 + v 0 h / Q 6 7 D 8 + f b 9 1 1 T S 0 t R g 6 x e d F Y h I L X 9 5 P h j K x 5 g q k G Y t y 5 M y 6 V G d 4 3 O B c q + 0 H V s M x E e M x k e f 5 s k v 7 q r / 9 C X o v z q h K c f u / e h D w z P D w k + w m C b J s h l c L x q L 5 N S Y 3 v 6 i Q a y u b i Y y x Y f M m N a H R Z q x X a a s o R y G X I Z E 0 9 0 i t 3 Z Q p S l v u a p R y d O X 1 Q v 8 n u w 1 V 9 q D r k y 5 Z g F h C i g m K m w 7 F j R 6 3 K e v 7 8 B R k n W m N t s h k y b K b t 2 7 e X f v b 5 p 0 I m w M f v g Y H e n / z k P R G 4 x S v J V N l I L X K / K 7 G y / E I N W a m 1 F u b n 6 M y B l 5 9 U i 2 + h v o l u R B 2 C a x F 9 r / L a T X C X z 7 F G 4 N / B w c y 3 9 6 z v e 5 j Z D i D A y Z M n 6 P n z K b p 1 6 / t 1 / S E n 4 E D A G i m c G b w d 4 H A 5 A B U T 2 q G D P 7 O n t 3 9 L F R U k B m A 6 d n U r h 9 J H Q 2 n y b 1 N J y W d p E a J U C N u C O q x 4 h r W k p F e r S 7 s k r t J Q N Q N k 3 A 7 k 3 J 5 Y n j q a u E J s g h Y 2 + W D q n D z 5 B l 2 + f F W O z 6 k G E H D v 3 r 3 S v 9 k O O j q 6 a H 5 2 R i q m 0 W w A T C 2 p r J s A J + Z j 6 U g 4 Y p + F G + F u F R o c L A E 5 0 Z f l C v Z i J 4 u Q w 9 I 2 S i T N k e 4 U / q P i e B b X L g J X C w e 9 d l 1 q A / m C m n P 4 q k i 8 o A M v n r v 5 e e o f 6 J e + 1 I c f n a G J i Q m Z / l O t H q G v U W m K v Q j Y P x B n C e N 1 z t c i H W Y c + r O b A Y 4 J J x G B s 0 M Z 2 t 9 e o L 5 o k T 7 a n 6 S 9 M T W z Y m M Y s t i r C y z R W k j d c w j S W R s j X r 0 u 7 Y 6 4 a q Z E o y H o 2 M m o E j m u y H A m o M J i 5 j g Q Y Y 2 A / h W m C 8 X j S / T o 0 S N x l W O K E T Z v S S a S Y v p t B y B D t K 3 6 T k w w 4 / B + m A 1 h p h t t F 4 G A n 4 7 0 5 G R n p q B j s 5 l K C G l M K H E T q j T + Y 9 + T d D t e r S 7 t l u y A 4 b J z w B d q J M w n f X I u r h O o u A s L C / T 1 n 7 8 R B w V O R X R q D r j E z 5 7 9 U D Z r M U T A 0 o s L 5 y / I 0 a S V r u y d A L 6 T c 0 b F V u H 0 B O K M L L M R z a H O N X p r I E t h Z 4 M i z I H 2 A U l Y 6 4 h m M m K T x x K j n T j u J r j K K S E B t 5 i V J k Q 9 4 / r E k t X 6 Y 0 Y C t B I W B 4 I 0 G y 2 / 6 O n p o S N H D l M H E w 7 z 8 H A k K f o x q X T 6 h S 7 x 7 Q K V t q 9 / 5 x b x 4 Y C g w V i J O p s L 4 s A Y 6 s A u T 0 w O h 8 Y x 1 x w R s d I 0 i Z z S 3 B w q q 0 O 7 L a 7 S U K X c n I 4 1 B g K e H A U W r 0 l L D k A z Y S o P 3 N 9 b H d h F R f v h + 1 F + X a u M M W 2 3 D / U i v K g P t R H w v a o 1 j P A I 4 j u i E c E z Q x 1 5 c W I I Q Q x h E E p c j c 2 p / p I i k H 0 P 1 y V q j d o O E T e A + 1 A u + t d A 2 g m d 1 / f 3 p m W 0 / 9 m z 5 z L d B 1 N 9 M F N i K 3 m A i g 6 P 3 7 l z 5 8 n n 9 8 m s 8 O 7 u n T 8 Z 0 e 9 / O R M S 3 6 / a 7 z B 9 P N w D I S A f H c C J 5 G p A 1 y Z L k Y q a N H b c k a 5 J F m 2 N O G v Q 7 v / 7 5 v s J 1 x i h J V 8 b J X M x m f U s L Z P O c A N n v B 6 A f f m S y Q T l s l m 6 c v W 6 j D n h N P k X I b 6 8 L C c m H h w e o v a O 9 n W n J u 4 U T H 5 v t 5 F L p 1 J l r n Q n U K 5 4 P + z Y B E 8 i P g N O j 2 i s n c u 9 S F / d 8 z N R 1 J Q j z J Q A M T H d S O 0 p o T Z p w T K T g p 5 6 9 O 7 b Q 9 T R E d X v v v t w V x + q q P Y 1 Q I a b Q t x u Y d Y S R m f 8 Y q Z h M P X T T z + R 5 R Q v A i r k d x c v y w 5 H g 3 s H X x u Z A E x b e p n 8 x + t W V t b v U Z H J p C 2 T 1 O v z C Z n w e 9 q Y T N A 2 H o + t g U T Q q E J 0 3 I j R T p B I U 9 i q P 2 4 Q V / W h B P W l h D Z F f 5 v t i o Y z Y S u V F w s G 4 U Z / n U Q y a K l Y r b t V d P f 2 s m l X 7 h U E e T C h F i E E c / I Q r i a T M u M C I f p X n C j p z C j 9 L I h T E Q e x E G c J h 3 b e q / k q Y E J V U G y X B X V q o 4 p V b 9 r q 2 t O Q z N D e a h u C f R 9 w 8 k Z r a 4 t U s N e J F T Y r X 8 b B A W I A O C D B A A 4 I m L V O e D x K Q 2 F T m E A w x C Z i k z Q q p n 9 k 9 Z M 4 t O J y j d n o 9 j 2 P f E e 7 / u y 2 u G p g F 8 I 5 h b 9 C n n o j U D V g u c P V p 1 t z d a P v g C U N 6 G f t t D e v E t t d P g L A H G u W 5 f U g v 1 p 6 j z S M Y Q W 0 B l a a p i R T l q C Z V D + q K F O m M A / R E M U S S y O p f R q N y Y f + F b / b u v q z 2 + K u y b E s i k M N Z P c x s M t R I i M / f F O g g 9 7 d 0 y O V H R 1 / V C 5 U z G R i R f Z 3 2 A 5 Q I T f T c q u r C U v b b B X O B j D C G g f f K V 6 x U Q w A j Q X z D 2 Q K h S P 8 X U r 8 m 8 K 0 n F a m o Y i Y e V o 7 G W J J q E n F 8 Y D f d Q a W + / p Q L f 5 n w q d G 0 E 5 O f P c 4 R I X i 5 r 8 Z s 9 C x j w M 6 / f C i Q U t h Z k R L q 1 p Q C G / Z V r C 4 M M + v 9 Y m n b a P G y + v z 8 z P b K 4 N 0 y l 5 i A j J i 2 l F 7 Z 6 d O U Q A Z M E 0 K G g x e u / j S I q U z K S Z w k q 4 / 9 c t 9 E Z A J x D H X 3 A C Y e / A C Q j 4 8 e 0 q / q 3 v g P o q z o P U B b F K Z s L 7 x c G H z 9 g 3 5 c f z 4 U f p h d J z z y C Y C K h n Q 3 d M r 3 j W 4 n K t B d f x X K d a u 9 j / H b H G 8 j R w 6 s L r K o h w D u I 7 F 2 k X L L C 0 s y L O b a T N g e T l O k S b b U d I k T h N l t u O 1 G G e L x x f p m / t + W s 5 g C T 1 M Q K 9 o J j + T d z 6 j + o W i h b Q m s q 5 N X E K b a O E w z N L y u r P b 4 j o N J d C Z y n + k Q J z K q p 4 1 F 4 6 1 Y c t m U 0 A r o S N / 7 d o N 8 f h h Q B c b p 5 g F i N E o l q z 7 a H 5 u V i o e + i b P n j 6 h m Z k Z 6 d + g 0 j v 7 X 5 K f / D / C B I g 0 4 3 4 T B U 3 / i e 9 B w x g t A f M S m g Q m 5 u L 8 P C 3 H l 2 R G + u z 0 p B D D C b x v h r + f I S K 8 f v F C B 5 3 e l 6 X O Z i w N U e + J / h V M w 4 k 5 r 6 T Z B M J 9 r Z W s O A t m W O h 0 N 9 Y F z 7 n R B y 8 o w h 8 f i 6 l u z k S v V b l U S 2 V / T W e 8 3 v B G X 0 6 O 7 N w M 6 I N g s S E W H Y b Y 1 I u 1 t 9 H + / f t l k x U D P I P N L O / d u y + T b O E A O H L s C D V X O a g M 4 0 O V h N g O o P m M M 8 I J 7 G E R D A X 5 s z P i g k 9 m S h T 2 Y d B W k c l 4 / 7 5 5 G K Y 8 a 9 U S p 9 t L 3 9 W B E W o P C e d e E h l Z + h 4 O E P 3 i L z / Q n + Q e u M 4 p A Q n 7 0 e F + u e U C t Y 6 x m c A L X T J o 1 U G S n / 7 0 Y / r g z G n O M o 9 o q 6 W l J R E s 5 z h / / q I 8 i 7 3 1 3 n j j m G i B w A b T i J K b r A T e C i y N 5 g A I g 9 n w 4 X C E W q N R c T h E / I p I T l l M + W T v C 6 U F t R b S G q j 8 m o U J J l L M 0 9 D B g a p 1 Z 7 f F l X 2 o p u C q q H z W R Z Z a d 6 p 3 N 6 r 6 n Q K 0 8 r P 4 9 p Z K d P V 0 i z n 2 5 M k z b s W V 9 + 7 9 9 9 + j 3 l 5 7 I 8 v W a K t 4 C a u h s 7 u H K y l X b j b f X g b V 1 m C Z M j L E a Q m A C D a R j N y e U l O N 5 F q b e + o e T D v 7 O S e x 8 P z w w X 3 4 F N e J O / t Q g G V L 1 6 9 5 t x H G Z w O U 1 k e G b g U 4 2 w n k w R Z i Y 2 N 3 Z D l 8 5 T g S i D X L / S g Q r x r Q r 4 I b e 6 d g z H Q Z W 5 I Q p F B x 0 1 e 6 8 h R k U m V s + k 7 2 o C 2 / x s Q d 5 D L x 7 X o g f y y 4 l l D Y 7 d e 0 R p y 7 O r V x c H N y + 5 U b x 9 n g W M 9 E I q F T b G D 9 V E t r C 1 2 5 f J V u 3 L g l M 9 V R Q Z 1 A n 2 W 7 Q M W H k y K X z Y j D I p 1 e k 8 9 H H 0 8 I w K Q w Z D K u c E g y X a I E i 7 m v i K N E n r H M O x X i u 5 m 9 + j o 7 1 v f X 3 A I v N L M b p b O F K w V a K I j u V T S K 2 Q c k M l 5 a X N 3 + b 8 S + 5 d V m O S C / s L k l d n 8 9 f P g Q T U 1 N 0 c U L 3 1 F i J c E d / r w 4 F t o 7 y s e M t g L s 4 d c a b Z P p Q 8 3 N L f z Z E Z l n i O 8 g J N I E s T S Q p J X o P r x 6 + r 5 F I k M u U + 6 S D l I h r k J c v 3 / m l F V P 3 C a u 1 V B e r 8 5 E b p E a F d e e r y f G Z o D j A X 2 o z Z b B w 7 T D U a H Y 5 P + d d 9 + m m d k Z + u a b 8 7 L a 9 2 X g d M E D x r z L Z t L i n Y O J i T E o R Q a b I P P c W C g L x E 5 T o S p z S z u V p X E f s F S g S O T l P Z K v G 5 w b T C u X S p g 7 s q q l U m E j Y j v G L t z R 2 z H b s C P t y M g I n f 3 4 Q 1 l 6 j 8 q 9 H e C z 4 M U z A C m U C c h a j 7 U P t C I m r 4 L g u A f C O 0 0 / q 5 9 k h O 8 J w X B f n g G J b K K h H v T 3 Y R F l 9 f r i B n G t h g I 6 2 z K S i W I / I 0 M 5 k 5 2 o d 7 M P u L W N v h S O 9 X z r 7 V P r t M a L Y D S b 2 C z b g P N z Q B D 0 p W a m p 2 R w G F O j R O u A 5 A h Z Q K 6 l p U V K p E A c Q x J 1 z 9 Z I O m 6 k q L Z h N t s x n z n 7 t v 5 E d 8 K V 4 1 B l I i 2 X y l z V g j a W g 2 I u 6 a N z D 7 k / U k J m b A z 0 u Z J r + a o u 7 B c B D R M a K x U q k + 1 F W N K T X s 3 z E J A S / S h z b Y k e y E X 5 w X F y Z 8 Z r X d v E c R I I j a g h k h 1 n n c i k 5 H x w 1 g + X i e u W b 1 R K d z t n p q M l Q w E 6 0 Q h a K p X z 0 J c T I V p O Y c + g 6 o C b / e 5 s k b 6 9 t / 1 N V U B C b D v w 5 Z d / p j / 9 8 U t x W G w G z H R v 7 1 D z A Q 2 h E G K 2 B J Z p W G S B o E E U 8 0 2 Z o 5 i / 5 / T u W S a f e V 7 S H O V t E a 1 A P / 3 0 J 1 X r i K v k w v h j 1 z f 5 D 5 + j q + d T M 6 D 9 A T Y 1 f G V E q i R Z v Q N T k 4 7 1 5 l R r 6 M D t 7 8 e o r 6 + P u r v a d c r 2 A T J B y 0 S j r X K N i q 0 W 8 W G K U k b G s 8 x g s V M 7 m b g Z P D a z H 6 x p R k y I t W S S v p 9 r Z U I p o o g p L 6 J M O t F G M u U I J 2 3 g h A 1 1 0 g a m G x X z G f q P v / 4 b e W 8 3 w 9 V 9 K I N g A I W F V k o V h I i 0 b I p I j a C l n M D m m F / f D 9 G d W b + l s T D 2 4 / O U X o l M A L Y j G x 0 d l U m 3 A s 5 b k A R 5 j w W O h j C G Q A g h S M e y E L T T q p y M t l E S X 1 q S L Z 8 x n 8 / W P n i 9 f k 5 E a S L L B B R R J m A 0 u n 4 O o h t R E 4 T a 0 8 P V R l Z s 2 i 2 Z F A g X B t 9 Q D z U Y 8 k U P P Y v 7 6 e k S k 4 o r N A Z r s V Y K e f M q w P L 6 / f v 3 W Q 4 H N F b Q S A i h u Z a Y N I Y A 6 D P B L Q 4 t B E T b Y p y u y s Y 4 I q T / J F K g 2 R U m o U U W l W Z d c 7 l a 1 x L n c p Z J s Y j n 6 F / 9 m 5 / J Z 7 g d 7 n d K a I m E u G X j z L Y 0 F B e I a h 3 5 P h 5 p M C 1 l c H f O T / / r 3 D M 5 n r O 7 p 1 v M s p e F 0 T a T z 6 f E p V 4 J 3 O v p 6 2 c C l O R z 0 M A h 3 8 u 1 j N Z c 1 r X S b F g E O T Y D 8 m v N B B J J I 2 k E z z q u D d H 4 M 3 r 7 u L 9 W U R / c K p 6 L d 5 / U T B M / / j D H 9 j z 3 o 7 g v 5 W P x w J 7 n a 3 h + 0 N l F g T c i c G D b T w 9 m u P 8 z T Z O z y x T t P 0 q H o N V f A E w P w n 7 o 6 D d B 2 0 D 7 Y 6 P N P X v 2 y A 6 2 J j 9 V o M g m Z O F w 8 v k z 6 u z q p p m p S e r o 7 C r b F g z i 7 D s V + L 2 / f a D G o l R / S T W K 4 r 2 T + 2 r P P d y z T y n M q H 4 U h 7 / + z d / W T I N Z E y a f g Y / z V N n U y v Q r c k F I q F u z R t V S 5 m e D D I u z z 8 Q U x P G c m w G H W u N g a j g x 3 n v v X V n m c f b s R z Q 9 P U v Y L R b k s K W c J J i m 1 N 3 b J x 8 M j Q U y Q T P J w L J + T o j E A u 0 0 M a O I 4 x S 5 z + W m x C 5 T E Z S r N v W a m 8 M 1 V a 4 1 R a i R A 1 z Q K B D L H D B i z A h 3 r u J 8 3 T C F C E d C L N Z G X S 1 F y u T t B Z q V w E A u j s M Z G B g g 7 P u A / h L y D Y I 5 e F h d C y I B h l S S x 5 p Y s n R e 5 7 c y 8 R T p s J I Y 9 y H Z T J Y S y 8 u U y f l o K o F 5 f e Z 5 h K o M y 8 o S o R U 3 D W W e / v 0 v / 0 q + R 6 2 g Z v p Q R t q j a A 1 V Z 9 V k u o g u L E i j w R D H n P 5 + q G O V T c D 0 O r e 6 A Q 5 s w 3 G j l Q B x U m s p I Z g h E c Q y 3 z j E Q k b R Q F p M o y b O E C b k a i I p s 8 6 x v C J N L X T 5 i V e 0 E c i i y k s 9 a 1 4 j 5 J G y 5 G v R T G q F b p H l w P C e d e X v d v F 8 d 6 9 2 + l A G 3 4 + v c r / J J / 0 p 9 K V g c q h d e j h E a 1 s x T l X v M H 0 o A K f B 4 + C 1 P X s G 2 H y b F h O u o y M m Z M M 5 U t B i k 5 N T 9 P n n n 0 l e O Q E S j Y 2 N C y H Q 7 9 k z O C B H 5 y A d S 9 X X m E w + H / a 0 U G u q s G y + 3 C F R p O m l L N 2 Z w 7 Q j 5 T g C m S R k w p h + k 0 0 s 1 R i C Q J U n v B e 5 7 / T b 3 / 1 S P q e W w I R 6 W n O E S q e L d O 8 R S K U c F E I o i S M 0 p D J H X N Y / s X r Y x D s 1 o P b l g / c N h 1 d j f w m Y f 9 B E c G 1 f v 3 6 D h o a G 5 I S O R 4 8 e i 3 s c 9 0 A W A 8 S N g A C X L l 2 R / h W 2 / M I M C G P i l Z N I a b K 1 T I m u P v M z O Z C m N J D c h x a S E F Y E N J J N K t V P 0 o R i E p m B 3 E I + Q / / 2 b 3 9 O H Z 0 x / c 1 q B z X V h z I I h 7 0 U 8 H N B o p B E T A E a M Y U N u 9 + u J P W K o U 5 7 F S 7 G j D C O B I 8 f 1 j 9 B U 8 M M P H 7 8 u B z M h m v c x w L D B w 8 e C g F N / j j z D Q L P 3 v j 4 u D R U d n / J v q 9 M t y L d n f X Q p S c g U 3 n + q 9 f o v p K V b u J K C t r J Z E u O W p o j N U k m o C Y J B R w d i X J B m Z Y O f S r Y 3 a r V M 6 a E I V o 9 k w l o D t q / T 8 3 L y 8 l y e C e g k U z f C K Q 6 d G i E T c F 2 N g l n 6 M K F i 2 V r l m T a E L / l O + + 8 z e + V F x 2 v y K N J o P t P i c Q K X X / m p e d x j + S 1 9 Q x C u V Z l I O k i p r y M q L 6 w M f m g n d B 3 + u U / / G v 1 p W s Q N e e U c M r + w W Y u J N j e u q C 0 W A U n c V W Q a C 0 h 9 Q j j f M C 4 0 p U r 1 0 Q j w R 3 u h N F A K l Q a C U f p o K 9 1 6 t R J e n D / g W x L h g M J J M + Y G H C r + / 1 e y g s p l E Y S E V L l a X Q h R v F V W A r q e Y t M l t Y x a Y 7 y 0 Q 2 e F d e N o Z H P P v + w a l n X i m B I t G b / t c d C 5 P e g Q G 0 S q V A X r F X Q 5 a a G k I v 7 A f U G k O T g w S E h i o G T S H Z c a S I l O G Y m Q M M H h z m O w 6 n V 0 g r I 6 O g d S q U y o v G g R V S I f F W v W 0 3 z + / F 7 y Y k Y V j 4 7 R W s n n e + m P O x y g q B B x K B u j t r a m m n o 4 D 5 H C d f e v 5 o 1 + Q x O n e j i W u N o 6 V B A E t c F x q F d e H a h m g J H 5 U J F 4 z / 8 b k Z q B 7 G w 3 T C g w s O c M + R x i r O i O 7 W N y Y s f f h i V v S b M f W y S i b N + k W 9 o f F W u q P f G 6 0 a n c E 6 u 0 k J W v l r 5 b I u V p s s D x E T 5 q B A z I T h k U 4 + N R j b 1 3 D + b / E W o e U I B b 5 3 o k f 4 U C k 8 E c X O N f p Z U G q c w i S C o b N z S c k R R S U V r C g O O Q 9 v W 1 l J M K F W k h k S G U E a U u W f I p Z 7 B 9 C O Y d 1 g G f / v 2 D 3 T j x k 0 2 / b I 0 O z v H J D s s z 4 E 0 2 L / c 5 N 9 s g t 9 H 3 k N p f P V + K l / t R o v F k A 3 l o M t H Q s v c w x E 9 e f r 1 b / 9 e v n e t w 3 P p / r M a q 0 L V s b a W p e / H F m Q M y h q T 0 q F y o d v u d F Q 6 i X O I F t 0 W r o w 6 7 m a A G A a f j W A A t y S 7 x a J C 4 3 h R p U 7 K i b S R G I I h D m c E l m G M 3 x l n 0 3 F Y x v j E p N P E w 3 O Y Z f H d 0 w i T w k E g i 1 Q g D g g F 0 h h C q b h F J k s 7 G S d E l v 7 d 3 / 8 l d f V s f 8 c l N w I 1 i I P a l 6 a m E D U 3 + a w W 0 A i u T Y t p m y Z a p A J A V O W w r 2 1 T E M J / + D N 2 H 9 b 3 0 W Q J e H H o W F F v w R y X D S 6 l Y l s a a G O R O X c V a d i D / M n j J 3 T k y B F x v 0 u 6 E E f l U S 5 f p A u P b T K V 5 6 G d v 5 Z F g L i k 2 Z r J 6 Y g A m f o H e p h M 7 t 5 4 Z T v i u X z / u T t q y w 7 h u y t P u E B Z A 2 G Q V z Q U R F 0 b T W V p K N F S S j O V h 1 p L Q R h 8 J X G 5 U k k M K y K w 7 5 W n 7 w h A J B X R / 1 X 4 6 Q i b e J w 6 c e 8 e H R g 6 I C Q w p L M F L z d x u 5 E w Y j Q U z E X 0 m 3 B + r 2 0 W K s 0 E g j 5 d 8 t C j B e y l p 6 4 t 0 w 7 P c S j P 4 1 r S d W M G k k k f F q e 5 6 9 n k T C K Z F c F h K O i n 3 / 7 u V / L L 6 g V 1 R y j g w n e P u N 0 G a T B 7 A s s 7 v G K + W I R C C P J o Q j n N P y G O g 1 h y z e 8 p c c T k P + L q U s F K c a R t B u d D i h w b Q d 1 S z 3 A 1 d 4 Q l W Q b f F U k z o S b o 8 N E j k m a T B Z d 4 k v 8 x M d g i p p W U h 7 p b 1 G H R R k A a T J T F t C S 4 x 9 u i U d m o E n P x D K F u T v p p N Y N V u U w W v l Z k g + Z B X G k i p 8 Y y W k n c 6 0 I k Q y h l 5 s E J E Q j 4 6 L / 9 j 3 / Q + V o / 8 F x + U H + E A s 5 d e M B V q b w / J c R y 9 K k s Q j G B O I F D L l w Q q F J T g T B y T 2 L q G X y I 3 N N p B o 7 o l m F I U g 1 C C h V K o B 4 W M v z s U F r G n u D d w w F p c l c T x R b 1 L O Q 2 E + O N P j U z o q j T Q L Z 7 r O G G h + E 2 L 8 o A 7 x 3 u Q w 0 P H 5 A 9 9 6 4 9 9 T M Z F b E U k b R 2 A q E k r k w 8 p C m t x P e 0 R 0 8 0 k g n R X 9 K h j 8 n 6 u / / 5 n + T 3 1 B u Y U J O q p O o M q C z f n p t g o o A 4 c E h A W y G E M G F M y O R R I d N C X 1 t E k p C v 8 Y Y m D f S R E E m a P b i n Y h K X Q P 4 a l F 8 p 2 N l u x f g 7 G 3 B V t 2 7 g t + i Y f o T 7 T 7 4 i n d m X o r v j d + n Q 4 c P y s U I Q S y q v j Y A Y S j M h T C a x D 7 p H V u g q 0 i i P 3 s 2 b t 6 j 7 w C m 1 Z b I 8 r / u V Q i Z N K H 4 O a a K R 9 L V o K A e h p L 8 k m k n 1 m T i L m U z / x c 6 7 O o P y s d Y h U G B n P u B W F w W r z Q 1 T u G Z s S i o A C p 1 D Z a Y g 1 O m m g k j c b p X N v L T K V l p V M h W 3 K 5 0 R 9 Z p y s e / j e X k P r Q F M m o q r S m t e Y z 4 r w 1 o D 3 E o k V 3 U F t l 9 r X l d N 1 B i U e g a / F Q e y h U J B y 5 G A E F q q q f M A k w l m n + P 1 k j 8 q N H l k i K P y E Q R C q P O a R S a 9 w s w T M n n o N 7 + r P z P P C c + V O t V Q B t y 4 0 l d f j / E v 1 d p J T D + E 6 t r S U E Y 7 c a F L / w q F z l K m s b R 2 k q i O C 5 C m Q w O d g s i L A W 0 i 9 N D A l 0 Z g / p r 7 k g D N Q n K s J k 4 7 X F x Y k E W B O A 9 X P a P M O Y R K I 9 k i Z p 7 W T C D v 0 v I a B X 0 4 g T 2 k 0 p h k C M e m 1 U E F y v k A 4 u B 1 H G r C S 1 x I y U T S x B Q S o 6 H i N L j e V d 9 J O S G Q 7 v N 5 6 L / + 9 1 + x J t x 8 J X G t o + 4 J Z f D l n 0 e 5 Q j B 5 x N s H M m k T U E h k z D 4 V B 1 F w L U R x E E p I o u N A e Y h 7 8 t + K G 8 j r N o D K f F 0 E V k l w B Z Z A 3 1 U X O o 6 w R O 8 M Z q g 5 U B K X O V b d Y k d W 3 M J 9 E f w z c U 0 i i J B E p 6 1 l C v T H i x P U 3 N 5 H 4 a Y o 5 w U 2 z M R 9 k E Y T T B O p T G O C R E I q k A 0 h N J T S V k r b s 3 a C J w / p T K h g M E C / + 6 f / L N + / 3 u G 5 8 r A x C A V 8 8 c V t K s J R A c 2 k t R W I s 5 G m K i M T x / m P i m v C G C J J o E m j 0 g z M v R e D 6 z j + S h x A p b c A A q i I / l + i j 4 f S l G M t M D 0 1 L Z u q y B N 4 b p 0 g W Z G o U k M h f n f W R 1 P x P O W y a Q q G I u p Z E A n P g C x C K p t I J k 0 I J L N R E I d m 4 m s x q Z V 2 M v E w m 5 P / + E / 1 6 Y C o B i b U l C q r B s H F i + O U S G R k x y R o K a W d j N a y C a U 0 F g h h k 4 r / W G m A l a Y u Q B 8 O 5 V Z Z 3 B H Z A L o I r M B 5 r a 9 A B g 4 8 / P f 0 v g z 5 v X A o J E V T t L a 0 C g H K B P 9 A H h P q d C E I Q q O F O L z 4 U G 3 K o u 5 p A p k Q a R J q I k k I r a T 7 T 4 j D x O P Q m H k I M R W s t 6 + H / u 5 X t b s U 4 2 X Q c I Q C b t 6 8 T z M z C S G R 6 U 9 5 Z K t n Q y a k V x L K J p Z F J I S g j v D F D t V / u V B Q N z Y H V 2 g D Q y A D V H Y d o f 0 d e R p s y 1 M q n Z K l 7 m b V r Q j + m b h T N i B U M k 3 i S l d O D 9 x X h H K S y J D K I p S Q S I W G U M b J o 7 R S j r 9 n k Y 4 c H a G f / c X H 6 n s 3 E D x X G 5 B Q Q D y e p A u s r Z g 5 Y v o J k Y R Y T k K V a y r + o + O 2 S J o w S P 5 K q A I n i c w 9 u a g K r u M a h j z 4 b x M J M R 9 r p Q 9 Y O + F q N a m 2 S s Z S d 1 y D J H h I E Q f E w O Y t i j y V h H o e 9 9 L z Z a x z 0 u T i N K O Z K g k l 5 J F Q 9 5 1 M v w l a C Y T S x D K e P T / n 4 d / 9 6 m + o p 0 7 m 5 m 0 X n q u P G p N Q A C r L H / 5 w j c 0 V k M M Q C a a f J h S L c 0 Y F n j E h / 9 F x B 4 F w D d Z o 9 u j A / B H Y M R v l B a C I o W I m L j E O S v T h A U W o q c k p W Z 0 r G g r / + B 4 e E o J I X G k h X N + Z 9 t N S i p M s L a R D b f K V E c m E L E I c I Z B N K t F Q 2 t w T z Y R Z 5 G L i F a i p u Y l + 8 4 / / Q a Z A N S a I / h / H b i 9 w n s 6 f z Q A A A A B J R U 5 E r k J g g g = = < / I m a g e > < / T o u r > < / T o u r s > < / V i s u a l i z a t i o n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962D83CB3E0248A7ACF655DAD9D3AD" ma:contentTypeVersion="2" ma:contentTypeDescription="Crear nuevo documento." ma:contentTypeScope="" ma:versionID="83fb05ca33fd411246b6c8207d5fb07f">
  <xsd:schema xmlns:xsd="http://www.w3.org/2001/XMLSchema" xmlns:xs="http://www.w3.org/2001/XMLSchema" xmlns:p="http://schemas.microsoft.com/office/2006/metadata/properties" xmlns:ns1="http://schemas.microsoft.com/sharepoint/v3" xmlns:ns2="31bbf60d-c53f-4949-90ec-7b0c5265cdd1" targetNamespace="http://schemas.microsoft.com/office/2006/metadata/properties" ma:root="true" ma:fieldsID="f0b01ce740d8fc6d71522fea3c8241af" ns1:_="" ns2:_="">
    <xsd:import namespace="http://schemas.microsoft.com/sharepoint/v3"/>
    <xsd:import namespace="31bbf60d-c53f-4949-90ec-7b0c5265cdd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bbf60d-c53f-4949-90ec-7b0c5265cd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3 b a 0 c 5 1 - 5 9 2 4 - 4 1 c 5 - a 5 d b - 4 2 1 2 a b 9 0 f c c 7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 - 7 4 . 9 9 9 9 9 9 9 9 9 9 9 9 9 8 6 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C E A A A Q h A V l M W R s A A D K 9 S U R B V H h e 7 X 3 3 f 1 t H t t 9 B B 1 h A s B d R h R R V L c l 1 L c u W v f Z 6 9 5 X k J S 9 5 b 7 M v y S a 7 y d t 8 P i / / X n 5 4 L 8 k W 2 2 t b x e r F J k W J 6 h J 7 A Q m Q 6 E D O 9 8 z M v R c g S J E S Z V 4 A + U q H M 3 f u R Z u Z 7 5 w z Z 5 r n n 8 9 d K d H / B 0 X C I T p 9 b I R 8 l K N i s U i l U k l C A H G D f D 4 v o c / n k 9 A g s b J M L a 1 R f a W w m k x S c 0 u L v i L K 5 X I U C A Q k n s 1 k K B g K S d w A n + P x e P S V D b x P U 3 M z / e l e R K f s L K p 9 p o H z H u J O 8 f v 9 / H t 8 V E i M U i G X 0 k 8 1 N r w 6 b G j 0 H X i H P j k 5 b J E J k s 2 k 5 Z 4 h E 0 I I i F R J J q Q b o h m A M E 4 y 4 R l D J i A Q D O q Y I h r u o 5 I W C g X K Z j O U T q X k P S a X f b S w 5 q M v J l 4 P m Q D z 2 6 r B e c / E T R 7 h N 2 c y O a K m Y x Q d e F e e a X Q w o d A C N a 5 0 D r x D b 7 Q n u R L n p D K j o i z M z 5 H P H 7 A q E C T P l d 4 A F X 1 t N W l V L C A U D k t o A O 2 T S K z o K 6 L U 2 p p V G Q G Q B 8 D 7 g G i 4 h p Y D W Y P B E I U j E f J z + p P Z N Z p L N f F r 5 f H X C u f v r Y T z n h H 8 F u Q Z G o S V l T y F u 0 C q 9 X n c S O L 5 5 / N X f 4 S i c h 8 C k Q 5 6 a 2 i A 2 k J Z r R W y N L / q o + 6 W I i W Z C K 3 R N q k 0 T h S L B a 7 4 1 Z V 6 a m 2 V I k 3 N + k q h y O / L L 6 B 0 O k 1 N T U 0 6 1 U a B W / h 0 J k X N z a 0 6 Z T 2 e x H 1 0 d 9 b W b D 8 2 D P G d M G n O 0 O v 1 S m P g 9 / v I k 3 1 M u d S i 3 G s 0 e P 6 l A Q n V 3 P s W v d e f I W / J 7 i 8 Z A S q J B M z P z l B n d 4 + + 2 h p W l u N i u r X F 2 s v 6 S 8 5 K C i I H H e Z f N X w 5 E a a C U m y 7 h h c R y w i I h b 4 V K 1 h a m 7 0 h 9 x s J D U e o S P c 7 d G Z w l f L c T + E a s I 5 I h U K e W 1 q / X A P m H v o 1 X G X Y D P M z C V V f y m A 1 m e D + U r m W y e W y b M q t J 4 r 5 j E K + o D 4 b / z g M s I n p r e i f 8 c f Q x c c h W s u u r 8 y 7 h a 0 Q y 5 A q H P Z R e v 6 a 3 G s U M K G u N Q S h U F k D s V P 0 / p 5 V K u Z S U n F R k d H P a W E y I A 5 t h Q q B / l K B z b t Q K M x 9 n F X x s A G p 1 B q 3 v O t N t 0 r g f V C p g H w + x 5 W r u s m G 9 w u H I 2 W V F G R N p I k u P 3 t 9 T o h X h f P 7 G p g 0 h B D k L / I g H P J T N n 6 L S p y f j Q D P v 1 y o f 0 J 5 v G z b R 0 / R m 3 1 r 1 O z P K s 3 A A i 8 V C h 9 9 I 7 6 U V t U A 9 0 1 Y r Q I Z 4 D 2 c r 6 t 0 h 6 N / 5 t Q 6 l e / n d K W n c x 7 6 9 m G 5 K 9 2 t q J Y n J g 2 h E e R N k L V 6 f o V J V a p / U t W 9 2 9 z r D w q Z / K U s t Q S U e 9 o I K j o K H S Z e S X v f A N w D V p M r V i U B k A 7 t g 3 6 P g d F 0 I E a K + 0 v 8 A n 0 H Z I L 5 W O 5 i z z D h n A C Z l u N L d O V p s G b I B J g 8 c s K k I T S C B i W T z Z G v 9 R Q 3 b J v 3 F e s B X h R / P Y u 3 + Q 0 Z K 3 l 7 I C V k Q C E 7 H R E A Q o w L O d O A 5 p b y g V q Q C 2 a M 0 4 m A C o N 0 E C M C V 7 d D W 6 3 E l 3 X M R r j C v Q 5 c n e u n e K r 2 2 r b K / A J M m h H k N f K o I 5 I m T / P x q m V U T 1 K 3 4 1 B e f 5 h 8 b W / L + J L f w 2 a Z 1 y Z R R g / a O o F 0 J z L p r Y 3 8 5 + D c 0 I C m w Y A w t B W A v t f q K s a 4 4 J r P S 9 8 M f a o c X 8 N p A U m k u d K V f 3 T N o T L v D E x + Q y b j 3 D f F 4 H c L N B U a l e r l V u v i + d 8 X r 9 d 4 c V a H v + 0 t 0 U x o H d 8 d z F A 0 p G Y y o M V 0 m n G o 3 B h A B T J p R T T 0 g Z z P b I b K P h K A 9 7 k 0 G a N M v s Q t F l c o P X Z 1 d i h D s w k v 9 5 W 8 d K j H H i j + 4 9 3 1 W q s W U S 3 P k O Y U 5 J X X w / 3 I 1 K h + o r 5 Q l 4 Q K x E A m 1 g j c I o J A w G c j K R k X g r l m z C 5 o k k Q i w V p k l c M k D Q z 0 U y w W k 3 t b Q T K V p 2 Q u R H 5 f i Y L M q W i 4 y C T y 0 K U n Q Q k 3 Q 1 d z g d 7 a o 0 j 1 3 e M g J T L 1 0 5 2 t J J Y h E w C T 2 e f j 3 8 p a y 5 c Z k 7 R 6 Q t 0 R K t T x F q W 4 o k N z W H 2 m Q p b O 7 k + S h 8 3 A b E o R C P 0 d m H V d 3 T 1 W Y Y + N 3 a F j x 4 7 S 3 N w c z c z M 0 K F D h y h U M Y E V S L G G O f f w 1 T r Y B 7 t y N N S h v F 4 g 3 z c P a s c h s R V s R C o I S I X b n l K R f N l x / U R 9 w M s / s W 7 + h T v e o H S 6 U E Y m S C j g o 5 l U M 1 f a M L W 2 t l J v b y 9 F o 1 G Z L 2 c K H s + l U m m 6 d 2 + C u r q 6 a G R k h B b m y 6 f P 5 F n Z Y d b C q 5 I J m E 3 a Z m L I X 3 9 W N / L T C V M W E F U 2 G L j 2 U C E w 5 C j B 2 v 9 X N 3 Z G + 9 4 3 K Z 3 x r S M T 5 H B 3 j h 4 u B K T i 4 h q A m 7 z V s d w C x D p 0 8 A B r p R G J Q z M 9 f P T Q e j 5 X 8 N B X O z g F K J H 2 U j J j t + K w g o D 2 J v U B k U D t k 8 z k n Y E p D 4 i U E f 8 r l P x U C h / S T 9 Q + W P f y 3 x q X U G s n L S 2 p g d o y M v F t A E 6 A k L 9 I 7 d z H M V h e i e u Y A l 7 X 2 m b 3 n + L x J Y q E / E J Q 4 P y j n R 9 D u f I 0 x N 9 T x Q 1 R l 9 Y U s z D I W w 9 A O V T C l A 8 K D 2 6 b d L Z A J S 8 3 b h X l W o t S F x o q 7 x 2 0 y G Q I J d D h c p q o x Z + h m S S 0 g l e c E b F Y h 9 w z W F m x x 4 w w c z w W a x e 5 d e s 2 P X 3 6 j B K J V X 1 3 5 w A T 8 r s n Q R q b L p + a h M H B 9 d W w P m D K x p A K 9 R A 1 M V 1 q l 1 i t o + Y H d s O d b z J B l J k H M T A F t 6 c t T 6 c G 8 l T w B G S 8 Z z X L h Y c Z D Q z M 0 w M w R t T i W A w I 7 Q S z b 3 j k E B 0 / f p S W v X s p 3 G T f 3 y q C W + g b g e D P V 8 r d 7 v q r W / B 5 X / w + b o b V w G m Y a y k z x D m v 0 Z 9 a K + 6 t W s a 1 J K y h q i X X h j R 3 D l M q p V a O G j K Z l s 9 g c t l P C 6 t e G o i q + 6 j A r d E o T U 8 9 F 6 c E g K l H m N U A z Q R 0 d f X w e x R l 4 D U U i t D 0 6 s t 5 4 L I v c J 1 v h E r 6 F I o v 9 z 5 u w k a k A r D G D A J S Z a k b K T U r N d 2 H W s u 2 C p k M i U T 4 l h N o A W 9 N B e h p X G m B h 4 s + y n F F 7 + n t s 2 a E S + F 6 S r J A M L 6 0 Q D 4 / E 2 x 5 W Z Z f P I 3 b U 4 l 2 A j A J e l o L r D V z 9 N F Q h g 5 3 5 6 k 5 i A m z + o E 6 h p N E g L P c p E A 5 E 9 I 5 7 q v q 8 q 1 F q d k + V K j j F G u Q c i e E w I Q M k / b J c N r y o g H j 8 3 7 L 3 A M w Q 7 y j s 5 v J t E i x 9 k 5 Z l o 5 F g c A j J u B O 4 U h P j j 4 8 k G G N 6 a P x W T / N s e b c 1 5 6 n M 5 z 2 + a E 0 v T O Y p U 7 t 5 a t X W O X k A N I 8 M j a F e S U e S m Z 7 9 Z 3 a g + f / X r q 5 / h e 6 H M H m L k o X + 0 Q 7 w Q t n C F V Z W O Y a i u j T g 2 n 6 4 p 4 9 x e f n h 9 N y f 2 Z 6 i v r 6 B 2 T P B 2 g s 7 A 0 x P z c r 4 1 W Y M P v F R P m y 9 q 0 C / i v T 5 d 4 O P t i f Z Y 1 V p L G Z A E 1 W 9 K 3 q B W b s z 8 B c w 8 w u 5 H N U 4 j 5 t V / M y 5 Q u 1 t 5 O S 5 / e X b t U c o a j l J G U y W c s R s R m Z D E a 6 8 j T B m s l g q H m K I p T g 1 5 e o k 7 X T y k p c F g 9 G t e s c E 1 l h + m G 3 o Y q 3 q g o / k / Z k X 4 4 6 W g p C I 2 z 9 d W G y S 9 3 c B k D + s 6 y x M J 0 J 5 i E c K V 8 / C H P l U v e D n J 4 t b J + o b s N 6 U v E f / q 1 w E B U L I B X n Z d O C u l l D q D m T L x Q b 4 U x 3 j D V V q e 3 V 0 p x k A g J N X a y Z B k U r L S 3 O U 3 t H l 5 A J 0 5 F g A i 6 x + Y d C 3 w q Z A q U k v d 0 1 R Z 2 a T P O z s / Q g 8 X J u Y P h W v n 4 Q o t U M m z / 8 2 S D U B / s y d H p / R g j m J J N s A l O j W F 9 G 0 O k I + P d p 0 2 9 / h 3 t X L W 8 E z + 8 v 1 5 a G K j W d k C U Z W z H 1 N s P R n i y 1 F O d l i Q V m l 2 N Z B V 7 n 9 a p 9 H Z 4 + f s j p Y b q f O k B r L x h k 3 c / 9 o I M d G S p A W 7 I s Z J v o h 6 n X s 1 M R v s m b A 1 m K e N f o + 9 s / 0 E / e f 4 c W k j 6 6 N Y 3 1 X O q Z W k G l l g J g 9 h V Z S 8 H 0 g 6 b q b l 3 S d 2 o D N a W h w p 0 n u e K v n 1 r k x F b I F A m W a D B W p L b 2 d t Y A R V p j 8 2 w 1 k a D k S k I 2 Y 5 m d m Z J 9 I M K R M H 3 A 5 t d m a O L + z q H u v O x Z g b V Q I G d b 6 P X V b L z z j c k g 5 Q o l a o o E h W D d r U X 6 6 X C G 3 t t n r y S u B V Q v K 6 W h V N P h o Y F Q b W l h / u b q i 7 t d P N 4 A Y T z W k K k a t k I m w D x m X O 5 N L S 1 M r g 4 q w X X O / S g v t 5 w g U 1 N T s 5 h Z 7 Z H 1 n j e f p 0 g 9 L U X 6 8 I B d i R c X F + n S r Q d c 4 V / e 1 T 4 Q L d B P 9 m b F O e G c z 4 d c O N a T o 8 G 2 g r j Z H y 9 4 R L s + W A z Q v b k A 3 W a N O L X i o 1 7 + T g C 8 m p j D e J D 7 j m 5 G t T K D 5 h L t x T K V j n J e 2 / X A 7 e L 5 w + X b W 6 u F u 4 x Q 5 w l K J O w 1 T q Y g n A W y V U I B f k + B j r U + o d 6 + P s q x C Y l V v N g B C b s Q o W / S 0 d V N y 8 t x y v O 9 r p 4 e Y o V A V x 8 W a L g 3 w J 3 l I i V w j 8 0 S r 8 / P z 6 3 Q / P w 8 x W J t l G 4 6 T N P J n Z / 3 V w 1 B S l O W a n 9 x Y r n p h + U 2 W D Y P k w + m X 5 Z O D y b p c a I 2 h h N q Z m C 3 m n Z 6 W T I B + Z K P 7 q w e k F k U H i Y F N v r v H x i k 9 o 5 O + R w I 5 v K B T A v z s + J 1 e n / Y R 4 W V Z 7 Q w O 8 3 P t 1 I 8 v k w L C 4 v U 1 d V J / f 1 9 L P 2 U y L 6 e v l M 1 1 A O Z g P K y 4 8 L G f 4 d W k v v 2 p a u l J v p Q g b Y j Z Z r J y K s C S z K u P w / R 1 w + a y l b M d v X 0 l i 1 r 7 + z q E W f F 0 u I C 9 f Y P U H d v n 9 z v 7 u 0 V U m G 8 a n F x S V Y D Y 6 6 g W x G u k S U h a r t r 2 + z 7 b i x O f a F a 0 V A 1 g G z O 3 r i / G l 6 V X H B N Y x k 6 9 n a 4 9 i x I s z P T + o 4 C Z j Z c f x 6 m l Y I 9 y H v n z h 0 a G 7 3 D / a y I j F k F A 0 H 6 P 7 e z l F p d F p N w T 6 w g 0 4 r e 3 J O j E / 3 2 / h G 7 C S w J c S v d r T L k 0 N m H A r G K z X s o 4 J z q 4 m J 4 / n D l e 1 c 3 W 7 4 g 9 0 u o X z S U c Z U D T h K 9 K q E 2 A q Y B L a 5 h T M T G W 3 u y F C q u 0 N r a q q z 8 N Y j H 4 z T 6 w x i 9 + d Y p a t Y 7 z R q k 0 x n Z R + H R T I p u T 3 o p G t v + g O / r Q m d T Q Y 7 L c Q N A I l O W 6 M e i H w X 3 O f q q A T Z w D 3 R n a M 3 l g 9 p w a E l D 4 F Y p h Q b L i A T 8 G G Q C F i r I B N x 4 H q R n 0 3 G Z m m S A 9 V U 3 b 9 y i D 8 6 c X k c m E G 1 8 / C 5 N 3 L t P b a H M S y 0 D e Z 0 A m T i b X Q G r L B F K + a t K g H 8 Z J l K b H z v 9 2 n X D j e J 6 P Z r L 2 X 2 m 1 0 m e 7 e D u S i f l P G q P c 5 D p 4 s V L t H / / P h o d H a O H D x 6 K R p q c n K S L F y 5 x 2 h 0 6 c u Q Q H T t + l N o 7 e r i f 5 T 5 H A i q C W 6 B I h P / 4 U o p M E u U / 2 B z H 7 f D 8 8 a p 7 T b 5 I 5 z G K L 9 v r n S p J 5 Q a C J e N z 3 N k v 0 M 9 P t X O R 5 + l P f 7 5 M 7 7 5 5 i F Z W V m j f v n 0 y t U k q C e P x o p / u V U y B c h O w 5 8 a L t j / 7 s Y A Z J 4 U i m / n c Y J W K O W m 4 q J C l E w N p W i 7 + e J 7 U 7 Y I p r 1 o C N 8 p a C v P Z 3 K O Z q q E l 1 k 3 + 5 j 7 6 6 n 6 I v r z P 5 l 7 P u z Q z u 0 C D g 4 P i C T R k A p 4 s u X v 2 u F v I Z C D f h v P P 7 L e R L 7 K W W s Z U J L u O u E 1 c q 0 M 9 v i D 3 n d T u O I C b S e W E N 9 h K 8 8 G T 1 m 6 0 B v j 2 6 A f s J E 4 P J q j N p 7 Y 6 2 9 l 3 d g v U r 5 K O P u L 8 P x p t J R + 5 1 4 X u W q d E s A 2 z y u 0 J s I C T V G 4 m G G a E X 3 g Y o v H p I t 1 6 p u a i 7 c S h a X g H C E y z d 7 u n 6 f f f j t L T e f X + f V F 3 T z H a L r j U J c T v l R g q B V 9 B 4 8 8 9 G C 2 r K 6 6 S P 1 3 7 w Z U 1 s 9 R 0 n F I p d f 6 t I V W t E M r A u z x O m Y V 7 1 B G L U k / / A F 2 b b K a 2 z n 5 9 d + v A G q l T / W p u H + b x J Z N J 2 Y 0 p s v c 0 9 c U C 1 N 9 a P o E U J 8 e P z r i 3 n 7 E V y J l d 6 E e J 2 x x D J h z m s u Q p p O l o + y J l W r Z 3 P O u P B S b U q C t r Z i 5 4 V E 6 t M N O A g F o j 1 M n + H L U F M 1 w x s r I g c j 4 d o U c r b f r u 1 v H x c K Z s d 1 l 4 E / f u H a Q U t b H x 4 6 G + C k I B 6 K 8 F u M s G E k I 7 j s 1 i c F x d D 3 f m q S V U p O + n 1 M y O k e 4 c T c y 5 i 4 C q 3 A t U L C N U j q + z 1 L x y h f p P v K + f d B d c 2 Y f y N / V J h j q 1 U q 2 R C Z h e 8 V L J G 6 B w u I l w C M F Q t 5 + 8 6 R n K 5 d Y f p + N j c 2 E j B H z 2 7 8 W B b b M z s 3 K q / O 3 p I N 2 Z r e 4 1 3 N d e o P 5 o g W K R I g 2 0 F W T P C g g 2 h k F 6 a 6 h E x 3 t z Q j C 3 k Q m w s 2 N 9 x n R 2 d l G o s K a v 3 A V X 9 q F K / n a L U L W M u V U f n e O + 1 F f 3 w 0 w u n 7 h + Q y u j b L 4 p j Y L f e o S 1 w 8 + 4 o n 9 y M E O f c Y j F g 1 h k Z 4 A D B W T z R I 3 Z 2 T n K 8 v u s r C T k 2 X 6 9 P d p W g M 9 z o o 3 J B o J 9 N r L 5 m q 8 f F 7 o R R V 3 Q K Q b m + z / P d F N i b s q q L 2 4 S V 2 o o D D n U O p m c g N t 3 n L X A b I J k i c e e D p + Q B x p j L 2 u S u 6 x l v p w I 0 T d M v O 6 W I h 3 w j l E x l 5 T d m n B K h x M w 9 T 7 5 5 C z d v c t 9 s 0 h O C P m q w E a a 7 p k q x 7 U S b g j 1 H / S S V A t 8 O 1 M M i I Z 2 I z g b 8 Q P c J X C X g 1 B O M a h V o u V Y K d 1 8 7 q P R p U 7 6 0 7 0 w Z f S y + j v c t 3 m 2 r M w 2 b M 2 c z R U p G m 2 h E 9 1 J C m 4 w B o y D D N C v y O Z 2 z r P 3 2 U i a j j T d p 5 h L t j F T R D J l r U I U v Q j H V / N Y c 7 a + 7 u y 2 u F J D G S d E v S E c a a F o 5 4 B U i v O P Q n R n J r B u N f C N e 7 M 0 M z 1 L X b G N W 2 C 4 j k O h o G w m g 4 O y Y U q + a p 4 t L C x R b 0 8 3 v T e Y p U M 7 o P V e D X q S L J h T D Z w + M Q 8 n i / v q i e e L G 2 M b f e 1 d Q T B 2 l J a X y 1 f m 1 o O G 2 i o y q V U 6 t S / A p u D m l Q U n L i 4 u L d L 0 1 I w c I I f h h X f f f Z s 6 O s o P Q d g K k K f I 6 8 d P n t L w 0 A F J + / p + a N e 2 K 5 M y h 4 e P v 5 O c T Z x X q 3 f h 5 c M K X r j P E b 4 9 s E b 5 t u 0 P Q 7 x O e L 5 0 G a F K T U d p b U 3 t a t S I h A L g I o e r f C s w + Y E h h u v X b 1 B v r z q R M Z l c l b V a w 8 P D c n 8 z z M 3 P U y c T 0 W x N b X B 3 z k / 3 Z w s U C P y 4 p y s a Q h U g c J m j c R V i g U h q P A q E e q t / l Y q x A f 0 q d 8 B 1 J h / z y C J R I 5 C n G s z c t a 0 A 5 F E m Y I h O n T p J 7 e 3 t c j o j z g v G 2 N d W 0 N X Z K S u P K y H 7 r i e / F 7 f 7 s d 4 c v T m Q Y x M 1 R 2 l 9 q M L r h J S 8 V f x c F + w L C z v Z h 9 w p u M 4 p g a 7 A R k R q F I K 1 v O Q 2 Z P B 8 Y b w L Z l 9 q L S X a a i s A I R 8 8 e C A a D t u o G W B G R o j W Z L x q D 5 O q u 6 V A B 1 s X 6 C f 9 i z I 4 / F o h Z c 2 C h l W u V Z I 0 t P r 2 r a m w p F f W o d 0 U 1 2 m o S t I 0 o p a K p 3 a g W L h 8 s Q 9 G J b D r r h M w F W d n Z 2 U N F 1 z y c 3 P z k u f o w 1 6 + f E X W c T m B B Z O x W F Q I 9 T 5 2 s 3 1 N Z 1 f h X V H 0 8 u 5 S B 4 w g 0 H E E 3 B i 4 C a 7 a 9 c g f a Z f C N N K o G I w V X n m z l 3 A 4 L P s E O r H E Z P j 9 7 / 9 A D x 8 9 k m 3 P J i e n 6 I s v v h I N 9 d 5 7 7 1 A n m 3 5 j o + N C s n Q 6 L a f g R x 0 r k w G 8 L / q 3 Q J Q 1 6 W B p l E r 5 H T Y B U f Y W a V Q 9 k C s V t e L Q V a X 0 S t W 6 t F s i g / B u k c 3 M v U b C 8 7 h P J s G + C r A U / 9 G j x + J W N 2 h n c / D o 0 c P U K q c 1 s n n i 9 d I v f v E 5 d X d 3 C 1 F w w J z f 7 x f B 9 c O H j 8 S D 6 A T 6 Z 1 j S D 4 B 4 c 7 M z d G J w 5 6 Y u S W O K f w g d c f 6 D u x V x o r m E u 3 b C c 1 U f S u U V M q u x 8 e a e V 9 9 S G d p n / 7 5 9 Q g w n u r q 6 a G k p z t q o g / r 6 y r d L w 3 l b e / b 0 S x p I d e b M a b p x 8 7 a + q 8 o m E o n I h j M A z M M T J 9 5 4 6 T 5 f V f B n l N U B V S l U m o l r Y k H S a Y y Z V a 9 P u y G u 6 k P 5 m 1 Q n u i x D G w x Y p t H V v A 0 3 X x V g u A F T n O Y X F s S x 4 E Q w G G K t s 0 Z X r l z V K T a g s V Y S C S v / Q S q Y g n j + x o 2 b d P 7 c B T r 3 7 X n q 7 O i k 6 e l p E Z x N j I m 2 O w E h C f / j i I q L 8 C X S n H 8 R E Z Q o k V w / 0 X g 3 4 S p 9 a V z m j Y h i M U + + Q k L m 8 r 0 M 0 K + Z m 5 u j i Y n 7 9 P X X 3 3 I f a Y E 1 U I / s b e E E Z h c s L y / T 0 N A B 7 m P N 6 1 Q F a B + Q C v 0 n E B H v d f H 8 d 3 T j + k 0 K B A J 0 + o P 3 u V 9 1 U P Z 9 x / X I y E F L w 2 G S 7 a t D k 0 j H h U 0 S q q j U D R 0 a s q X W W E N V q U u 7 J Z 6 v b o 3 z 1 3 I J m g 5 z Q a r 1 L 3 a m 2 V / P G a 8 3 s N 4 g 3 / x l 6 u n p F m 8 b x p W 2 A 5 D k h x / G p M K j n 4 N d b E E m 7 M j 0 8 c c f y Q z 1 5 X h c + l V v v H F c T D + c 2 h i p m G S K 1 1 y + d J V a o y 3 8 X i P U 1 t Y m J H M C e x L i / G G Q y o l L T / g z 0 y 9 v 9 G B B o a y B 4 n L G Q K 7 a m 0 8 N 7 K r Q 7 N O n Z k v k c x n y l P J 0 + v 0 h / Q 6 7 D 8 + f b 9 1 1 T S 0 t R g 6 x e d F Y h I L X 9 5 P h j K x 5 g q k G Y t y 5 M y 6 V G d 4 3 O B c q + 0 H V s M x E e M x k e f 5 s k v 7 q r / 9 C X o v z q h K c f u / e h D w z P D w k + w m C b J s h l c L x q L 5 N S Y 3 v 6 i Q a y u b i Y y x Y f M m N a H R Z q x X a a s o R y G X I Z E 0 9 0 i t 3 Z Q p S l v u a p R y d O X 1 Q v 8 n u w 1 V 9 q D r k y 5 Z g F h C i g m K m w 7 F j R 6 3 K e v 7 8 B R k n W m N t s h k y b K b t 2 7 e X f v b 5 p 0 I m w M f v g Y H e n / z k P R G 4 x S v J V N l I L X K / K 7 G y / E I N W a m 1 F u b n 6 M y B l 5 9 U i 2 + h v o l u R B 2 C a x F 9 r / L a T X C X z 7 F G 4 N / B w c y 3 9 6 z v e 5 j Z D i D A y Z M n 6 P n z K b p 1 6 / t 1 / S E n 4 E D A G i m c G b w d 4 H A 5 A B U T 2 q G D P 7 O n t 3 9 L F R U k B m A 6 d n U r h 9 J H Q 2 n y b 1 N J y W d p E a J U C N u C O q x 4 h r W k p F e r S 7 s k r t J Q N Q N k 3 A 7 k 3 J 5 Y n j q a u E J s g h Y 2 + W D q n D z 5 B l 2 + f F W O z 6 k G E H D v 3 r 3 S v 9 k O O j q 6 a H 5 2 R i q m 0 W w A T C 2 p r J s A J + Z j 6 U g 4 Y p + F G + F u F R o c L A E 5 0 Z f l C v Z i J 4 u Q w 9 I 2 S i T N k e 4 U / q P i e B b X L g J X C w e 9 d l 1 q A / m C m n P 4 q k i 8 o A M v n r v 5 e e o f 6 J e + 1 I c f n a G J i Q m Z / l O t H q G v U W m K v Q j Y P x B n C e N 1 z t c i H W Y c + r O b A Y 4 J J x G B s 0 M Z 2 t 9 e o L 5 o k T 7 a n 6 S 9 M T W z Y m M Y s t i r C y z R W k j d c w j S W R s j X r 0 u 7 Y 6 4 a q Z E o y H o 2 M m o E j m u y H A m o M J i 5 j g Q Y Y 2 A / h W m C 8 X j S / T o 0 S N x l W O K E T Z v S S a S Y v p t B y B D t K 3 6 T k w w 4 / B + m A 1 h p h t t F 4 G A n 4 7 0 5 G R n p q B j s 5 l K C G l M K H E T q j T + Y 9 + T d D t e r S 7 t l u y A 4 b J z w B d q J M w n f X I u r h O o u A s L C / T 1 n 7 8 R B w V O R X R q D r j E z 5 7 9 U D Z r M U T A 0 o s L 5 y / I 0 a S V r u y d A L 6 T c 0 b F V u H 0 B O K M L L M R z a H O N X p r I E t h Z 4 M i z I H 2 A U l Y 6 4 h m M m K T x x K j n T j u J r j K K S E B t 5 i V J k Q 9 4 / r E k t X 6 Y 0 Y C t B I W B 4 I 0 G y 2 / 6 O n p o S N H D l M H E w 7 z 8 H A k K f o x q X T 6 h S 7 x 7 Q K V t q 9 / 5 x b x 4 Y C g w V i J O p s L 4 s A Y 6 s A u T 0 w O h 8 Y x 1 x w R s d I 0 i Z z S 3 B w q q 0 O 7 L a 7 S U K X c n I 4 1 B g K e H A U W r 0 l L D k A z Y S o P 3 N 9 b H d h F R f v h + 1 F + X a u M M W 2 3 D / U i v K g P t R H w v a o 1 j P A I 4 j u i E c E z Q x 1 5 c W I I Q Q x h E E p c j c 2 p / p I i k H 0 P 1 y V q j d o O E T e A + 1 A u + t d A 2 g m d 1 / f 3 p m W 0 / 9 m z 5 z L d B 1 N 9 M F N i K 3 m A i g 6 P 3 7 l z 5 8 n n 9 8 m s 8 O 7 u n T 8 Z 0 e 9 / O R M S 3 6 / a 7 z B 9 P N w D I S A f H c C J 5 G p A 1 y Z L k Y q a N H b c k a 5 J F m 2 N O G v Q 7 v / 7 5 v s J 1 x i h J V 8 b J X M x m f U s L Z P O c A N n v B 6 A f f m S y Q T l s l m 6 c v W 6 j D n h N P k X I b 6 8 L C c m H h w e o v a O 9 n W n J u 4 U T H 5 v t 5 F L p 1 J l r n Q n U K 5 4 P + z Y B E 8 i P g N O j 2 i s n c u 9 S F / d 8 z N R 1 J Q j z J Q A M T H d S O 0 p o T Z p w T K T g p 5 6 9 O 7 b Q 9 T R E d X v v v t w V x + q q P Y 1 Q I a b Q t x u Y d Y S R m f 8 Y q Z h M P X T T z + R 5 R Q v A i r k d x c v y w 5 H g 3 s H X x u Z A E x b e p n 8 x + t W V t b v U Z H J p C 2 T 1 O v z C Z n w e 9 q Y T N A 2 H o + t g U T Q q E J 0 3 I j R T p B I U 9 i q P 2 4 Q V / W h B P W l h D Z F f 5 v t i o Y z Y S u V F w s G 4 U Z / n U Q y a K l Y r b t V d P f 2 s m l X 7 h U E e T C h F i E E c / I Q r i a T M u M C I f p X n C j p z C j 9 L I h T E Q e x E G c J h 3 b e q / k q Y E J V U G y X B X V q o 4 p V b 9 r q 2 t O Q z N D e a h u C f R 9 w 8 k Z r a 4 t U s N e J F T Y r X 8 b B A W I A O C D B A A 4 I m L V O e D x K Q 2 F T m E A w x C Z i k z Q q p n 9 k 9 Z M 4 t O J y j d n o 9 j 2 P f E e 7 / u y 2 u G p g F 8 I 5 h b 9 C n n o j U D V g u c P V p 1 t z d a P v g C U N 6 G f t t D e v E t t d P g L A H G u W 5 f U g v 1 p 6 j z S M Y Q W 0 B l a a p i R T l q C Z V D + q K F O m M A / R E M U S S y O p f R q N y Y f + F b / b u v q z 2 + K u y b E s i k M N Z P c x s M t R I i M / f F O g g 9 7 d 0 y O V H R 1 / V C 5 U z G R i R f Z 3 2 A 5 Q I T f T c q u r C U v b b B X O B j D C G g f f K V 6 x U Q w A j Q X z D 2 Q K h S P 8 X U r 8 m 8 K 0 n F a m o Y i Y e V o 7 G W J J q E n F 8 Y D f d Q a W + / p Q L f 5 n w q d G 0 E 5 O f P c 4 R I X i 5 r 8 Z s 9 C x j w M 6 / f C i Q U t h Z k R L q 1 p Q C G / Z V r C 4 M M + v 9 Y m n b a P G y + v z 8 z P b K 4 N 0 y l 5 i A j J i 2 l F 7 Z 6 d O U Q A Z M E 0 K G g x e u / j S I q U z K S Z w k q 4 / 9 c t 9 E Z A J x D H X 3 A C Y e / A C Q j 4 8 e 0 q / q 3 v g P o q z o P U B b F K Z s L 7 x c G H z 9 g 3 5 c f z 4 U f p h d J z z y C Y C K h n Q 3 d M r 3 j W 4 n K t B d f x X K d a u 9 j / H b H G 8 j R w 6 s L r K o h w D u I 7 F 2 k X L L C 0 s y L O b a T N g e T l O k S b b U d I k T h N l t u O 1 G G e L x x f p m / t + W s 5 g C T 1 M Q K 9 o J j + T d z 6 j + o W i h b Q m s q 5 N X E K b a O E w z N L y u r P b 4 j o N J d C Z y n + k Q J z K q p 4 1 F 4 6 1 Y c t m U 0 A r o S N / 7 d o N 8 f h h Q B c b p 5 g F i N E o l q z 7 a H 5 u V i o e + i b P n j 6 h m Z k Z 6 d + g 0 j v 7 X 5 K f / D / C B I g 0 4 3 4 T B U 3 / i e 9 B w x g t A f M S m g Q m 5 u L 8 P C 3 H l 2 R G + u z 0 p B D D C b x v h r + f I S K 8 f v F C B 5 3 e l 6 X O Z i w N U e + J / h V M w 4 k 5 r 6 T Z B M J 9 r Z W s O A t m W O h 0 N 9 Y F z 7 n R B y 8 o w h 8 f i 6 l u z k S v V b l U S 2 V / T W e 8 3 v B G X 0 6 O 7 N w M 6 I N g s S E W H Y b Y 1 I u 1 t 9 H + / f t l k x U D P I P N L O / d u y + T b O E A O H L s C D V X O a g M 4 0 O V h N g O o P m M M 8 I J 7 G E R D A X 5 s z P i g k 9 m S h T 2 Y d B W k c l 4 / 7 5 5 G K Y 8 a 9 U S p 9 t L 3 9 W B E W o P C e d e E h l Z + h 4 O E P 3 i L z / Q n + Q e u M 4 p A Q n 7 0 e F + u e U C t Y 6 x m c A L X T J o 1 U G S n / 7 0 Y / r g z G n O M o 9 o q 6 W l J R E s 5 z h / / q I 8 i 7 3 1 3 n j j m G i B w A b T i J K b r A T e C i y N 5 g A I g 9 n w 4 X C E W q N R c T h E / I p I T l l M + W T v C 6 U F t R b S G q j 8 m o U J J l L M 0 9 D B g a p 1 Z 7 f F l X 2 o p u C q q H z W R Z Z a d 6 p 3 N 6 r 6 n Q K 0 8 r P 4 9 p Z K d P V 0 i z n 2 5 M k z b s W V 9 + 7 9 9 9 + j 3 l 5 7 I 8 v W a K t 4 C a u h s 7 u H K y l X b j b f X g b V 1 m C Z M j L E a Q m A C D a R j N y e U l O N 5 F q b e + o e T D v 7 O S e x 8 P z w w X 3 4 F N e J O / t Q g G V L 1 6 9 5 t x H G Z w O U 1 k e G b g U 4 2 w n k w R Z i Y 2 N 3 Z D l 8 5 T g S i D X L / S g Q r x r Q r 4 I b e 6 d g z H Q Z W 5 I Q p F B x 0 1 e 6 8 h R k U m V s + k 7 2 o C 2 / x s Q d 5 D L x 7 X o g f y y 4 l l D Y 7 d e 0 R p y 7 O r V x c H N y + 5 U b x 9 n g W M 9 E I q F T b G D 9 V E t r C 1 2 5 f J V u 3 L g l M 9 V R Q Z 1 A n 2 W 7 Q M W H k y K X z Y j D I p 1 e k 8 9 H H 0 8 I w K Q w Z D K u c E g y X a I E i 7 m v i K N E n r H M O x X i u 5 m 9 + j o 7 1 v f X 3 A I v N L M b p b O F K w V a K I j u V T S K 2 Q c k M l 5 a X N 3 + b 8 S + 5 d V m O S C / s L k l d n 8 9 f P g Q T U 1 N 0 c U L 3 1 F i J c E d / r w 4 F t o 7 y s e M t g L s 4 d c a b Z P p Q 8 3 N L f z Z E Z l n i O 8 g J N I E s T S Q p J X o P r x 6 + r 5 F I k M u U + 6 S D l I h r k J c v 3 / m l F V P 3 C a u 1 V B e r 8 5 E b p E a F d e e r y f G Z o D j A X 2 o z Z b B w 7 T D U a H Y 5 P + d d 9 + m m d k Z + u a b 8 7 L a 9 2 X g d M E D x r z L Z t L i n Y O J i T E o R Q a b I P P c W C g L x E 5 T o S p z S z u V p X E f s F S g S O T l P Z K v G 5 w b T C u X S p g 7 s q q l U m E j Y j v G L t z R 2 z H b s C P t y M g I n f 3 4 Q 1 l 6 j 8 q 9 H e C z 4 M U z A C m U C c h a j 7 U P t C I m r 4 L g u A f C O 0 0 / q 5 9 k h O 8 J w X B f n g G J b K K h H v T 3 Y R F l 9 f r i B n G t h g I 6 2 z K S i W I / I 0 M 5 k 5 2 o d 7 M P u L W N v h S O 9 X z r 7 V P r t M a L Y D S b 2 C z b g P N z Q B D 0 p W a m p 2 R w G F O j R O u A 5 A h Z Q K 6 l p U V K p E A c Q x J 1 z 9 Z I O m 6 k q L Z h N t s x n z n 7 t v 5 E d 8 K V 4 1 B l I i 2 X y l z V g j a W g 2 I u 6 a N z D 7 k / U k J m b A z 0 u Z J r + a o u 7 B c B D R M a K x U q k + 1 F W N K T X s 3 z E J A S / S h z b Y k e y E X 5 w X F y Z 8 Z r X d v E c R I I j a g h k h 1 n n c i k 5 H x w 1 g + X i e u W b 1 R K d z t n p q M l Q w E 6 0 Q h a K p X z 0 J c T I V p O Y c + g 6 o C b / e 5 s k b 6 9 t / 1 N V U B C b D v w 5 Z d / p j / 9 8 U t x W G w G z H R v 7 1 D z A Q 2 h E G K 2 B J Z p W G S B o E E U 8 0 2 Z o 5 i / 5 / T u W S a f e V 7 S H O V t E a 1 A P / 3 0 J 1 X r i K v k w v h j 1 z f 5 D 5 + j q + d T M 6 D 9 A T Y 1 f G V E q i R Z v Q N T k 4 7 1 5 l R r 6 M D t 7 8 e o r 6 + P u r v a d c r 2 A T J B y 0 S j r X K N i q 0 W 8 W G K U k b G s 8 x g s V M 7 m b g Z P D a z H 6 x p R k y I t W S S v p 9 r Z U I p o o g p L 6 J M O t F G M u U I J 2 3 g h A 1 1 0 g a m G x X z G f q P v / 4 b e W 8 3 w 9 V 9 K I N g A I W F V k o V h I i 0 b I p I j a C l n M D m m F / f D 9 G d W b + l s T D 2 4 / O U X o l M A L Y j G x 0 d l U m 3 A s 5 b k A R 5 j w W O h j C G Q A g h S M e y E L T T q p y M t l E S X 1 q S L Z 8 x n 8 / W P n i 9 f k 5 E a S L L B B R R J m A 0 u n 4 O o h t R E 4 T a 0 8 P V R l Z s 2 i 2 Z F A g X B t 9 Q D z U Y 8 k U P P Y v 7 6 e k S k 4 o r N A Z r s V Y K e f M q w P L 6 / f v 3 W Q 4 H N F b Q S A i h u Z a Y N I Y A 6 D P B L Q 4 t B E T b Y p y u y s Y 4 I q T / J F K g 2 R U m o U U W l W Z d c 7 l a 1 x L n c p Z J s Y j n 6 F / 9 m 5 / J Z 7 g d 7 n d K a I m E u G X j z L Y 0 F B e I a h 3 5 P h 5 p M C 1 l c H f O T / / r 3 D M 5 n r O 7 p 1 v M s p e F 0 T a T z 6 f E p V 4 J 3 O v p 6 2 c C l O R z 0 M A h 3 8 u 1 j N Z c 1 r X S b F g E O T Y D 8 m v N B B J J I 2 k E z z q u D d H 4 M 3 r 7 u L 9 W U R / c K p 6 L d 5 / U T B M / / j D H 9 j z 3 o 7 g v 5 W P x w J 7 n a 3 h + 0 N l F g T c i c G D b T w 9 m u P 8 z T Z O z y x T t P 0 q H o N V f A E w P w n 7 o 6 D d B 2 0 D 7 Y 6 P N P X v 2 y A 6 2 J j 9 V o M g m Z O F w 8 v k z 6 u z q p p m p S e r o 7 C r b F g z i 7 D s V + L 2 / f a D G o l R / S T W K 4 r 2 T + 2 r P P d y z T y n M q H 4 U h 7 / + z d / W T I N Z E y a f g Y / z V N n U y v Q r c k F I q F u z R t V S 5 m e D D I u z z 8 Q U x P G c m w G H W u N g a j g x 3 n v v X V n m c f b s R z Q 9 P U v Y L R b k s K W c J J i m 1 N 3 b J x 8 M j Q U y Q T P J w L J + T o j E A u 0 0 M a O I 4 x S 5 z + W m x C 5 T E Z S r N v W a m 8 M 1 V a 4 1 R a i R A 1 z Q K B D L H D B i z A h 3 r u J 8 3 T C F C E d C L N Z G X S 1 F y u T t B Z q V w E A u j s M Z G B g g 7 P u A / h L y D Y I 5 e F h d C y I B h l S S x 5 p Y s n R e 5 7 c y 8 R T p s J I Y 9 y H Z T J Y S y 8 u U y f l o K o F 5 f e Z 5 h K o M y 8 o S o R U 3 D W W e / v 0 v / 0 q + R 6 2 g Z v p Q R t q j a A 1 V Z 9 V k u o g u L E i j w R D H n P 5 + q G O V T c D 0 O r e 6 A Q 5 s w 3 G j l Q B x U m s p I Z g h E c Q y 3 z j E Q k b R Q F p M o y b O E C b k a i I p s 8 6 x v C J N L X T 5 i V e 0 E c i i y k s 9 a 1 4 j 5 J G y 5 G v R T G q F b p H l w P C e d e X v d v F 8 d 6 9 2 + l A G 3 4 + v c r / J J / 0 p 9 K V g c q h d e j h E a 1 s x T l X v M H 0 o A K f B 4 + C 1 P X s G 2 H y b F h O u o y M m Z M M 5 U t B i k 5 N T 9 P n n n 0 l e O Q E S j Y 2 N C y H Q 7 9 k z O C B H 5 y A d S 9 X X m E w + H / a 0 U G u q s G y + 3 C F R p O m l L N 2 Z w 7 Q j 5 T g C m S R k w p h + k 0 0 s 1 R i C Q J U n v B e 5 7 / T b 3 / 1 S P q e W w I R 6 W n O E S q e L d O 8 R S K U c F E I o i S M 0 p D J H X N Y / s X r Y x D s 1 o P b l g / c N h 1 d j f w m Y f 9 B E c G 1 f v 3 6 D h o a G 5 I S O R 4 8 e i 3 s c 9 0 A W A 8 S N g A C X L l 2 R / h W 2 / M I M C G P i l Z N I a b K 1 T I m u P v M z O Z C m N J D c h x a S E F Y E N J J N K t V P 0 o R i E p m B 3 E I + Q / / 2 b 3 9 O H Z 0 x / c 1 q B z X V h z I I h 7 0 U 8 H N B o p B E T A E a M Y U N u 9 + u J P W K o U 5 7 F S 7 G j D C O B I 8 f 1 j 9 B U 8 M M P H 7 8 u B z M h m v c x w L D B w 8 e C g F N / j j z D Q L P 3 v j 4 u D R U d n / J v q 9 M t y L d n f X Q p S c g U 3 n + q 9 f o v p K V b u J K C t r J Z E u O W p o j N U k m o C Y J B R w d i X J B m Z Y O f S r Y 3 a r V M 6 a E I V o 9 k w l o D t q / T 8 3 L y 8 l y e C e g k U z f C K Q 6 d G i E T c F 2 N g l n 6 M K F i 2 V r l m T a E L / l O + + 8 z e + V F x 2 v y K N J o P t P i c Q K X X / m p e d x j + S 1 9 Q x C u V Z l I O k i p r y M q L 6 w M f m g n d B 3 + u U / / G v 1 p W s Q N e e U c M r + w W Y u J N j e u q C 0 W A U n c V W Q a C 0 h 9 Q j j f M C 4 0 p U r 1 0 Q j w R 3 u h N F A K l Q a C U f p o K 9 1 6 t R J e n D / g W x L h g M J J M + Y G H C r + / 1 e y g s p l E Y S E V L l a X Q h R v F V W A r q e Y t M l t Y x a Y 7 y 0 Q 2 e F d e N o Z H P P v + w a l n X i m B I t G b / t c d C 5 P e g Q G 0 S q V A X r F X Q 5 a a G k I v 7 A f U G k O T g w S E h i o G T S H Z c a S I l O G Y m Q M M H h z m O w 6 n V 0 g r I 6 O g d S q U y o v G g R V S I f F W v W 0 3 z + / F 7 y Y k Y V j 4 7 R W s n n e + m P O x y g q B B x K B u j t r a m m n o 4 D 5 H C d f e v 5 o 1 + Q x O n e j i W u N o 6 V B A E t c F x q F d e H a h m g J H 5 U J F 4 z / 8 b k Z q B 7 G w 3 T C g w s O c M + R x i r O i O 7 W N y Y s f f h i V v S b M f W y S i b N + k W 9 o f F W u q P f G 6 0 a n c E 6 u 0 k J W v l r 5 b I u V p s s D x E T 5 q B A z I T h k U 4 + N R j b 1 3 D + b / E W o e U I B b 5 3 o k f 4 U C k 8 E c X O N f p Z U G q c w i S C o b N z S c k R R S U V r C g O O Q 9 v W 1 l J M K F W k h k S G U E a U u W f I p Z 7 B 9 C O Y d 1 g G f / v 2 D 3 T j x k 0 2 / b I 0 O z v H J D s s z 4 E 0 2 L / c 5 N 9 s g t 9 H 3 k N p f P V + K l / t R o v F k A 3 l o M t H Q s v c w x E 9 e f r 1 b / 9 e v n e t w 3 P p / r M a q 0 L V s b a W p e / H F m Q M y h q T 0 q F y o d v u d F Q 6 i X O I F t 0 W r o w 6 7 m a A G A a f j W A A t y S 7 x a J C 4 3 h R p U 7 K i b S R G I I h D m c E l m G M 3 x l n 0 3 F Y x v j E p N P E w 3 O Y Z f H d 0 w i T w k E g i 1 Q g D g g F 0 h h C q b h F J k s 7 G S d E l v 7 d 3 / 8 l d f V s f 8 c l N w I 1 i I P a l 6 a m E D U 3 + a w W 0 A i u T Y t p m y Z a p A J A V O W w r 2 1 T E M J / + D N 2 H 9 b 3 0 W Q J e H H o W F F v w R y X D S 6 l Y l s a a G O R O X c V a d i D / M n j J 3 T k y B F x v 0 u 6 E E f l U S 5 f p A u P b T K V 5 6 G d v 5 Z F g L i k 2 Z r J 6 Y g A m f o H e p h M 7 t 5 4 Z T v i u X z / u T t q y w 7 h u y t P u E B Z A 2 G Q V z Q U R F 0 b T W V p K N F S S j O V h 1 p L Q R h 8 J X G 5 U k k M K y K w 7 5 W n 7 w h A J B X R / 1 X 4 6 Q i b e J w 6 c e 8 e H R g 6 I C Q w p L M F L z d x u 5 E w Y j Q U z E X 0 m 3 B + r 2 0 W K s 0 E g j 5 d 8 t C j B e y l p 6 4 t 0 w 7 P c S j P 4 1 r S d W M G k k k f F q e 5 6 9 n k T C K Z F c F h K O i n 3 / 7 u V / L L 6 g V 1 R y j g w n e P u N 0 G a T B 7 A s s 7 v G K + W I R C C P J o Q j n N P y G O g 1 h y z e 8 p c c T k P + L q U s F K c a R t B u d D i h w b Q d 1 S z 3 A 1 d 4 Q l W Q b f F U k z o S b o 8 N E j k m a T B Z d 4 k v 8 x M d g i p p W U h 7 p b 1 G H R R k A a T J T F t C S 4 x 9 u i U d m o E n P x D K F u T v p p N Y N V u U w W v l Z k g + Z B X G k i p 8 Y y W k n c 6 0 I k Q y h l 5 s E J E Q j 4 6 L / 9 j 3 / Q + V o / 8 F x + U H + E A s 5 d e M B V q b w / J c R y 9 K k s Q j G B O I F D L l w Q q F J T g T B y T 2 L q G X y I 3 N N p B o 7 o l m F I U g 1 C C h V K o B 4 W M v z s U F r G n u D d w w F p c l c T x R b 1 L O Q 2 E + O N P j U z o q j T Q L Z 7 r O G G h + E 2 L 8 o A 7 x 3 u Q w 0 P H 5 A 9 9 6 4 9 9 T M Z F b E U k b R 2 A q E k r k w 8 p C m t x P e 0 R 0 8 0 k g n R X 9 K h j 8 n 6 u / / 5 n + T 3 1 B u Y U J O q p O o M q C z f n p t g o o A 4 c E h A W y G E M G F M y O R R I d N C X 1 t E k p C v 8 Y Y m D f S R E E m a P b i n Y h K X Q P 4 a l F 8 p 2 N l u x f g 7 G 3 B V t 2 7 g t + i Y f o T 7 T 7 4 i n d m X o r v j d + n Q 4 c P y s U I Q S y q v j Y A Y S j M h T C a x D 7 p H V u g q 0 i i P 3 s 2 b t 6 j 7 w C m 1 Z b I 8 r / u V Q i Z N K H 4 O a a K R 9 L V o K A e h p L 8 k m k n 1 m T i L m U z / x c 6 7 O o P y s d Y h U G B n P u B W F w W r z Q 1 T u G Z s S i o A C p 1 D Z a Y g 1 O m m g k j c b p X N v L T K V l p V M h W 3 K 5 0 R 9 Z p y s e / j e X k P r Q F M m o q r S m t e Y z 4 r w 1 o D 3 E o k V 3 U F t l 9 r X l d N 1 B i U e g a / F Q e y h U J B y 5 G A E F q q q f M A k w l m n + P 1 k j 8 q N H l k i K P y E Q R C q P O a R S a 9 w s w T M n n o N 7 + r P z P P C c + V O t V Q B t y 4 0 l d f j / E v 1 d p J T D + E 6 t r S U E Y 7 c a F L / w q F z l K m s b R 2 k q i O C 5 C m Q w O d g s i L A W 0 i 9 N D A l 0 Z g / p r 7 k g D N Q n K s J k 4 7 X F x Y k E W B O A 9 X P a P M O Y R K I 9 k i Z p 7 W T C D v 0 v I a B X 0 4 g T 2 k 0 p h k C M e m 1 U E F y v k A 4 u B 1 H G r C S 1 x I y U T S x B Q S o 6 H i N L j e V d 9 J O S G Q 7 v N 5 6 L / + 9 1 + x J t x 8 J X G t o + 4 J Z f D l n 0 e 5 Q j B 5 x N s H M m k T U E h k z D 4 V B 1 F w L U R x E E p I o u N A e Y h 7 8 t + K G 8 j r N o D K f F 0 E V k l w B Z Z A 3 1 U X O o 6 w R O 8 M Z q g 5 U B K X O V b d Y k d W 3 M J 9 E f w z c U 0 i i J B E p 6 1 l C v T H i x P U 3 N 5 H 4 a Y o 5 w U 2 z M R 9 k E Y T T B O p T G O C R E I q k A 0 h N J T S V k r b s 3 a C J w / p T K h g M E C / + 6 f / L N + / 3 u G 5 8 r A x C A V 8 8 c V t K s J R A c 2 k t R W I s 5 G m K i M T x / m P i m v C G C J J o E m j 0 g z M v R e D 6 z j + S h x A p b c A A q i I / l + i j 4 f S l G M t M D 0 1 L Z u q y B N 4 b p 0 g W Z G o U k M h f n f W R 1 P x P O W y a Q q G I u p Z E A n P g C x C K p t I J k 0 I J L N R E I d m 4 m s x q Z V 2 M v E w m 5 P / + E / 1 6 Y C o B i b U l C q r B s H F i + O U S G R k x y R o K a W d j N a y C a U 0 F g h h k 4 r / W G m A l a Y u Q B 8 O 5 V Z Z 3 B H Z A L o I r M B 5 r a 9 A B g 4 8 / P f 0 v g z 5 v X A o J E V T t L a 0 C g H K B P 9 A H h P q d C E I Q q O F O L z 4 U G 3 K o u 5 p A p k Q a R J q I k k I r a T 7 T 4 j D x O P Q m H k I M R W s t 6 + H / u 5 X t b s U 4 2 X Q c I Q C b t 6 8 T z M z C S G R 6 U 9 5 Z K t n Q y a k V x L K J p Z F J I S g j v D F D t V / u V B Q N z Y H V 2 g D Q y A D V H Y d o f 0 d e R p s y 1 M q n Z K l 7 m b V r Q j + m b h T N i B U M k 3 i S l d O D 9 x X h H K S y J D K I p S Q S I W G U M b J o 7 R S j r 9 n k Y 4 c H a G f / c X H 6 n s 3 E D x X G 5 B Q Q D y e p A u s r Z g 5 Y v o J k Y R Y T k K V a y r + o + O 2 S J o w S P 5 K q A I n i c w 9 u a g K r u M a h j z 4 b x M J M R 9 r p Q 9 Y O + F q N a m 2 S s Z S d 1 y D J H h I E Q f E w O Y t i j y V h H o e 9 9 L z Z a x z 0 u T i N K O Z K g k l 5 J F Q 9 5 1 M v w l a C Y T S x D K e P T / n 4 d / 9 6 m + o p 0 7 m 5 m 0 X n q u P G p N Q A C r L H / 5 w j c 0 V k M M Q C a a f J h S L c 0 Y F n j E h / 9 F x B 4 F w D d Z o 9 u j A / B H Y M R v l B a C I o W I m L j E O S v T h A U W o q c k p W Z 0 r G g r / + B 4 e E o J I X G k h X N + Z 9 t N S i p M s L a R D b f K V E c m E L E I c I Z B N K t F Q 2 t w T z Y R Z 5 G L i F a i p u Y l + 8 4 / / Q a Z A N S a I / h / H b i 9 w n s 6 f z Q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 G u i d = " 4 d d 6 2 e 8 a - 5 c 2 7 - 4 a 8 f - b e 2 9 - 1 b a 6 d 5 0 d 4 d 0 1 "   R e v = " 1 "   R e v G u i d = " b c d c 2 7 5 b - a 0 d b - 4 2 9 4 - a 4 4 9 - e d 0 f 0 7 e 8 9 1 8 7 " 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010D207D-6D3B-4368-87EB-39D937D0EA22}">
  <ds:schemaRefs>
    <ds:schemaRef ds:uri="http://schemas.microsoft.com/office/2006/documentManagement/types"/>
    <ds:schemaRef ds:uri="http://purl.org/dc/terms/"/>
    <ds:schemaRef ds:uri="http://schemas.microsoft.com/sharepoint/v3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31bbf60d-c53f-4949-90ec-7b0c5265cdd1"/>
  </ds:schemaRefs>
</ds:datastoreItem>
</file>

<file path=customXml/itemProps2.xml><?xml version="1.0" encoding="utf-8"?>
<ds:datastoreItem xmlns:ds="http://schemas.openxmlformats.org/officeDocument/2006/customXml" ds:itemID="{346E9B96-210B-44EC-888B-356F86D570DC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F4A05AFF-8D57-4A2B-BD68-26C009709C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1bbf60d-c53f-4949-90ec-7b0c5265cd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CAF8962-2FAC-4581-BD35-F761F9347E6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693BDC9-9E97-4FCF-ABB1-750E73DD2D53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PAI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Reyespatria Camargo</dc:creator>
  <cp:lastModifiedBy>Gina Margarita Diaz Lobo</cp:lastModifiedBy>
  <cp:lastPrinted>2020-02-12T21:16:52Z</cp:lastPrinted>
  <dcterms:created xsi:type="dcterms:W3CDTF">2020-01-21T19:41:28Z</dcterms:created>
  <dcterms:modified xsi:type="dcterms:W3CDTF">2020-11-25T20:01:07Z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0x010100D8962D83CB3E0248A7ACF655DAD9D3AD</vt:lpwstr>
  </property>
</Properties>
</file>