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gina.diaz\OneDrive - Unidad Nacional de Protección\Escritorio\backup compu yivana\DOCUMENTOS\HOJAS DE VIDA INDICADORES PAI 2021\PAI 2021\INFORMES SEGUIMIENTO PEI Y PAI 2021\"/>
    </mc:Choice>
  </mc:AlternateContent>
  <xr:revisionPtr revIDLastSave="0" documentId="13_ncr:1_{115AB3E3-0F60-462D-AB5D-604BBD9384A3}" xr6:coauthVersionLast="45" xr6:coauthVersionMax="45" xr10:uidLastSave="{00000000-0000-0000-0000-000000000000}"/>
  <bookViews>
    <workbookView xWindow="-120" yWindow="-120" windowWidth="20730" windowHeight="11160" xr2:uid="{00000000-000D-0000-FFFF-FFFF00000000}"/>
  </bookViews>
  <sheets>
    <sheet name="PAI 2021" sheetId="15" r:id="rId1"/>
  </sheets>
  <definedNames>
    <definedName name="_xlnm._FilterDatabase" localSheetId="0" hidden="1">'PAI 2021'!$A$5:$DP$96</definedName>
    <definedName name="_xlnm.Print_Area" localSheetId="0">'PAI 2021'!$A$1:$CN$94</definedName>
    <definedName name="IDENTIFICADOR" comment="Identificador numerico a que objetivo estrategico y a que estrategia institucional aporta la actividad definida" localSheetId="0">'PAI 2021'!$K$5</definedName>
    <definedName name="IDENTIFICADOR" comment="Identificador numerico a que objetivo estrategico y a que estrategia institucional aporta la actividad defini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M85" i="15" l="1"/>
  <c r="CM50" i="15"/>
  <c r="CM49" i="15"/>
  <c r="CL31" i="15"/>
  <c r="CM31" i="15" s="1"/>
  <c r="CL9" i="15"/>
  <c r="CM9" i="15" s="1"/>
  <c r="CL7" i="15"/>
  <c r="CM7" i="15" l="1"/>
  <c r="CL72" i="15"/>
  <c r="CM86" i="15" l="1"/>
  <c r="BY45" i="15" l="1"/>
  <c r="BY14" i="15"/>
  <c r="BZ45" i="15"/>
  <c r="BZ61" i="15" l="1"/>
  <c r="BZ86" i="15"/>
  <c r="BT9" i="15" l="1"/>
  <c r="BT7" i="15"/>
  <c r="CL29" i="15" l="1"/>
  <c r="CM29" i="15" s="1"/>
  <c r="BZ29" i="15"/>
  <c r="CL20" i="15"/>
  <c r="CM20" i="15" s="1"/>
  <c r="BZ20" i="15"/>
  <c r="CL41" i="15"/>
  <c r="CM41" i="15" s="1"/>
  <c r="CL26" i="15"/>
  <c r="CM26" i="15" s="1"/>
  <c r="BZ17" i="15"/>
  <c r="BY17" i="15"/>
  <c r="CL17" i="15" s="1"/>
  <c r="CM17" i="15" s="1"/>
  <c r="BZ19" i="15"/>
  <c r="BY19" i="15"/>
  <c r="CL19" i="15" s="1"/>
  <c r="CM19" i="15" s="1"/>
  <c r="BZ23" i="15"/>
  <c r="BY23" i="15"/>
  <c r="CL23" i="15" s="1"/>
  <c r="CM23" i="15" s="1"/>
  <c r="BZ25" i="15"/>
  <c r="BY25" i="15"/>
  <c r="CL25" i="15" s="1"/>
  <c r="CM25" i="15" s="1"/>
  <c r="BZ26" i="15"/>
  <c r="BZ27" i="15"/>
  <c r="BZ28" i="15"/>
  <c r="BY27" i="15"/>
  <c r="CL27" i="15" s="1"/>
  <c r="CM27" i="15" s="1"/>
  <c r="BZ24" i="15"/>
  <c r="BY24" i="15"/>
  <c r="CL24" i="15" s="1"/>
  <c r="CM24" i="15" s="1"/>
  <c r="BY28" i="15"/>
  <c r="CL28" i="15" s="1"/>
  <c r="CM28" i="15" s="1"/>
  <c r="BZ32" i="15"/>
  <c r="BY32" i="15"/>
  <c r="CL32" i="15" s="1"/>
  <c r="CM32" i="15" s="1"/>
  <c r="BZ41" i="15"/>
  <c r="BZ42" i="15"/>
  <c r="BY42" i="15"/>
  <c r="CL42" i="15" s="1"/>
  <c r="CM42" i="15" s="1"/>
  <c r="BZ16" i="15"/>
  <c r="BY16" i="15"/>
  <c r="CL16" i="15" s="1"/>
  <c r="CM16" i="15" s="1"/>
  <c r="BZ8" i="15"/>
  <c r="BY8" i="15"/>
  <c r="CL8" i="15" s="1"/>
  <c r="CM8" i="15" s="1"/>
  <c r="BZ62" i="15" l="1"/>
  <c r="BY62" i="15"/>
  <c r="BA62" i="15"/>
  <c r="CL50" i="15" l="1"/>
  <c r="CL49" i="15"/>
  <c r="BZ74" i="15"/>
  <c r="BY74" i="15"/>
  <c r="BA74" i="15"/>
  <c r="BZ56" i="15" l="1"/>
  <c r="BY56" i="15"/>
  <c r="BA56" i="15"/>
  <c r="CM82" i="15" l="1"/>
  <c r="BZ82" i="15"/>
  <c r="BY82" i="15"/>
  <c r="CL45" i="15" l="1"/>
  <c r="CM45" i="15" s="1"/>
  <c r="CL14" i="15"/>
  <c r="CM14" i="15" s="1"/>
  <c r="BZ14" i="15"/>
  <c r="CM80" i="15"/>
  <c r="CL80" i="15"/>
  <c r="BZ80" i="15" l="1"/>
  <c r="BZ43" i="15" l="1"/>
  <c r="BY43" i="15"/>
  <c r="BZ37" i="15" l="1"/>
  <c r="BZ36" i="15"/>
  <c r="BY36" i="15"/>
  <c r="BZ44" i="15" l="1"/>
  <c r="BY44" i="15"/>
  <c r="CL44" i="15" s="1"/>
  <c r="CM44" i="15" s="1"/>
  <c r="CM83" i="15"/>
  <c r="BZ6" i="15" l="1"/>
  <c r="BY6" i="15"/>
  <c r="BB6" i="15"/>
  <c r="BA6" i="15"/>
  <c r="BZ83" i="15" l="1"/>
  <c r="BB83" i="15"/>
  <c r="BZ13" i="15" l="1"/>
  <c r="BY13" i="15"/>
  <c r="CL13" i="15" s="1"/>
  <c r="CM13" i="15" s="1"/>
  <c r="BA13" i="15"/>
  <c r="CM11" i="15"/>
  <c r="BY11" i="15"/>
  <c r="BA11" i="15"/>
  <c r="BZ11" i="15"/>
  <c r="BZ69" i="15" l="1"/>
  <c r="BY69" i="15"/>
  <c r="BA69" i="15"/>
  <c r="BA70" i="15" l="1"/>
  <c r="BZ70" i="15"/>
  <c r="BY70" i="15"/>
  <c r="BY33" i="15" l="1"/>
  <c r="BF55" i="15"/>
  <c r="BE55" i="15"/>
  <c r="BD55" i="15"/>
  <c r="BC55" i="15"/>
  <c r="BF33" i="15"/>
  <c r="BE33" i="15"/>
  <c r="BD33" i="15"/>
  <c r="BC33" i="15"/>
  <c r="BA33" i="15"/>
  <c r="BZ21" i="15" l="1"/>
  <c r="BY21" i="15"/>
  <c r="BY39" i="15" l="1"/>
  <c r="BF39" i="15"/>
  <c r="BE39" i="15"/>
  <c r="BD39" i="15"/>
  <c r="BC39" i="15"/>
  <c r="BA39" i="15"/>
  <c r="BY55" i="15" l="1"/>
  <c r="BA55" i="15"/>
  <c r="BY34" i="15"/>
  <c r="BF34" i="15"/>
  <c r="BE34" i="15"/>
  <c r="BD34" i="15"/>
  <c r="BC34" i="15"/>
  <c r="BA34" i="15"/>
  <c r="CM10" i="15"/>
  <c r="BY10" i="15" l="1"/>
  <c r="BF10" i="15"/>
  <c r="BE10" i="15"/>
  <c r="BD10" i="15"/>
  <c r="BC10" i="15"/>
  <c r="BA10" i="15"/>
  <c r="BY40" i="15"/>
  <c r="BF40" i="15"/>
  <c r="BE40" i="15"/>
  <c r="BD40" i="15"/>
  <c r="BC40" i="15"/>
  <c r="BA40" i="15"/>
  <c r="BY35" i="15"/>
  <c r="BF35" i="15"/>
  <c r="BE35" i="15"/>
  <c r="BD35" i="15"/>
  <c r="BC35" i="15"/>
  <c r="BA35" i="15"/>
  <c r="CD60" i="15"/>
  <c r="CC60" i="15"/>
  <c r="CB60" i="15"/>
  <c r="CA60" i="15"/>
  <c r="BY60" i="15" l="1"/>
  <c r="BF60" i="15"/>
  <c r="BE60" i="15"/>
  <c r="BD60" i="15"/>
  <c r="BC60" i="15"/>
  <c r="BA60" i="15"/>
  <c r="AP82" i="15" l="1"/>
  <c r="BS69" i="15" l="1"/>
  <c r="AU69" i="15"/>
  <c r="BZ81" i="15" l="1"/>
  <c r="BY81" i="15"/>
  <c r="BA81" i="15"/>
  <c r="BQ60" i="15" l="1"/>
  <c r="BM60" i="15"/>
  <c r="CD39" i="15" l="1"/>
  <c r="CC39" i="15"/>
  <c r="CB39" i="15"/>
  <c r="CA39" i="15"/>
  <c r="BZ39" i="15" l="1"/>
  <c r="CD55" i="15"/>
  <c r="CC55" i="15"/>
  <c r="CB55" i="15"/>
  <c r="CA55" i="15"/>
  <c r="BZ55" i="15" l="1"/>
  <c r="CD33" i="15"/>
  <c r="CC33" i="15"/>
  <c r="CB33" i="15"/>
  <c r="CA33" i="15"/>
  <c r="BZ33" i="15" l="1"/>
  <c r="CD10" i="15"/>
  <c r="CC10" i="15"/>
  <c r="CB10" i="15"/>
  <c r="CA10" i="15"/>
  <c r="BZ10" i="15" l="1"/>
  <c r="CD34" i="15"/>
  <c r="CC34" i="15"/>
  <c r="CB34" i="15"/>
  <c r="CA34" i="15"/>
  <c r="CD40" i="15"/>
  <c r="CC40" i="15"/>
  <c r="CB40" i="15"/>
  <c r="CA40" i="15"/>
  <c r="CD35" i="15"/>
  <c r="CC35" i="15"/>
  <c r="CB35" i="15"/>
  <c r="CA35" i="15"/>
  <c r="BZ60" i="15"/>
  <c r="BT81" i="15"/>
  <c r="BS81" i="15"/>
  <c r="AV81" i="15"/>
  <c r="AU81" i="15"/>
  <c r="BT62" i="15"/>
  <c r="BS62" i="15"/>
  <c r="BN62" i="15"/>
  <c r="BM62" i="15"/>
  <c r="AU62" i="15"/>
  <c r="AP62" i="15"/>
  <c r="AO62" i="15"/>
  <c r="BT43" i="15"/>
  <c r="BS43" i="15"/>
  <c r="BN43" i="15"/>
  <c r="BM43" i="15"/>
  <c r="AU43" i="15"/>
  <c r="AO43" i="15"/>
  <c r="BX39" i="15"/>
  <c r="BW39" i="15"/>
  <c r="BV39" i="15"/>
  <c r="BU39" i="15"/>
  <c r="BS39" i="15"/>
  <c r="BR39" i="15"/>
  <c r="BQ39" i="15"/>
  <c r="BP39" i="15"/>
  <c r="BO39" i="15"/>
  <c r="BM39" i="15"/>
  <c r="AU39" i="15"/>
  <c r="AT39" i="15"/>
  <c r="AS39" i="15"/>
  <c r="AR39" i="15"/>
  <c r="AQ39" i="15"/>
  <c r="AO39" i="15"/>
  <c r="BT38" i="15"/>
  <c r="BS38" i="15"/>
  <c r="CL38" i="15" s="1"/>
  <c r="CM38" i="15" s="1"/>
  <c r="BT37" i="15"/>
  <c r="BS37" i="15"/>
  <c r="BN37" i="15"/>
  <c r="BM37" i="15"/>
  <c r="BT36" i="15"/>
  <c r="BS36" i="15"/>
  <c r="BN36" i="15"/>
  <c r="BM36" i="15"/>
  <c r="CL36" i="15" s="1"/>
  <c r="CM36" i="15" s="1"/>
  <c r="AU36" i="15"/>
  <c r="AO36" i="15"/>
  <c r="CM64" i="15"/>
  <c r="BT64" i="15"/>
  <c r="BT61" i="15"/>
  <c r="BN61" i="15"/>
  <c r="BM61" i="15"/>
  <c r="CL61" i="15" s="1"/>
  <c r="CM61" i="15" s="1"/>
  <c r="AV61" i="15"/>
  <c r="AP61" i="15"/>
  <c r="BT74" i="15"/>
  <c r="BS74" i="15"/>
  <c r="BN74" i="15"/>
  <c r="BM74" i="15"/>
  <c r="CL74" i="15" s="1"/>
  <c r="AU74" i="15"/>
  <c r="BT56" i="15"/>
  <c r="BS56" i="15"/>
  <c r="BN56" i="15"/>
  <c r="BM56" i="15"/>
  <c r="CL56" i="15" s="1"/>
  <c r="CM56" i="15" s="1"/>
  <c r="AU56" i="15"/>
  <c r="BX55" i="15"/>
  <c r="BW55" i="15"/>
  <c r="BV55" i="15"/>
  <c r="BU55" i="15"/>
  <c r="BS55" i="15"/>
  <c r="BR55" i="15"/>
  <c r="BQ55" i="15"/>
  <c r="BP55" i="15"/>
  <c r="BO55" i="15"/>
  <c r="BM55" i="15"/>
  <c r="AZ55" i="15"/>
  <c r="AY55" i="15"/>
  <c r="AX55" i="15"/>
  <c r="AW55" i="15"/>
  <c r="AU55" i="15"/>
  <c r="AT55" i="15"/>
  <c r="AS55" i="15"/>
  <c r="AR55" i="15"/>
  <c r="AQ55" i="15"/>
  <c r="AO55" i="15"/>
  <c r="BX33" i="15"/>
  <c r="BW33" i="15"/>
  <c r="BV33" i="15"/>
  <c r="BU33" i="15"/>
  <c r="BS33" i="15"/>
  <c r="BR33" i="15"/>
  <c r="BQ33" i="15"/>
  <c r="BP33" i="15"/>
  <c r="BO33" i="15"/>
  <c r="BM33" i="15"/>
  <c r="AZ33" i="15"/>
  <c r="AY33" i="15"/>
  <c r="AX33" i="15"/>
  <c r="AW33" i="15"/>
  <c r="AU33" i="15"/>
  <c r="AT33" i="15"/>
  <c r="AS33" i="15"/>
  <c r="AR33" i="15"/>
  <c r="AQ33" i="15"/>
  <c r="AO33" i="15"/>
  <c r="CM78" i="15"/>
  <c r="BT78" i="15"/>
  <c r="BT82" i="15"/>
  <c r="BS82" i="15"/>
  <c r="BN82" i="15"/>
  <c r="BM82" i="15"/>
  <c r="AU82" i="15"/>
  <c r="CM34" i="15"/>
  <c r="BX34" i="15"/>
  <c r="BW34" i="15"/>
  <c r="BV34" i="15"/>
  <c r="BU34" i="15"/>
  <c r="BS34" i="15"/>
  <c r="BR34" i="15"/>
  <c r="BQ34" i="15"/>
  <c r="BP34" i="15"/>
  <c r="BO34" i="15"/>
  <c r="BM34" i="15"/>
  <c r="AU34" i="15"/>
  <c r="AO34" i="15"/>
  <c r="BT73" i="15"/>
  <c r="BX40" i="15"/>
  <c r="BW40" i="15"/>
  <c r="BV40" i="15"/>
  <c r="BU40" i="15"/>
  <c r="BS40" i="15"/>
  <c r="BR40" i="15"/>
  <c r="BQ40" i="15"/>
  <c r="BP40" i="15"/>
  <c r="BO40" i="15"/>
  <c r="BM40" i="15"/>
  <c r="AZ40" i="15"/>
  <c r="AY40" i="15"/>
  <c r="AX40" i="15"/>
  <c r="AW40" i="15"/>
  <c r="AU40" i="15"/>
  <c r="AT40" i="15"/>
  <c r="AS40" i="15"/>
  <c r="AR40" i="15"/>
  <c r="AQ40" i="15"/>
  <c r="AO40" i="15"/>
  <c r="CM35" i="15"/>
  <c r="BX35" i="15"/>
  <c r="BW35" i="15"/>
  <c r="BV35" i="15"/>
  <c r="BU35" i="15"/>
  <c r="BS35" i="15"/>
  <c r="BR35" i="15"/>
  <c r="BQ35" i="15"/>
  <c r="BP35" i="15"/>
  <c r="BO35" i="15"/>
  <c r="BM35" i="15"/>
  <c r="AU35" i="15"/>
  <c r="AT35" i="15"/>
  <c r="AS35" i="15"/>
  <c r="AR35" i="15"/>
  <c r="AQ35" i="15"/>
  <c r="AO35" i="15"/>
  <c r="CM12" i="15"/>
  <c r="BT12" i="15"/>
  <c r="BS12" i="15"/>
  <c r="AU12" i="15"/>
  <c r="BT80" i="15"/>
  <c r="BN80" i="15"/>
  <c r="CM84" i="15"/>
  <c r="BT84" i="15"/>
  <c r="BX60" i="15"/>
  <c r="BW60" i="15"/>
  <c r="BV60" i="15"/>
  <c r="BU60" i="15"/>
  <c r="BS60" i="15"/>
  <c r="CL60" i="15" s="1"/>
  <c r="CM60" i="15" s="1"/>
  <c r="BR60" i="15"/>
  <c r="BP60" i="15"/>
  <c r="BO60" i="15"/>
  <c r="AZ60" i="15"/>
  <c r="AY60" i="15"/>
  <c r="AX60" i="15"/>
  <c r="AW60" i="15"/>
  <c r="AU60" i="15"/>
  <c r="AT60" i="15"/>
  <c r="AS60" i="15"/>
  <c r="AR60" i="15"/>
  <c r="AQ60" i="15"/>
  <c r="AO60" i="15"/>
  <c r="CM72" i="15"/>
  <c r="BT72" i="15"/>
  <c r="CM51" i="15"/>
  <c r="BT51" i="15"/>
  <c r="CM75" i="15"/>
  <c r="BT75" i="15"/>
  <c r="CM66" i="15"/>
  <c r="BN66" i="15"/>
  <c r="CM67" i="15"/>
  <c r="BN67" i="15"/>
  <c r="BT70" i="15"/>
  <c r="BS70" i="15"/>
  <c r="BN70" i="15"/>
  <c r="BM70" i="15"/>
  <c r="CL70" i="15" s="1"/>
  <c r="AU70" i="15"/>
  <c r="CM65" i="15"/>
  <c r="BN65" i="15"/>
  <c r="BM65" i="15"/>
  <c r="BT63" i="15"/>
  <c r="BT21" i="15"/>
  <c r="BS21" i="15"/>
  <c r="BN21" i="15"/>
  <c r="BM21" i="15"/>
  <c r="AV21" i="15"/>
  <c r="AU21" i="15"/>
  <c r="BT11" i="15"/>
  <c r="BN11" i="15"/>
  <c r="BM11" i="15"/>
  <c r="BX10" i="15"/>
  <c r="BW10" i="15"/>
  <c r="BV10" i="15"/>
  <c r="BU10" i="15"/>
  <c r="BS10" i="15"/>
  <c r="BR10" i="15"/>
  <c r="BQ10" i="15"/>
  <c r="BP10" i="15"/>
  <c r="BO10" i="15"/>
  <c r="BM10" i="15"/>
  <c r="AZ10" i="15"/>
  <c r="AY10" i="15"/>
  <c r="AX10" i="15"/>
  <c r="AW10" i="15"/>
  <c r="AU10" i="15"/>
  <c r="AT10" i="15"/>
  <c r="AS10" i="15"/>
  <c r="AR10" i="15"/>
  <c r="AQ10" i="15"/>
  <c r="AO10" i="15"/>
  <c r="CL37" i="15" l="1"/>
  <c r="CL43" i="15"/>
  <c r="CM43" i="15" s="1"/>
  <c r="BN39" i="15"/>
  <c r="BN35" i="15"/>
  <c r="BN10" i="15"/>
  <c r="BN60" i="15"/>
  <c r="BT39" i="15"/>
  <c r="BT60" i="15"/>
  <c r="BN33" i="15"/>
  <c r="BN55" i="15"/>
  <c r="AP39" i="15"/>
  <c r="AV10" i="15"/>
  <c r="BT10" i="15"/>
  <c r="BT33" i="15"/>
  <c r="BT55" i="15"/>
  <c r="CL62" i="15"/>
  <c r="BT35" i="15"/>
  <c r="BN34" i="15"/>
  <c r="BT34" i="15"/>
  <c r="AP10" i="15"/>
  <c r="CL21" i="15"/>
  <c r="BN40" i="15"/>
  <c r="BZ35" i="15"/>
  <c r="CL40" i="15"/>
  <c r="CM40" i="15" s="1"/>
  <c r="CL33" i="15"/>
  <c r="CM33" i="15" s="1"/>
  <c r="AP35" i="15"/>
  <c r="BZ40" i="15"/>
  <c r="CL55" i="15"/>
  <c r="CM55" i="15" s="1"/>
  <c r="AP40" i="15"/>
  <c r="AP60" i="15"/>
  <c r="BT40" i="15"/>
  <c r="CL39" i="15"/>
  <c r="CM39" i="15" s="1"/>
  <c r="BZ34" i="15"/>
  <c r="CM52" i="15" l="1"/>
  <c r="BT52" i="15"/>
  <c r="BS52" i="15"/>
  <c r="AU52" i="15"/>
  <c r="CM77" i="15"/>
  <c r="BT77" i="15"/>
  <c r="BS77" i="15"/>
  <c r="AU77" i="15"/>
  <c r="CL79" i="15"/>
  <c r="CM79" i="15" s="1"/>
  <c r="CL76" i="15"/>
  <c r="CM76" i="15" s="1"/>
  <c r="CL54" i="15"/>
  <c r="CM54" i="15" s="1"/>
  <c r="BT83" i="15"/>
  <c r="BS83" i="15"/>
  <c r="BN83" i="15"/>
  <c r="AV83" i="15"/>
  <c r="AO83" i="15"/>
  <c r="BT6" i="15"/>
  <c r="BS6" i="15"/>
  <c r="BN6" i="15"/>
  <c r="BM6" i="15"/>
  <c r="AV6" i="15"/>
  <c r="AU6" i="15"/>
  <c r="AO6" i="15"/>
  <c r="CL59" i="15"/>
  <c r="CM59" i="15" s="1"/>
  <c r="CL58" i="15"/>
  <c r="CM58" i="15" s="1"/>
  <c r="CL71" i="15"/>
  <c r="CM71" i="15" s="1"/>
  <c r="BT69" i="15"/>
  <c r="BN69" i="15"/>
  <c r="BM69" i="15"/>
  <c r="CL69" i="15" s="1"/>
  <c r="CM69" i="15" s="1"/>
  <c r="CL68" i="15"/>
  <c r="CM68" i="15" s="1"/>
  <c r="CL57" i="15"/>
  <c r="CM57" i="15" s="1"/>
  <c r="CL53" i="15"/>
  <c r="CM53" i="15" s="1"/>
  <c r="CL30" i="15"/>
  <c r="CM30" i="15" s="1"/>
  <c r="CM15" i="15"/>
  <c r="BN15" i="15"/>
  <c r="BM15" i="15"/>
  <c r="AN82" i="15"/>
  <c r="CL6" i="15" l="1"/>
  <c r="CM6"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tc={9669261D-EC0E-4588-8807-135642D8CAE4}</author>
    <author>tc={CC3C2250-0042-4863-BB63-FD8E91A0E239}</author>
    <author>tc={3E3880F9-9925-4929-AD16-BE4E43D48130}</author>
    <author>tc={31916C16-D19A-4901-9B54-E3C6BCFEFDA0}</author>
    <author>tc={B58E2689-0E9E-42F5-A2C1-0AB39874A19E}</author>
  </authors>
  <commentList>
    <comment ref="AB4" authorId="0" shapeId="0" xr:uid="{9173F152-DF00-6940-96B3-D2BC8CA96626}">
      <text>
        <r>
          <rPr>
            <b/>
            <sz val="9"/>
            <color indexed="81"/>
            <rFont val="Tahoma"/>
            <family val="2"/>
          </rPr>
          <t>pamela:</t>
        </r>
        <r>
          <rPr>
            <sz val="9"/>
            <color indexed="81"/>
            <rFont val="Tahoma"/>
            <family val="2"/>
          </rPr>
          <t xml:space="preserve">
mes de la vigencia programada para ejecutar la actividad</t>
        </r>
      </text>
    </comment>
    <comment ref="U30" authorId="1" shapeId="0" xr:uid="{9669261D-EC0E-4588-8807-135642D8CAE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el mes de reporte segun solcitud del proceso aprobada mediante MEM21-00021263 del 1 de julio del 2021 en respuesta al e MEM21 -00021050.</t>
      </text>
    </comment>
    <comment ref="U61" authorId="2" shapeId="0" xr:uid="{CC3C2250-0042-4863-BB63-FD8E91A0E23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ajuste al indicador segun solicitud formal del responsable del proceso mediante MEM21-0001981 del 21 de junio del 2021.   
Indicador anterior Reportar el seguimiento al servicio no conforme desde que el recurso de reposición se recibe por los canales oficiales hasta que se notifica.</t>
      </text>
    </comment>
    <comment ref="AO61" authorId="3" shapeId="0" xr:uid="{3E3880F9-9925-4929-AD16-BE4E43D4813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indicador fue modificado para el segundo trimestre del año y cambio de tipo indicador porcentaje a producto segun MEM21-00021069 del 30 de junio del 2021</t>
      </text>
    </comment>
    <comment ref="U69" authorId="4" shapeId="0" xr:uid="{31916C16-D19A-4901-9B54-E3C6BCFEFDA0}">
      <text>
        <t>[Comentario encadenado]
Su versión de Excel le permite leer este comentario encadenado; sin embargo, las ediciones que se apliquen se quitarán si el archivo se abre en una versión más reciente de Excel. Más información: https://go.microsoft.com/fwlink/?linkid=870924
Comentario:
    Segun solicitud formal del proceso con comuniación inerna MEM21-00021290 de fecha 1 de julio del 2021 se ajusta formula del indicador la cual estaba asi (Sumatoria del cumplimiento del avance de los planes del decreto 612 del 2018/No Total de planes del Decreto 612 del 2018 doce planes))*100</t>
      </text>
    </comment>
    <comment ref="U71" authorId="5" shapeId="0" xr:uid="{B58E2689-0E9E-42F5-A2C1-0AB39874A19E}">
      <text>
        <t>[Comentario encadenado]
Su versión de Excel le permite leer este comentario encadenado; sin embargo, las ediciones que se apliquen se quitarán si el archivo se abre en una versión más reciente de Excel. Más información: https://go.microsoft.com/fwlink/?linkid=870924
Comentario:
    Segun MEM21-00013994 de fecha 6 de mayo del 2021 se realiza moficiación de la frecuencia del indicador de trimestral a anual y de meta 4 a meta uno (1) aprobado por el jefe de la OAPI.</t>
      </text>
    </comment>
  </commentList>
</comments>
</file>

<file path=xl/sharedStrings.xml><?xml version="1.0" encoding="utf-8"?>
<sst xmlns="http://schemas.openxmlformats.org/spreadsheetml/2006/main" count="1410" uniqueCount="524">
  <si>
    <t>UNIDAD NACIONAL DE PROTECCIÓN</t>
  </si>
  <si>
    <t>PLAN NACIONAL DE DESARROLLO</t>
  </si>
  <si>
    <t>PLAN ESTRATÉGICO SECTORIAL</t>
  </si>
  <si>
    <t>PLAN ESTRATÉGICO INSTITUCIONAL- PEI</t>
  </si>
  <si>
    <t>PLAN DE ACCIÓN INSTITUCIONAL - PAI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</si>
  <si>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</si>
  <si>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</si>
  <si>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</si>
  <si>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</si>
  <si>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</si>
  <si>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</si>
  <si>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</si>
  <si>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</si>
  <si>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</si>
  <si>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</si>
  <si>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</si>
  <si>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</si>
  <si>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 Sectorial</t>
  </si>
  <si>
    <t>Objetivos Estratégicos Institucionales</t>
  </si>
  <si>
    <t>Aporte a la Visión</t>
  </si>
  <si>
    <t>Estrategias Institucionales</t>
  </si>
  <si>
    <t>Indicador (impacto) de la Estrategia Institucional</t>
  </si>
  <si>
    <t>Identificador</t>
  </si>
  <si>
    <t>Perspectiva del Cuadro de Mando Integral</t>
  </si>
  <si>
    <t>Actividades</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</si>
  <si>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</si>
  <si>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</si>
  <si>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</si>
  <si>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</si>
  <si>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</si>
  <si>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</si>
  <si>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</si>
  <si>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</si>
  <si>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</si>
  <si>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</si>
  <si>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</si>
  <si>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</si>
  <si>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</si>
  <si>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</si>
  <si>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</si>
  <si>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</si>
  <si>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</si>
  <si>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</si>
  <si>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</si>
  <si>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</si>
  <si>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</si>
  <si>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</si>
  <si>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</si>
  <si>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</si>
  <si>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</si>
  <si>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</si>
  <si>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</si>
  <si>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</si>
  <si>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</si>
  <si>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Avance Acumulado</t>
  </si>
  <si>
    <t>Porcentaje de Avance Total 
 PAI</t>
  </si>
  <si>
    <t>Cumplimiento de la Estrategia del PEI</t>
  </si>
  <si>
    <t>Nivel de Conformidad del Seguimiento</t>
  </si>
  <si>
    <t>Observaciones</t>
  </si>
  <si>
    <t xml:space="preserve">ARCHÍVESE EN: </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</si>
  <si>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</si>
  <si>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</si>
  <si>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</si>
  <si>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</si>
  <si>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</si>
  <si>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 xml:space="preserve">Se modifica ya que se debe adoptar al nuevo Plan de Desarrollo nacional, para integrar todos los planes y unificar informes </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</si>
  <si>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</si>
  <si>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</si>
  <si>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</si>
  <si>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Peso de la estrategia frente al objetivo estratégico institucional</t>
  </si>
  <si>
    <t>Peso de la actividad con respecto a la estrategia</t>
  </si>
  <si>
    <t>Peso de la actividad</t>
  </si>
  <si>
    <t>PLAN DE ACCIÓN INSTITUCIONAL</t>
  </si>
  <si>
    <t>Se modifica incluyéndole la casilla de peso de la estrategia frente al objetivo estratégico institucional, adicional se ajustaron los comentarios de las casillas para fácil diligenciamiento</t>
  </si>
  <si>
    <t>DIRECCIONAMIENTO ESTRATÉGICO Y PLANEACIÓN</t>
  </si>
  <si>
    <t>Pacto por la legalidad: Seguridad efectiva y justicia transparente para que todos vivamos con libertad y en democracia</t>
  </si>
  <si>
    <t xml:space="preserve">Seguridad, autoridad y orden para la libertad: defensa nacional, seguridad ciudadana y colaboración ciudadana
Imperio de la ley: derechos humanos, justicia accesible, oportuna y en toda Colombia, para todos
</t>
  </si>
  <si>
    <t xml:space="preserve">Pacto por la vida (protección a personas y comunidades en riesgo)
Una apuesta por el goce efectivo de los derechos de los colombianos
</t>
  </si>
  <si>
    <t>Promover y proteger los derechos humanos, especialmente la vida, la libertad, la seguridad, así como los derechos de autor y conexos, fundamentados en la cultura de legalidad y emprendimiento.</t>
  </si>
  <si>
    <t>1. Propender por una cultura de respeto y garantía de los derechos humanos, que contribuya al proceso de construcción de paz.</t>
  </si>
  <si>
    <t>Garantizar el derecho a la vida, integridad, libertad y seguridad de las poblaciones objeto de seguridad y prevención.</t>
  </si>
  <si>
    <t>Porcentaje de cumplimiento del Plan de Comunicaciones Estratégicas</t>
  </si>
  <si>
    <t>1.1.2</t>
  </si>
  <si>
    <t>Plan de Comunicaciones ejecutado</t>
  </si>
  <si>
    <t>N/A</t>
  </si>
  <si>
    <t>Porcentaje</t>
  </si>
  <si>
    <t xml:space="preserve">((Nº de actividades realizadas del Plan de Comunicaciones Estratégicas) /(Nº de actividades programas en el Plan de Comunicaciones Estratégicas))*100 </t>
  </si>
  <si>
    <t>Eficacia</t>
  </si>
  <si>
    <t>Gestión de las Comunicaciones Estratégicas</t>
  </si>
  <si>
    <t>Trimestral</t>
  </si>
  <si>
    <t>Seguridad, autoridad y orden para la libertad: defensa nacional, seguridad ciudadana y colaboración ciudadana</t>
  </si>
  <si>
    <t>Pacto por la vida (protección a personas y comunidades en riesgo)
Red de participación cívica</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</si>
  <si>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</si>
  <si>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Fortalecer la Gestión y desempeño del Sector Interior</t>
  </si>
  <si>
    <t>2. Fortalecer la capacidad institucional para identificar oportunamente las amenazas, riesgos y vulnerabilidades a las cuales están expuestas las poblaciones objeto.</t>
  </si>
  <si>
    <t>Generar confianza y compromiso institucional.</t>
  </si>
  <si>
    <t>2. Incorporar el análisis de contexto como mecanismo para la identificación anticipada o temprana de las amenazas, riesgos y vulnerabilidades de las poblaciones objeto.</t>
  </si>
  <si>
    <t>((Nº de indicadores eficaces)/(Nº total de indicadores de la estrategia))*100</t>
  </si>
  <si>
    <t>2.2.6</t>
  </si>
  <si>
    <t>Nº de municipios con diagnósticos focalizados de riesgo, proyección de escenarios de riesgo o planes de prevención y contingencia apoyados técnicamente por la UNP</t>
  </si>
  <si>
    <t>Número</t>
  </si>
  <si>
    <t>Gestión Evaluación del Riesgo</t>
  </si>
  <si>
    <t>Mensual</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</si>
  <si>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</si>
  <si>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</si>
  <si>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</si>
  <si>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2.2.8</t>
  </si>
  <si>
    <t>Procesos Internos</t>
  </si>
  <si>
    <t>Gestión Especializada de Seguridad y Protección</t>
  </si>
  <si>
    <t>Semestral</t>
  </si>
  <si>
    <t>Anual</t>
  </si>
  <si>
    <t xml:space="preserve">Pacto por la legalidad: Seguridad efectiva y justicia transparente para que todos vivamos con libertad y en democracia
Pacto de equidad para las mujeres
</t>
  </si>
  <si>
    <t xml:space="preserve">Seguridad, autoridad y orden para la libertad: defensa nacional, seguridad ciudadana y colaboración ciudadana
Derecho de las mujeres a una vida libre de violencias
</t>
  </si>
  <si>
    <t xml:space="preserve">Pacto por la vida (protección a personas y comunidades en riesgo)
Fortalecer la institucionalidad encargada de
la prevención, atención y protección de las mujeres
víctimas de la violencia de género
</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</si>
  <si>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</si>
  <si>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3. Gestionar soluciones estratégicas que contribuyan a la garantía efectiva al derecho a la vida, libertad y seguridad de las poblaciones objeto y optimizar los tiempos de respuesta en la ruta de protección.</t>
  </si>
  <si>
    <t xml:space="preserve">Actividades ejecutadas en el proyecto de reingeniería </t>
  </si>
  <si>
    <t>Porcentaje de avance de las actividades definidas en el proyecto reingeniería</t>
  </si>
  <si>
    <t>((Nº de actividades ejecutadas para la implementación del proyecto de reingeniería)/(Nº de actividades programadas para la implementación del proyecto de reingeniería))*100</t>
  </si>
  <si>
    <t>Gestión Integrada MIPG-SIG</t>
  </si>
  <si>
    <t>Nº  de días hábiles promedio utilizados para la evaluación del riesgo (transcurridos entre la recepción de la solicitud y la valoración del nivel de riesgo, por parte del Grupo de Valoración Preliminar (GVP).</t>
  </si>
  <si>
    <t>Eficiencia</t>
  </si>
  <si>
    <t>Implementación oportuna de las medidas de protección individual a NARP</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</si>
  <si>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</si>
  <si>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personas pertenecientes a la población de dirigentes o miembros de grupos de la población NARP con medidas de protección de competencia de la UNP implementadas en los términos establecidos)/(Nº de personas pertenecientes a la población dirigentes, representantes o miembros de grupos de la población NARP identificados con riesgo extraordinario, extremo o inminente con medidas de protección a implementar en el trimestre por la UNP))*100</t>
  </si>
  <si>
    <t>Gestión Medidas de Protección</t>
  </si>
  <si>
    <t>Evaluaciones de riesgo presentadas</t>
  </si>
  <si>
    <t>Nº de días promedio que toma la evaluación de riesgo del PPESP</t>
  </si>
  <si>
    <t>((Sumatoria de días hábiles utilizados para la realización de la evaluación del riesgo PPESP)/(Nº de evaluaciones de riesgos presentadas))</t>
  </si>
  <si>
    <t>Actas de Implementación de Medidas</t>
  </si>
  <si>
    <t xml:space="preserve">Pacto por la legalidad: seguridad efectiva y justicia transparente para que todos vivamos con libertad y en democracia
Pacto de equidad para las mujeres
Pacto por la equidad de oportunidades para grupos étnicos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</si>
  <si>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</si>
  <si>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</si>
  <si>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4. Fortalecer las capacidades institucionales para la inclusión de los enfoques diferenciales en los procesos misionales.</t>
  </si>
  <si>
    <t>Documento de informe de resultados de la campaña de percepción de enfoques diferenciales</t>
  </si>
  <si>
    <t>BPIN 2018011001174 Implementación de la ruta de protección colectiva de la UNP a nivel nacional</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</si>
  <si>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</si>
  <si>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colectivos pertenecientes a la población de dirigentes, representantes o miembros de grupos de la población NARP con medidas de protección de competencias de la UNP implementadas dentro de los términos establecidos)/(Nº de colectivos pertenecientes a la población de dirigentes, representantes o miembros de grupos de la población NARP identificados con riesgo extraordinario, extremo o inminente con medidas de protección a implementar por la UNP))*100</t>
  </si>
  <si>
    <t>Porcentaje de implementación de las medidas de protección colectiva(Ruta de Protección Colectiva)</t>
  </si>
  <si>
    <t>((Nº de resoluciones implementadas de colectivos de las vigencias 2013 al 2021)/(Nº de resoluciones colectivas aprobadas según acto administrativo de las vigencias 2013 al 2021))*100</t>
  </si>
  <si>
    <t>Porcentaje de ejecución de charlas de auto seguridad y autoprotección con enfoque diferencial individual y colectivo a mujeres lideresas y defensoras</t>
  </si>
  <si>
    <t>Charla de auto seguridad y autoprotección con enfoque diferencial individual y colectivo a mujeres lideresas y defensoras realizados</t>
  </si>
  <si>
    <t>((Nº. total de charlas de auto seguridad y autoprotección con enfoque diferencial individual y colectivo a mujeres lideresas y defensoras realizados)/(Nº total de  charlas de auto seguridad y/o autoprotección con enfoque diferencial individual y colectivo a mujeres lideresas y defensoras  aprobados según acto administrativo))*100</t>
  </si>
  <si>
    <t xml:space="preserve">Documento de Enfoque Diferencial </t>
  </si>
  <si>
    <t xml:space="preserve">Direccionamiento Estratégico y Planeación </t>
  </si>
  <si>
    <t>Información traducida, publicada en la página web y remitida  en lengua nativa étnica a la comunidad respectiva</t>
  </si>
  <si>
    <t>Nº de documentos traducidos a lenguas nativas étnicas publicado y remitido.</t>
  </si>
  <si>
    <t>Gestión del Servicio al Ciudadano</t>
  </si>
  <si>
    <t>Innovación pública para un país moderno</t>
  </si>
  <si>
    <t>Gestionar el conocimiento y los aprendizajes para crear valor público</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</si>
  <si>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</si>
  <si>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5. Fortalecer la entidad a través de la implementación de las políticas de desempeño institucional de MIPG y las mejores prácticas que generen valor público a nuestra población objeto y grupos de interés.</t>
  </si>
  <si>
    <t>Actividades ejecutadas del plan detallado de trabajo</t>
  </si>
  <si>
    <t>Porcentaje de avance de las actividades del plan detallado de trabajo del sistema de gestión</t>
  </si>
  <si>
    <t>((Nº de actividades realizadas)/(Nº de actividades programadas))*100</t>
  </si>
  <si>
    <t>Objetivos cumplidos de la política integral MIPG-SIG</t>
  </si>
  <si>
    <t>Porcentaje de cumplimiento de los objetivos de los sistemas  que componen MIPG-SIG.</t>
  </si>
  <si>
    <t>((Nº de objetivos cumplidos en el periodo)/(Total de objetivos programados de los sistemas que componen MIPG-SIG))*100</t>
  </si>
  <si>
    <t>Porcentaje de oportunidad en la respuesta a PQRSD</t>
  </si>
  <si>
    <t>Informes de Seguimiento</t>
  </si>
  <si>
    <t>((Nº total de respuestas a PQRSD proyectadas en términos de ley durante el periodo) /(Nº total de PQRSD elevadas ante la entidad durante el periodo))*100</t>
  </si>
  <si>
    <t>Nº de servicios no conformes realizado</t>
  </si>
  <si>
    <t>Gestión Jurídica</t>
  </si>
  <si>
    <t>Porcentaje de crecimiento usabilidad de las herramientas tecnológicas disponibles en la UNP</t>
  </si>
  <si>
    <t>Aprendizaje y Desarrollo</t>
  </si>
  <si>
    <t>Informe del grado de apropiación digital en la UNP</t>
  </si>
  <si>
    <t>((Nº de avance de las actividades realizadas para el incremento del uso y apropiación de las herramientas tecnológicas de la UNP)/(Nº de actividades programadas para el incremento del uso y apropiación de las herramientas tecnológicas de la UNP))*100</t>
  </si>
  <si>
    <t>Gestión Tecnológica</t>
  </si>
  <si>
    <t>Documento de necesidades de analítica institucional</t>
  </si>
  <si>
    <t>Metodología consolidada y/o oficializada</t>
  </si>
  <si>
    <t>Documento Metodológico de Gerencia de Proyectos</t>
  </si>
  <si>
    <t>Documento metodológico de Gerencia de Proyectos</t>
  </si>
  <si>
    <t>Nº de documentos del esquema de líneas de defensa de la UNP</t>
  </si>
  <si>
    <t>5.19.1</t>
  </si>
  <si>
    <t>Anteproyecto de Presupuesto aprobado</t>
  </si>
  <si>
    <t xml:space="preserve">
Metodología por utilizar en la construcción del anteproyecto a presentar ante las instancias pertinentes</t>
  </si>
  <si>
    <t>Documento metodológico para la construcción del anteproyecto de presupuesto vigencia 2022</t>
  </si>
  <si>
    <t>Documento de controles y seguimiento al Plan Anual de Adquisiciones</t>
  </si>
  <si>
    <t>Nº de Documentos de controles y seguimiento al Plan Anual de Adquisiciones</t>
  </si>
  <si>
    <t>Gestión Contractual</t>
  </si>
  <si>
    <t>Presentación de las necesidades técnicas del proyecto</t>
  </si>
  <si>
    <t xml:space="preserve">Documento con las necesidades técnicas del Proyecto de Inversión </t>
  </si>
  <si>
    <t>Gestión Administración de Bienes y Servicios</t>
  </si>
  <si>
    <t xml:space="preserve">((Nº de indicadores eficaces)/(Nº total de indicadores de la estrategia))*100 </t>
  </si>
  <si>
    <t>5.20.1</t>
  </si>
  <si>
    <t>Resolución modificada de actualización de la plataforma estratégica</t>
  </si>
  <si>
    <t>Plataforma Estratégica actualizada</t>
  </si>
  <si>
    <t>Informe de seguimiento objetivos estratégicos</t>
  </si>
  <si>
    <t>Documento de informe de seguimiento objetivos estratégicos</t>
  </si>
  <si>
    <t>Documento del esquema de líneas de defensa de la UNP</t>
  </si>
  <si>
    <t>Nº de Documentos del esquema de líneas de defensa de la UNP diseñados.</t>
  </si>
  <si>
    <t>No. Documentos del esquema de líneas de defensa de la UNP diseñados</t>
  </si>
  <si>
    <t>Informe del grado de madurez de la matriz de Talento Humano</t>
  </si>
  <si>
    <t xml:space="preserve">Fortalecimiento de las actividades resultado del diagnostico de MIPG-SIG con calificación igual o menor a 60 puntos en el matriz de Talento Humano  </t>
  </si>
  <si>
    <t>((Nº de actividades con calificación menor o igual a sesenta) / (Nº de actividades identificadas a incrementar en el periodo))*100</t>
  </si>
  <si>
    <t>Gestión Estratégica de Talento Humano</t>
  </si>
  <si>
    <t>Actividades ejecutadas del plan de fortalecimiento de MIPG</t>
  </si>
  <si>
    <t>Porcentaje de avance de las actividades del Plan de fortalecimiento de MIPG</t>
  </si>
  <si>
    <t>((Nº de actividades ejecutas del Plan de fortalecimiento de MIPG)/(Nº de actividades programadas del Plan de fortalecimiento de MIPG))*100</t>
  </si>
  <si>
    <t>5.20.10</t>
  </si>
  <si>
    <t>No. Documentos del esquema de líneas de defensa de la UNP diseñados.</t>
  </si>
  <si>
    <t>Documento con los criterios y características de los beneficiarios del Programa de Prevención y Protección de la UNP.</t>
  </si>
  <si>
    <t>Documento con los criterios y características de los beneficiarios  del programa de prevención y protección  de la UNP.</t>
  </si>
  <si>
    <t>Comité de Sostenibilidad Contable en funcionamiento</t>
  </si>
  <si>
    <t xml:space="preserve">Porcentaje de actividades realizadas por el comité de sostenibilidad contable </t>
  </si>
  <si>
    <t>((Nº de actividades realizadas por el comité de sostenibilidad contable en el periodo)/(Nº de actividades programadas por el comité de sostenibilidad contable programadas en el periodo))*100</t>
  </si>
  <si>
    <t>Gestión Financiera</t>
  </si>
  <si>
    <t>Nº de documentos del esquema de líneas de defensa de la UNP diseñados.</t>
  </si>
  <si>
    <t>Actividades Ejecutadas del Proyecto Modernización de un Sistema de Gestión Documental en la UNP a nivel nacional para la vigencia 2021.</t>
  </si>
  <si>
    <t>BPIN 2019011000116 Modernización del sistema de gestión documental en la UNP a nivel nacional</t>
  </si>
  <si>
    <t>Porcentaje de avance de las actividades a cargo del Proceso Gestion Documental del Proyecto Modernización de un Sistema de Gestión Documental en la UNP a nivel nacional para la vigencia 2021.</t>
  </si>
  <si>
    <t>(Porcentaje ejecutado de las actividades del Proyecto Modernización de un Sistema de Gestión Documental en la UNP a nivel nacional )/(Porcentaje de total de las actividades programadas del Proyecto Modernización de un Sistema de Gestión Documental en la UNP a nivel nacional))*100</t>
  </si>
  <si>
    <t>Gestión Documental</t>
  </si>
  <si>
    <t>Informe de Seguimiento al PINAR 2021</t>
  </si>
  <si>
    <t>Nº de informes de actualización y/o seguimientos a la ejecución del PINAR 2021</t>
  </si>
  <si>
    <t>Realizar el despliegue de la política de gobierno digital</t>
  </si>
  <si>
    <t>Porcentaje de cumplimiento del nivel de avance del despliegue de la política de gobierno digital</t>
  </si>
  <si>
    <t>((Nivel de avance del despliegue de la política de gobierno digital)/(Nivel de cumplimento de las estrategias de la política de gobierno digital))*100</t>
  </si>
  <si>
    <t>Cuatrimestral</t>
  </si>
  <si>
    <t>Programa Anual de Auditorias Ejecutado de la Vigencia</t>
  </si>
  <si>
    <t>Gestión Evaluación Independiente</t>
  </si>
  <si>
    <t>5.21.2</t>
  </si>
  <si>
    <t>Informe de resultados de la campaña UNP en territorio</t>
  </si>
  <si>
    <t>Documento de percepción de la campaña UNP en territorio</t>
  </si>
  <si>
    <t>5.21.11</t>
  </si>
  <si>
    <t>Listado de personas o beneficiarios atendidos en las ferias</t>
  </si>
  <si>
    <t>Porcentaje de ejecución de avance de la estrategia UNP en territorio</t>
  </si>
  <si>
    <t>Diálogos ejecutados en la estrategia UNP en territorio</t>
  </si>
  <si>
    <t>((Nº de visitas proyectadas) / (Nº de visitas programadas))*100</t>
  </si>
  <si>
    <t>31/01/2019</t>
  </si>
  <si>
    <t>2.3.1</t>
  </si>
  <si>
    <t>Banco de Proyectos de la UNP</t>
  </si>
  <si>
    <t>Documento del Banco de Proyectos de la UNP</t>
  </si>
  <si>
    <t>Mapa de Cooperantes</t>
  </si>
  <si>
    <t>Documento con la identificación del mapa de cooperantes</t>
  </si>
  <si>
    <t>Proyectos de Cooperación Internacional Viabilizados</t>
  </si>
  <si>
    <t>Nº de Proyectos de Cooperación Internacional Viabilizados</t>
  </si>
  <si>
    <t>Planes Ejecutados</t>
  </si>
  <si>
    <t>Sumatoria del porcentaje de cumplimiento de los Planes asociados al Decreto 612 del 2018</t>
  </si>
  <si>
    <t>Informes de seguimiento a los planes del decreto 612 del 2018</t>
  </si>
  <si>
    <t>Porcentaje de avance de informes presentados con seguimiento a los planes del decreto 612</t>
  </si>
  <si>
    <t>Todos los Planes Decretos 612 del 2018</t>
  </si>
  <si>
    <t>1. Ejecución del Plan de Comunicaciones Estratégicas</t>
  </si>
  <si>
    <t>1.1.3</t>
  </si>
  <si>
    <t>Usuarios/Beneficiarios</t>
  </si>
  <si>
    <t>Doce (12) asistencias técnicas en el componente de prevención realizadas</t>
  </si>
  <si>
    <t>Financiera</t>
  </si>
  <si>
    <t>Dos (2) campañas de difusión y reconocimiento que promuevan la inclusión de las personas en proceso de reincorporación</t>
  </si>
  <si>
    <t>Campañas de difusión y reconocimiento que promuevan la inclusión de las personas en proceso de reincorporación</t>
  </si>
  <si>
    <t>Asistencias técnicas realizadas para la consolidación del proyecto de fortalecimiento</t>
  </si>
  <si>
    <t>Sugerencias presentado por la UNP a la instancia de Alto Nivel</t>
  </si>
  <si>
    <t>Documento presentado a la instancia del alto nivel con las sugerencias</t>
  </si>
  <si>
    <t>Un documento presentado a la instancia del alto nivel con las sugerencias realizadas por la UNP</t>
  </si>
  <si>
    <t>Plan de Fortalecimiento formulado</t>
  </si>
  <si>
    <t>Documento con la formulación del plan de fortalecimiento y articulación de las acciones tendientes a garantizar la presencia territorial de los programas de protección del Estado.</t>
  </si>
  <si>
    <t>Un documento con la formulación del plan de fortalecimiento y articulación de las acciones tendientes a garantizar la presencia territorial de los programas de protección del Estado.</t>
  </si>
  <si>
    <t>Porcentaje de avance del plan de fortalecimiento y articulación de las acciones tendientes a garantizar la presencia territorial de los programas de protección del Estado.</t>
  </si>
  <si>
    <t>((Nº de actividades ejecutadas del plan de fortalecimiento y articulación de las acciones tendientes a garantizar la presencia territorial de los programas de protección del Estado)/(Nº de actividades programadas del plan de fortalecimiento y articulación de las acciones tendientes a garantizar la presencia territorial de los programas de protección del Estado))*100</t>
  </si>
  <si>
    <t>Plan de Fortalecimiento en ejecución</t>
  </si>
  <si>
    <t xml:space="preserve">Medidas adoptadas por la UNP que profiera el Ministerio del Interior en el marco del Plan Nacional de Garantías Electorales </t>
  </si>
  <si>
    <t>Modulo integral del servicio al ciudadano en funcionamiento.</t>
  </si>
  <si>
    <t>Informe de resultados de la campaña interna de percepción de los enfoques diferenciales en desarrollo de los programas de protección y prevención de la UNP</t>
  </si>
  <si>
    <t>Documento de informe de resultados de la campaña de percepción de enfoques diferenciales en desarrollo de los programas de protección y prevención de la UNP</t>
  </si>
  <si>
    <t>Un Documento de Enfoque Diferencial</t>
  </si>
  <si>
    <t>Un Documento con las necesidades de analítica institucional</t>
  </si>
  <si>
    <t>Anteproyecto de presupuesto de la UNP elaborado y a presentar a las instancias pertinentes</t>
  </si>
  <si>
    <t>Nº de anteproyectos presentados ante a las instancias pertinentes</t>
  </si>
  <si>
    <t>2. Realizar campañas de difusión y reconocimiento  que promuevan la inclusión de las personas en proceso de reincorporación</t>
  </si>
  <si>
    <t>4. Realizar las campañas de reconocimiento de lideres y lideresas defensores de derechos humanos</t>
  </si>
  <si>
    <t>6. Realizar asistencia técnica en el componente de prevención (diagnósticos focalizados de riesgo, proyección de escenarios de riesgo y planes de prevención y contingencia) de acuerdo con la programación del Ministerio del Interior</t>
  </si>
  <si>
    <t>Metodología  y mecanismos de recolección e intercambio de información oficializados</t>
  </si>
  <si>
    <t>Una Metodología que incluya mecanismos de recolección e intercambio de información oficializada</t>
  </si>
  <si>
    <t>((Nº de llamado de las entidades gubernamentales asistidos)/ (Nº de llamado de las entidades gubernamentales programados))*100</t>
  </si>
  <si>
    <t>Porcentaje de medidas adoptadas por la UNP en el marco del Plan Nacional de Garantías Electorales</t>
  </si>
  <si>
    <t>((Nº de medidas adoptadas por la UNP en el marco del Plan Nacional de Garantías Electorales )/(Nº de medidas solicitadas a la UNP en el marco del Plan Nacional de Garantías Electorales))*100</t>
  </si>
  <si>
    <t>Ventanilla única de radicación y correspondencia en funcionamiento</t>
  </si>
  <si>
    <t xml:space="preserve">Realizar la contratación de empresas para el fortalecimiento al cuerpo de seguridad y protección,  del programa de protección especializada de seguridad y protección </t>
  </si>
  <si>
    <t>Evaluaciones de Riesgo presentadas</t>
  </si>
  <si>
    <t>Nº de días promedio que toma la evaluación de riesgo de  el Programa de Prevención y Protección Individual y Programa  Especial de Protección para UP-PCC</t>
  </si>
  <si>
    <t xml:space="preserve">BPIN 2020011000074 Implementación de la ruta de protección individual </t>
  </si>
  <si>
    <t xml:space="preserve">Porcentaje de medidas complementarias informadas al Ministerio del Interior para el respectivo tramite </t>
  </si>
  <si>
    <t xml:space="preserve">Medidas complementarias recomendadas  y/o determinadas por las diferentes instancias de determinación y/o recomendación de medidas de protección, informadas al Ministerio del Interior para su respectivo tramité. </t>
  </si>
  <si>
    <t>((Nº de medidas complementarias informadas al Ministerio del Interior para el respectivo tramite, por parte de la UNP)/ (Nº de medidas complementarias, recomendadas y/o determinadas para la articulación por parte del Ministerio del Interior))*100</t>
  </si>
  <si>
    <t>Formulario de solicitud de ingreso a los Programas de Prevención y/o Protección de coordinación de la UNP  virtualizado</t>
  </si>
  <si>
    <t>((Nº de Mujeres que por su condición de Víctimas requieren medidas y son implementadas en términos durante el periodo contados a partir de la firmeza del acto administrativo)/(Nº de Mujeres que por su condición de Víctimas se les otorga medidas de protección a implementar en el periodo contados a partir de la firmeza del acto administrativo))*100</t>
  </si>
  <si>
    <t xml:space="preserve">Entrega de información requerida por el Ministerio del Interior para realizar la evaluación de los programas de protección </t>
  </si>
  <si>
    <t xml:space="preserve">Porcentaje de información suministrada al Ministerio del Interior para realizar la evaluación de los programas de protección </t>
  </si>
  <si>
    <t>Realizar las reformas y/o ajustes normativos requeridos por el Ministerio del Interior  para garantizar la protección objeto Programa de Prevención y Protección  y Programa Especial de Protección para UP-PCC</t>
  </si>
  <si>
    <t>Porcentaje de reformas y/o ajustes normativos requeridos por el Ministerio del Interior del Programa de Prevención y Protección  y Programa Especial de Protección para UP-PCC</t>
  </si>
  <si>
    <t>((Nº de reformas y/o ajustes normativos realizados por la UNP del Programa de Prevención y Protección  y Programa Especial de Protección para UP-PCC)/(Nº de reformas y/o ajustes normativos solicitados por el Ministerio del Interior a la UNP del Programa de Prevención y Protección  y Programa Especial de Protección para UP-PCC))</t>
  </si>
  <si>
    <t>Realizar las reformas y/o ajustes normativos requeridos por la a mesa técnica de seguridad y protección  sobre las posibles reformas y/o ajustes normativos para garantizar la protección de la población objeto del PPESP.</t>
  </si>
  <si>
    <t>Porcentaje de reformas y/o ajustes normativos requeridos por la Mesa Tecnica de Seguridad y Protección del PPESP.</t>
  </si>
  <si>
    <t>((Nº de reformas y/o ajustes normativos realizados por la UNP del PPESP.)/(Nº de reformas y/o ajustes normativos solicitados por la Mesa Tecnica de Seguridad y Protección del PPESP.))</t>
  </si>
  <si>
    <t>Encuentros de Prevención del Riesgo en los cuales participe la UNP</t>
  </si>
  <si>
    <t>Porcentaje de encuentros de prevención del riesgo con participación de la UNP documentados</t>
  </si>
  <si>
    <t>((Nº de encuentros de prevención del riesgo con participación de la UNP documentados)/ (Nº de encuentros de prevención del riesgo viabilizados por la UNP))*100</t>
  </si>
  <si>
    <t>Porcentaje de asistencias técnicas realizadas para la consolidación del proyecto de fortalecimiento</t>
  </si>
  <si>
    <t>3. Asistir técnicamente y en lo de sus competencias junto con las demás entidades corresponsables en la formulación y desarrollo de mecanismos o planes de prevención y protección</t>
  </si>
  <si>
    <t>Comunicación interna de asignación del responsable de la estrategia de prevención al interior de la UNP</t>
  </si>
  <si>
    <t>Memorando de Asignación de responsable de la estrategia de prevención al interior de la UNP</t>
  </si>
  <si>
    <t>Porcentaje de alertas tempranas sistematizadas y socializadas</t>
  </si>
  <si>
    <t>((Nº de alertas tempranas sistematizadas y socializadas al interior de la UNP)/((Nº de alertas tempranas comunicadas a la UNP por parte del CIPRAT))*100</t>
  </si>
  <si>
    <t>Alertas tempranas Sistematizadas y Socializadas</t>
  </si>
  <si>
    <t>Entrega información requerida por la Fiscalía General de la Nación (FGN) para el desmantelamiento de organizaciones criminales garantizando la reserva de la información y el derecho a la intimidad de los solicitantes y/o beneficiarios de los programas de protección</t>
  </si>
  <si>
    <t>Porcentaje de información requerida por la Fiscalía General de la Nación (FGN) para el desmantelamiento de organizaciones criminales garantizando la reserva de la información y el derecho a la intimidad de los solicitantes y/o beneficiarios de los programas de protección</t>
  </si>
  <si>
    <t>((Nº de requerimientos tramitados por la UNP ante la Fiscalía General de la Nación (FGN) para el desmantelamiento de organizaciones criminales garantizando la reserva de la información y el derecho a la intimidad de los solicitantes y/o beneficiarios de los programas de protección)/ (Nº de requerimientos solicitados a la UNP por la Fiscalía General de la Nación (FGN) para el desmantelamiento de organizaciones criminales garantizando la reserva de la información y el derecho a la intimidad de los solicitantes y/o beneficiarios de los programas de protección))*100</t>
  </si>
  <si>
    <t xml:space="preserve">Entrega de información requerida por la Policía Nacional (PONAL) y entes territoriales en el suministro de insumos para la elaboración de estudios de nivel de riesgo, análisis contextual del riesgo, análisis conclusivo del riesgo e identificación de escenarios de riesgo </t>
  </si>
  <si>
    <t xml:space="preserve">Porcentaje de insumos requeridos por la Policía Nacional (PONAL) y entes territoriales para la elaboración de estudios de nivel de riesgo, análisis contextual del riesgo, análisis conclusivo del riesgo e identificación de escenarios de riesgo </t>
  </si>
  <si>
    <t>((Nº de requerimientos tramitados por la UNP ante la Policía Nacional (PONAL) y entes territoriales para la elaboración de estudios de nivel de riesgo, análisis contextual del riesgo, análisis conclusivo del riesgo e identificación de escenarios de riesgo))/ (Nº de requerimientos solicitados a la UNP por la Policía Nacional (PONAL) y entes territoriales para la elaboración de estudios de nivel de riesgo, análisis contextual del riesgo, análisis conclusivo del riesgo e identificación de escenarios de riesgo ))*100</t>
  </si>
  <si>
    <t>Número de campañas de difusión y reconocimiento que promuevan la inclusión de las personas en proceso de reincorporación</t>
  </si>
  <si>
    <t>1. Fortalecer y acompañar estrategias de pedagogía social y gestión para el ejercicio de los derechos humanos, teniendo en cuenta los enfoques diferenciales</t>
  </si>
  <si>
    <t xml:space="preserve">3. Concurrir a las convocatorias de las entidades gubernamentales para el desarrollo de las políticas para superación de la estigmatización y discriminación. </t>
  </si>
  <si>
    <t>Dos (2) campañas de reconocimiento de lideres y lideresas defensores de derechos humanos</t>
  </si>
  <si>
    <t>Número de campañas de reconocimiento de lideres y lideresas defensores de derechos humanos</t>
  </si>
  <si>
    <t>Mesas de Trabajo con participación de la UNP</t>
  </si>
  <si>
    <t>((Nº de mesas de trabajo con participación de la UNP)/ (Nº de mesas de trabajo convocadas y viabilizadas por la entidad))*100</t>
  </si>
  <si>
    <t>Medidas Preventivas de competencia de la UNP, adoptadas y  establecidas en los planes de prevención o contingencia  o protocolo de protección</t>
  </si>
  <si>
    <t>Porcentaje de medidas preventivas adoptadas y establecidas en los planes de prevención o contingencia o protocolos de protección</t>
  </si>
  <si>
    <t xml:space="preserve">Nº de procesos de contratación aperturados por la UNP </t>
  </si>
  <si>
    <t>4.Fortalecer los programas de protección en el nivel territorial</t>
  </si>
  <si>
    <t>5.Participar en los diferentes espacios e instancias de prevención y/o protección de competencia de la UNP</t>
  </si>
  <si>
    <t>7.Consolidar y poner en marcha el observatorio de información</t>
  </si>
  <si>
    <t>8.Contribuir en la identificación efectiva de actores amenazantes y desmantelamiento de organizaciones y conductas criminales</t>
  </si>
  <si>
    <t>9. Reducir el tiempo de respuesta promedio entre la solicitud, aprobación, recomendación y la implementación de medidas de protección  en la ruta individual para defensores de derechos humanos y otras poblaciones previstas en el marco del decreto 1066 de 2015.</t>
  </si>
  <si>
    <t>8. Actualizar los procedimientos y demás documentos relacionados con la elaboración de la evaluación del riesgo, del Programa de Prevención y Proteccion y Programa Especial de Proteccion para UP-PCC asegurando la incorporación de los nuevos escenarios de riesgos territoriales</t>
  </si>
  <si>
    <t>Procedimientos y documentos de la elaboración de la evaluación del riesgo, del programa de Prevención y Protección y Programa Especial de Protección para UP-PCC actualizados</t>
  </si>
  <si>
    <t>Porcentaje de procedimientos y documentos de la elaboración de la evaluación del riesgo, del Programa de Prevención y Protección y Programa Especial de Proteccion para UP-PCC actualizados</t>
  </si>
  <si>
    <t>((Nº de procedimientos y documentos de la elaboración de la evaluación del riesgo, del Programa de Prevención y Protección y Programa Especial de Protección para UP-PCC actualizados)/(Nº de procedimientos y documentos de la elaboración de la evaluación del riesgo, del Programa de Prevención y Protección y Programa Especial de Protección para UP-PCC identificados))*100</t>
  </si>
  <si>
    <t>9. Actualizar los procedimientos y demás documentos relacionados con la elaboración de la evaluación del riesgo, del PPESP, asegurando la incorporación de los nuevos escenarios de riesgos territoriales</t>
  </si>
  <si>
    <t>Procedimientos y demás documentos de la elaboración de la evaluación del riesgo, del PPESP actualizados</t>
  </si>
  <si>
    <t>Porcentaje de procedimientos y demás documentos de la elaboración de la evaluación del riesgo, del PPESP actualizados</t>
  </si>
  <si>
    <t>Acciones de coordinación realizadas por la UNP para la implementación del diseño y ejecución de las medidas de protección, atención y de asistencia complementarias a las medidas materiales de protección individual y colectiva.</t>
  </si>
  <si>
    <t>Porcentaje de acciones de coordinación realizadas por la UNP para  la implementación del diseño y ejecución de las medidas de protección, atención y de asistencia complementarias a las medidas materiales de protección individual y colectiva.</t>
  </si>
  <si>
    <t>Medidas de protección adoptadas e implementadas Programa de Prevención y Protección y del Programa de Protección para UP-PCC de la ruta individual</t>
  </si>
  <si>
    <t>Porcentaje de oportunidad en la implementación de las medidas de protección a los beneficiarios  Programa de Prevención y Protección y del Programa de Protección para UP-PCC de la ruta individual</t>
  </si>
  <si>
    <t>Medidas de protección adoptadas e implementadas del PPESP de la ruta individual</t>
  </si>
  <si>
    <t>Porcentaje de oportunidad en la implementación de las Medidas de Protección  a los beneficiarios del PPESP de la ruta individual</t>
  </si>
  <si>
    <t xml:space="preserve">Mujeres que por su condición de víctimas, presentan un riesgo extraordinario o extremo y requieren medias de protección </t>
  </si>
  <si>
    <t>Seguimientos realizados a la implementación de las medidas de protección en el programa de prevención y protección y programa especial de protección UP-PCC</t>
  </si>
  <si>
    <t>Porcentaje de seguimientos realizados a la implementación de las medidas de protección en el programa de prevención y protección y programa especial de protección UP-PCC</t>
  </si>
  <si>
    <t>Seguimientos realizados a la implementación de las medidas de protección en el PPESP</t>
  </si>
  <si>
    <t>Porcentaje de seguimientos realizados a la implementación de las medidas de protección en el PPESP</t>
  </si>
  <si>
    <t>6.Apoyar la Evaluación de los Programas de Protección</t>
  </si>
  <si>
    <t>5. Realizar asistencia técnica en el componente de prevención (diagnósticos focalizados de riesgo, proyección de escenarios de riesgo y planes de prevención y contingencia)</t>
  </si>
  <si>
    <t>11. Documentar las acciones emprendidas desde la UNP en la estrategia de prevención a cargo del Ministerio del Interior</t>
  </si>
  <si>
    <t>12. Asistir técnicamente  a las entidades territoriales que soliciten el apoyo técnico de la UNP para la consolidación del proyecto de fortalecimiento</t>
  </si>
  <si>
    <t>13. Presentar sugerencias a la instancia de alto nivel del sistema para el ejercicio de la política pública en lo relacionado con el elemento de protección del plan estratégico de seguridad y protección</t>
  </si>
  <si>
    <t>14. Coordinar la implementación del diseño y ejecución de las medidas de protección, atención y de asistencia complementarias a las medidas materiales de protección individual y colectiva.</t>
  </si>
  <si>
    <t>((Nº de medidas preventivas establecidas en los planes de prevención o contingencia o protocolos de protección adoptadas por acto administrativo de competencia de la UNP )/(Nº de medidas preventivas establecidas en los planes de prevención o contingencia o protocolos de protección de competencia de la UNP notificadas y/o comunicadas para su adopción))*100</t>
  </si>
  <si>
    <t xml:space="preserve">Porcentaje de mesas trabajo o sesiones con participación de la UNP </t>
  </si>
  <si>
    <t>Formulario de solicitud de ingreso a los Programas de Prevención y/o Protección de coordinación de la UNP virtualizado</t>
  </si>
  <si>
    <t xml:space="preserve">Porcentaje de mujeres  que por su condición de víctimas, presentan un riesgo extraordinario o extremo y requieren medias de protección </t>
  </si>
  <si>
    <t>Número de procesos de contratación de empresas para el fortalecimiento al Cuerpo de Seguridad y protección.</t>
  </si>
  <si>
    <t>15. Formulación del plan de fortalecimiento y articulación de las acciones tendientes a garantizar la presencia territorial de los programas de protección del Estado.</t>
  </si>
  <si>
    <t>17. Desarrollo del plan de fortalecimiento y articulación de las acciones tendientes a garantizar la presencia territorial de los programas de protección del Estado.</t>
  </si>
  <si>
    <t xml:space="preserve">18. Adoptar las medidas preventivas de competencia de la UNP, establecidas en los planes de prevención/contingencia, o protocolo de protección </t>
  </si>
  <si>
    <t>19. Concurrir a las mesas trabajo o sesiones a las que se han convocado a la entidad de acuerdo con sus competencias.</t>
  </si>
  <si>
    <t xml:space="preserve">20. Adoptar las decisiones que profiera el Ministerio del Interior en el marco del Plan Nacional de Garantías Electorales </t>
  </si>
  <si>
    <t>21. Suministrar la información requerida por el Ministerio del Interior, para que este realice la evaluación de los programas de protección</t>
  </si>
  <si>
    <t>10. Actuar de manera eficiente y eficaz en las rutas de protección</t>
  </si>
  <si>
    <t>11. Asegurar la revisión y/o ajuste del marco normativo sobre el que opera los programas de protección de UNP</t>
  </si>
  <si>
    <t>12. Fortalecer los conocimientos de los funcionarios y colaboradores frente a los enfoques diferenciales.</t>
  </si>
  <si>
    <t>13. Liderar la actualización y adecuación de las medidas de prevención y protección con enfoques diferenciales en coordinación con los organismos e instancias responsables, con énfasis en: La protección colectiva, los derechos ancestrales, el reconocimiento de los mecanismos de autoprotección, el fortalecimiento organizacional, medidas de tipo psicosocial, cartografías del cuerpo respecto a agresiones físicas y mujeres lideresas y/o defensoras de derechos humanos promoviendo mecanismos de participación.</t>
  </si>
  <si>
    <t>14. Certificar la entidad en las normas internacionales ISO 9001:2015, 14001:2015, 27001:2013 Y 45001:2018.</t>
  </si>
  <si>
    <t>15. Consolidar la estrategia de cooperación internacional al interior de la entidad como mecanismo alterno para el desarrollo de programas, planes e iniciativas que contribuyan a alcanzar los objetivos institucionales.</t>
  </si>
  <si>
    <t>16. Direccionar de manera efectiva y oportuna las solicitudes allegadas a la entidad.</t>
  </si>
  <si>
    <t>17. Disminuir el tiempo de respuesta de los recursos de reposición.</t>
  </si>
  <si>
    <t>18. Fortalecer herramientas tecnológicas, el acceso a la información y la apropiación de las tecnologías de la información.</t>
  </si>
  <si>
    <t>19. Fortalecer los procesos en la gestión y desempeño eficaz y eficiente de la entidad.</t>
  </si>
  <si>
    <t>20. Gestionar, administrar y ejecutar eficientemente los recursos financieros necesarios desde la programación, apropiación y ejecución para dar cumplimiento a las metas y obtener los resultados de desempeño institucional planificados.</t>
  </si>
  <si>
    <t>21. Implementar el modelo integrado de planeación y gestión (MIPG)</t>
  </si>
  <si>
    <t>22. Mejorar la percepción de calidad del servicio, en virtud de la prestación eficiente y efectiva del programa de prevención y protección individual y colectiva, en cumplimiento de la misionalidad de la entidad.</t>
  </si>
  <si>
    <t>23. Prever las necesidades de recurso humano y de funcionamiento</t>
  </si>
  <si>
    <t>44. Atender los requerimientos del Ministerio del Interior sobre las posibles reformas y/o ajustes normativos para garantizar la protección objeto del Programa de Prevención y Protección  y Programa Especial de Protección para UP-PCC</t>
  </si>
  <si>
    <t>45. Atender los requerimientos de  la Mesa Técnica de Seguridad y Protección  sobre las posibles reformas y/o ajustes normativos para garantizar la protección de la población objeto del PPESP.</t>
  </si>
  <si>
    <t>47. Realizar charlas de auto seguridad y autoprotección con enfoque diferencial individual y colectivo a mujeres lideresas y defensoras</t>
  </si>
  <si>
    <t>48. Presentar documento con los lineamientos para el desarrollo de los Enfoques Diferenciales  (DG)</t>
  </si>
  <si>
    <t>49. Gestionar la traducción a lengua nativa étnica de la información atinente a requisitos para solicitud de protección</t>
  </si>
  <si>
    <t>10. Establecer un responsable de la estrategia de prevención al interior de la UNP (DG)</t>
  </si>
  <si>
    <t>16. Establecer a través de diálogos de saberes, conocer por menores de las necesidades inquietudes y solicitudes y las respuestas institucionales de la entidad mediante UNP en territorio (DG)</t>
  </si>
  <si>
    <t>46. Realizar campañas internas a servidores públicos y colaboradores que permitan evaluar la percepción de los enfoques diferenciales en desarrollo de los programas de protección y prevención de la UNP</t>
  </si>
  <si>
    <t>50. Ejecutar el Plan detallado de trabajo del Sistema Integrado de Gestión</t>
  </si>
  <si>
    <t>51. Cumplir la Política Integral de MIPG-SIG</t>
  </si>
  <si>
    <t>52. Documentar el Banco de Proyectos de la UNP (DG)</t>
  </si>
  <si>
    <t>55. Realizar seguimiento a las PQRSD elevadas a la entidad</t>
  </si>
  <si>
    <t>57. Incrementar el grado de apropiación digital de los usuarios interno de la UNP en el de Uso y Apropiación de las herramientas tecnológicas</t>
  </si>
  <si>
    <t>58. Consolidar una metodología de Gerencia de Proyectos en la Unidad Nacional de Protección (OAPI)</t>
  </si>
  <si>
    <t>59. Diseñar los diferentes documentos que permitan llevar a cabo el seguimiento y control a las actuaciones realizadas por los apoderados de la UNP en los procesos judiciales a su cargo</t>
  </si>
  <si>
    <t>60. Realizar la metodología para la construcción del anteproyecto de presupuesto vigencia 2022 de la Unidad Nacional de Protección de acuerdo con las directrices y lineamientos del Ministerio de Hacienda y Crédito Público y el Departamento de Planeación Nacional. (OAPI)</t>
  </si>
  <si>
    <t>61. Diseñar controles y seguimientos al Plan Anual de Adquisiciones de Bienes y Servicios de acuerdo a las líneas de defensas establecidas en la UNP</t>
  </si>
  <si>
    <t>62. Apoyar la formulación del Proyecto de Inversión para Infraestructura Física de la UNP</t>
  </si>
  <si>
    <t>63. Revisar la plataforma estratégica de la entidad (DG)</t>
  </si>
  <si>
    <t>64. Ejecutar los planes asociados al Decreto 612 del 2018 (OAPI)</t>
  </si>
  <si>
    <t>65. Realizar el seguimiento como segunda línea de defensa a los planes asociados al Decreto 612 del 2018 (OAPI)</t>
  </si>
  <si>
    <t>66. Realizar seguimiento a los objetivos estratégicos a través del cuadro de mando integral (OAPI)</t>
  </si>
  <si>
    <t>67. Diseñar el esquemas de líneas de defensa en cumplimiento a los compromisos de la política de comunicaciones de la UNP</t>
  </si>
  <si>
    <t>68. Incrementar el grado de madurez de la matriz del Talento Humano de la UNP</t>
  </si>
  <si>
    <t>69. Ejecutar el Plan de fortalecimiento de MIPG</t>
  </si>
  <si>
    <t>70. Diseñar el esquema de líneas de defensa de las supervisiones contractuales de los contratos suscritos por la UNP</t>
  </si>
  <si>
    <t>71. Definir los criterios que permitan conocer las características a los beneficiarios del Programa de Prevención y Protección  de la UNP.</t>
  </si>
  <si>
    <t>72. Gestionar el Comité de Sostenibilidad Contable</t>
  </si>
  <si>
    <t xml:space="preserve">73. Diseñar el esquema de seguimiento al Comité de Sostenibilidad Contable atreves de las líneas de defensa  </t>
  </si>
  <si>
    <t>74. Ejecutar las actividades a cargo del Proceso Gestion Documental del Proyecto Modernización de un Sistema de Gestión Documental en la UNP a nivel nacional para la vigencia 2021.</t>
  </si>
  <si>
    <t>75. Realizar seguimiento a la ejecución del PINAR 2021</t>
  </si>
  <si>
    <t>76. Continuar con el despliegue de la política de gobierno digital para la UNP</t>
  </si>
  <si>
    <t xml:space="preserve">78. Evaluar la percepción de la campaña UNP en territorio a través de herramientas para análisis de métricas </t>
  </si>
  <si>
    <t>80. Elaborar el anteproyecto presupuestal de la UNP partiendo de la identificación de las necesidades presupuestales por parte de cada una de las dependencias de la entidad (OAPI)</t>
  </si>
  <si>
    <t>81. Fortalecimiento al cuerpo de seguridad y protección del programa de protección especializada de seguridad y protección, mediante la contratación de empresas contratistas que garantice la operación.</t>
  </si>
  <si>
    <t>Dos documento de prevención seguridad y protección para territorios rurales donde se concentre la población del PPESP producto de los encuentros regionales</t>
  </si>
  <si>
    <t>Dos Documentos de prevención seguridad y protección para territorios rurales donde se concentre la población del PPESP producto de los encuentros regionales</t>
  </si>
  <si>
    <t>Porcentaje de procesos fortalecidos en la gestión de desempeño eficaz y eficiente de la entidad</t>
  </si>
  <si>
    <t>2.3.3</t>
  </si>
  <si>
    <t>2.4.3</t>
  </si>
  <si>
    <t>2.4.1</t>
  </si>
  <si>
    <t>2.5.3</t>
  </si>
  <si>
    <t>2.6.3</t>
  </si>
  <si>
    <t>2.7.3</t>
  </si>
  <si>
    <t>2.7.1</t>
  </si>
  <si>
    <t>2.8.14</t>
  </si>
  <si>
    <t>2.8.3</t>
  </si>
  <si>
    <t>3.9.5</t>
  </si>
  <si>
    <t>3.9.6</t>
  </si>
  <si>
    <t>3.9.8</t>
  </si>
  <si>
    <t>3.9.7</t>
  </si>
  <si>
    <t>3.10.3</t>
  </si>
  <si>
    <t>3.10.11</t>
  </si>
  <si>
    <t>3.10.16</t>
  </si>
  <si>
    <t>3.11.14</t>
  </si>
  <si>
    <t>4.12.2</t>
  </si>
  <si>
    <t>4.13.7</t>
  </si>
  <si>
    <t>4.13.1</t>
  </si>
  <si>
    <t>4.13.11</t>
  </si>
  <si>
    <t>5.14.5</t>
  </si>
  <si>
    <t>5.15.1</t>
  </si>
  <si>
    <t>5.15.3</t>
  </si>
  <si>
    <t>5.16.11</t>
  </si>
  <si>
    <t>5.17.14</t>
  </si>
  <si>
    <t>5.18.16</t>
  </si>
  <si>
    <t>5.19.14</t>
  </si>
  <si>
    <t>5.20.12</t>
  </si>
  <si>
    <t>5.21.1</t>
  </si>
  <si>
    <t>5.21.4</t>
  </si>
  <si>
    <t>5.21.5</t>
  </si>
  <si>
    <t>5.21.10</t>
  </si>
  <si>
    <t>5.21.13</t>
  </si>
  <si>
    <t>5.21.15</t>
  </si>
  <si>
    <t>5.21.16</t>
  </si>
  <si>
    <t>5.21.17</t>
  </si>
  <si>
    <t>5.22.2</t>
  </si>
  <si>
    <t>5.22.11</t>
  </si>
  <si>
    <t>5.23.13</t>
  </si>
  <si>
    <t>5.23.10</t>
  </si>
  <si>
    <t xml:space="preserve">7. Realizar los encuentros regionales debidamente documentados </t>
  </si>
  <si>
    <t>Comunicaciones emitidas a los corresponsables de protección para la individualización y gestión de tramites dentro de la ruta de protección</t>
  </si>
  <si>
    <t>Porcentaje de comunicaciones emitidas a los corresponsables de protección para la individualización y gestión de tramites dentro de la ruta de protección</t>
  </si>
  <si>
    <t>((Nº de comunicaciones emitidas a los corresponsables de protección para la individualización y gestión de tramites dentro de la ruta de protección realizadas por la UNP)/(Nº de corresponsables identificados para la individualización y gestión de tramites dentro de la ruta de protección))*100</t>
  </si>
  <si>
    <t>((Nº de personas con riesgo extraordinario, extremo o inminente, con medidas de protección implementadas  de competencias de la UNP dentro de los tiempos partiendo de la ejecutoria del acto administrativo del Programa de Prevención y Protección y del Programa de Protección para UP-PCC de la ruta individual) /(Nº de personas con riesgo extraordinario, extremo o inminente con medidas de protección a implementar una vez ejecutoriado el acto administrativo del Programa de Prevención y Protección y del Programa de Protección para UP-PCC de la ruta individual ))*100</t>
  </si>
  <si>
    <t>((Nº de personas con riesgo extraordinario, extremo o inminente, con medidas de protección implementadas  de competencias de la UNP dentro de los tiempos  establecidos partiendo de la ejecutoria del acto administrativo del PPESP de la ruta individual ) /(Nº de personas con riesgo extraordinario, extremo o inminente con medidas de protección a implementar una vez ejecutoriado el acto administrativo del PPESP de la ruta individual))*100</t>
  </si>
  <si>
    <t>Actividades de coordinación interinstitucional realizadas por la UNP para atender la inminencia de riesgo que puedan presentar las personas y/o poblaciones de los programa de prevención y/o protección que coordina la UNP</t>
  </si>
  <si>
    <t>Porcentaje de actividades de coordinación interinstitucional, para atender la inminencia de riesgo que puedan presentar las personas y/o poblaciones de los programa de prevención y/o protección que coordina la UNP.</t>
  </si>
  <si>
    <t>Concurrir  a las convocatorias de las entidades gubernamentales para el desarrollo de las políticas para la superación de la estigmatización y la discriminación</t>
  </si>
  <si>
    <t>Porcentaje de participación de las convocatorias de las entidades gubernamentales para el desarrollo de las políticas para la superación de la estigmatización y la discriminación</t>
  </si>
  <si>
    <t>Nº de Documentos de prevención seguridad y protección para territorios rurales donde se concentre la población del PPESP producto de los encuentros regionales</t>
  </si>
  <si>
    <t>((Nº de procedimientos y demás documentos de la elaboración de la evaluación del riesgo, del  PPESP actualizados)/(Nº de procedimientos y demás documentos de la elaboración de la evaluación del riesgo, del del  PPESP identificados))*100</t>
  </si>
  <si>
    <t>((Nº de actos administrativos con todas la medidas de protección debidamente implementadas en el Programa de Prevención y Protección y Programa Especial de Protección UP-PCC)((Nº de actos administrativos con seguimiento a la implementación de las medidas de protección en el Programa de Prevención y Protección y Programa Especial de Protección UP-PCC))*100</t>
  </si>
  <si>
    <t>Porcentaje de avance del cumplimiento de las actividades en el desarrollo de los roles que competen a la oficina de control interno.</t>
  </si>
  <si>
    <t>77. Evaluación Independiente del Sistema de Control Interno</t>
  </si>
  <si>
    <t>((Nº. de actividades ejecutadas del Programa Anual de Auditorías en el periodo)/ (Nº. Total de actividades programadas en el Programa Anual de Auditorias)) *100%</t>
  </si>
  <si>
    <t>DEP-FT-36/V14</t>
  </si>
  <si>
    <t>Oficialización:  26/03/2021</t>
  </si>
  <si>
    <t>VERSIÓN FINAL</t>
  </si>
  <si>
    <t>Se modifica ajustando el instructivo de la casilla de observaciones y adicional se eliminan las casillas de acumulado y avance del PAI y del PEI para la primera línea de defensa ya que es un aspecto a diligenciar solo por la segunda línea de defensa.</t>
  </si>
  <si>
    <t>56. Reporte de actos administrativos (servicios no conformes) proyectados y entregados en Dirección para firma.</t>
  </si>
  <si>
    <t>Reporte de actos administrativos (servicios no conformes) proyectados</t>
  </si>
  <si>
    <t>Nº de actos administrativos proyectados (servicios no conformes)</t>
  </si>
  <si>
    <t>Pacto por la Ciencia, la tecnología y la innovación: Un sistema para construir el conocimiento de la Colombia del futuro.</t>
  </si>
  <si>
    <t>Coordinación y Cooperación Interinstitucional</t>
  </si>
  <si>
    <t>((Número de informes de seguimiento presentados a los planes del decreto 612 del 2018)/(Número de Planes del Decreto 612 del 2018 doce planes))*100</t>
  </si>
  <si>
    <t>Nº de anteproyectos presentados ante las instancias pertinentes</t>
  </si>
  <si>
    <t>((Nº de actos administrativos con todas la medidas de protección debidamente implementadas en el PPESP)/((Nº de actos administrativos con seguimiento a la implementación de las medidas de protección en el PPESP))*100</t>
  </si>
  <si>
    <t>((Nº de asistencias técnicas realizadas por la UNP  para la consolidación del proyecto de fortalecimiento)/ (Nº de asistencias técnicas solicitadas por las entidades territoriales a la UNP para la consolidación del proyecto de fortalecimiento))*100</t>
  </si>
  <si>
    <t>((Nº de acciones de coordinación realizadas por la UNP para la implementación del diseño y ejecución de las medidas de protección, atención y de asistencia complementarias a las medidas materiales de protección individual y colectiva)/(Nº de acciones de coordinación programadas por la UNP para la implementación del diseño y ejecución de las medidas de protección, atención y de asistencia complementarias a las medidas materiales de protección individual y colectiva))*100</t>
  </si>
  <si>
    <t>((Nº de requerimientos tramitados por la UNP ante el Ministerio del Interior  para realizar la evaluación de los programas de protección )/(Nº de requerimientos solicitados a la UNP por el Ministerio del Interior  para realizar la evaluación de los programas de protección ))*100</t>
  </si>
  <si>
    <t xml:space="preserve">54. Presentar Proyectos a Cooperantes Internacionales </t>
  </si>
  <si>
    <t>53. Realizar identificación del Mapa de Cooperantes de la UNP</t>
  </si>
  <si>
    <t>((Nº de actividades de coordinación interinstitucional realizadas, para atender la inminencia de riesgo que puedan presentar las personas y/o poblaciones de los programa de prevención y/o protección que coordina la UNP)/(Nº de actividades de coordinación interinstitucional programadas, para atender la inminencia que puedan presentar las personas y/o poblaciones de los programa de prevención y/o protección que coordina la UNP, que sean de su competencia))*100</t>
  </si>
  <si>
    <t>No. de Campañas de reconocimiento de lideres y lideresas y defensores de derechos humanos realizadas</t>
  </si>
  <si>
    <t>Porcentaje de participación en las Ferias Acércate del Departamento Administrativo de la Función Pública.</t>
  </si>
  <si>
    <t>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t>
  </si>
  <si>
    <t>3.10.9</t>
  </si>
  <si>
    <t>3.10.7</t>
  </si>
  <si>
    <t>3.10.8</t>
  </si>
  <si>
    <t>Procedimiento y documentos relacionados con el proceso de Gestión Integral de Medidas de Emergencia oficializados según cronograma de actualización</t>
  </si>
  <si>
    <t>((Número de Procedimiento y demás documentos relacionados con el proceso de Gestión Integral de Medidas de Emergencia oficializados según cronograma de actualización) / (Nº de procedimientos y demás documentos relacionados con el proceso de Gestión Integral de Medidas de Emergencia identificados según cronograma de actualización)) *100</t>
  </si>
  <si>
    <t>Gestión Integral de Medidas de Emergencia</t>
  </si>
  <si>
    <t>((Sumatoria de cumplimiento del avance de los planes del Decreto 612 del 2018)/(Sumatoria total de cumplimiento de los planes del Decreto 612 del 2018))*100</t>
  </si>
  <si>
    <t>((Nº de ferias acércate con participación del Grupo de Servicio al Ciudadano de la UNP)/(Nº de ferias acércate viabilizadas por la UNP))*100</t>
  </si>
  <si>
    <t>92.79%</t>
  </si>
  <si>
    <t>Nº de Documentos del esquema de líneas de defensa de la UNP</t>
  </si>
  <si>
    <t>N° de Documentos del esquema de líneas de defensa de la UNP diseñados.</t>
  </si>
  <si>
    <t>22. Identificación y sistematización de la información relacionada en las alertas tempranas.</t>
  </si>
  <si>
    <t>23. Articulación de acciones para el cumplimiento de las recomendaciones emitidas en las alertas tempranas</t>
  </si>
  <si>
    <t>24. Establecer la metodología y mecanismos de recolección e intercambio de información</t>
  </si>
  <si>
    <t>25. Identificar la información necesaria para la consolidación de la analítica institucional (OAPI)</t>
  </si>
  <si>
    <t>26. Brindar el apoyo de lo requerido por la Fiscalía General de la Nación(FGN) en el suministro de la información de quienes profieran amenazas para el desmantelamiento de organizaciones criminales garantizando la reserva de la información y el derecho a la intimidad de los solicitantes y/o beneficiarios de los programas de protección</t>
  </si>
  <si>
    <t xml:space="preserve">27.Trabajar de forma articulada con Policía Nacional (PONAL) y entes territoriales en el suministro de información para la elaboración de estudios de nivel de riesgo, análisis contextual del riesgo, análisis conclusivo del riesgo e identificación de escenarios de riesgo </t>
  </si>
  <si>
    <t>28. Ejecutar el Proyecto de Reingeniería de la UNP</t>
  </si>
  <si>
    <t>29. Reducir el tiempo que toma la evaluación de riesgo del Programa de Prevención y Protección y Programa  Especial de Protección para UP-PCC</t>
  </si>
  <si>
    <t>30. Reducir el tiempo que toma la evaluación de riesgo de la ruta individual del Programa de Protección Especializada de Seguridad y Protección</t>
  </si>
  <si>
    <t>31. Implementación oportuna de las medidas de protección individual a NARP</t>
  </si>
  <si>
    <t xml:space="preserve">32. Implementación oportuna de las medidas de protección colectiva a NARP </t>
  </si>
  <si>
    <t>33. Implementación oportuna de las medidas de protección colectiva (Ruta de Protección Colectiva)</t>
  </si>
  <si>
    <t>34. Incrementar el nivel de oportunidad en la implementación de las medidas de protección a los beneficiarios del Programa de Prevención y Protección y del Programa de Protección para UP-PCC de la ruta individual</t>
  </si>
  <si>
    <t>35. Incrementar el nivel de oportunidad en la implementación de las medidas de protección a los beneficiarios del PPESP de la ruta individual</t>
  </si>
  <si>
    <t>36. Informar al Ministerio del Interior, las medidas complementarias, recomendadas y/o determinadas en las diferentes instancias de determinación y/o recomendación de medidas de protección, para que actúe como entidad articuladora  entre entidades, tanto del nivel nacional como territorial para la implementación de las medidas complementarias.</t>
  </si>
  <si>
    <t>37. Realizar las actividades de coordinación interinstitucional, para atender la inminencia de riesgo que puedan presentar las personas y/o poblaciones de los programa de prevención y/o protección que coordina la UNP</t>
  </si>
  <si>
    <t>38. Implementación de las medidas de protección a Mujeres que por su condición de Víctimas, presentan un riesgo extraordinario o extremo</t>
  </si>
  <si>
    <t>39. Realizar el seguimiento a la implementación de las medidas de protección en el programa de prevención y protección y programa especial de protección UP-PCC</t>
  </si>
  <si>
    <t xml:space="preserve">40. Realizar el seguimiento a la implementación de las medidas de protección en el PPESP </t>
  </si>
  <si>
    <t>41. Actualizar el procedimiento y demás documentos relacionados con el proceso de Gestión Integral de Medidas de Emergencia, que permitan una interacción eficiente y eficaz con los demás procesos relacionados con la ruta de protección de la Unidad Nacional de Protección</t>
  </si>
  <si>
    <t xml:space="preserve">42. Ejecución del modelo integral de servicio al ciudadano a través de la ventanilla única de radicación y correspondencia </t>
  </si>
  <si>
    <t>43. Virtualización de solicitudes de ingreso  a los Programas de Prevención y/o Protección de coordinación de la UNP</t>
  </si>
  <si>
    <t>79. Participar en las ferias acércate programadas por el Departamento Administrativo de la Función Pública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</si>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</sst>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0_-;\-* #,##0.000_-;_-* &quot;-&quot;??_-;_-@_-"/>
    <numFmt numFmtId="165" formatCode="_-* #,##0_-;\-* #,##0_-;_-* &quot;-&quot;??_-;_-@_-"/>
  </numFmts>
  <fonts count="22" x14ac:knownFonts="1">
    <font>
      <sz val="11"/>
      <color theme="1"/>
      <name val="Calibri"/>
      <family val="2"/>
      <scheme val="minor"/>
    </font>
    <font>
      <sz val="11"/>
      <color theme="1"/>
      <name val="Calibri"/>
      <family val="2"/>
      <scheme val="minor"/>
    </font>
    <font>
      <sz val="10"/>
      <color theme="1"/>
      <name val="Arial"/>
      <family val="2"/>
    </font>
    <font>
      <b/>
      <sz val="12"/>
      <color theme="1"/>
      <name val="Arial"/>
      <family val="2"/>
    </font>
    <font>
      <sz val="11"/>
      <color theme="1"/>
      <name val="Arial"/>
      <family val="2"/>
    </font>
    <font>
      <sz val="10"/>
      <name val="Arial"/>
      <family val="2"/>
    </font>
    <font>
      <sz val="12"/>
      <color theme="1"/>
      <name val="Arial"/>
      <family val="2"/>
    </font>
    <font>
      <b/>
      <sz val="10"/>
      <color theme="1"/>
      <name val="Arial"/>
      <family val="2"/>
    </font>
    <font>
      <b/>
      <sz val="12"/>
      <name val="Arial"/>
      <family val="2"/>
    </font>
    <font>
      <sz val="12"/>
      <name val="Arial"/>
      <family val="2"/>
    </font>
    <font>
      <sz val="12"/>
      <color rgb="FF000000"/>
      <name val="Arial"/>
      <family val="2"/>
    </font>
    <font>
      <b/>
      <sz val="11"/>
      <color theme="1"/>
      <name val="Arial"/>
      <family val="2"/>
    </font>
    <font>
      <sz val="9"/>
      <color indexed="81"/>
      <name val="Tahoma"/>
      <family val="2"/>
    </font>
    <font>
      <b/>
      <sz val="9"/>
      <color indexed="81"/>
      <name val="Tahoma"/>
      <family val="2"/>
    </font>
    <font>
      <b/>
      <sz val="10"/>
      <color rgb="FFFFFFFF"/>
      <name val="Arial"/>
      <family val="2"/>
    </font>
    <font>
      <b/>
      <sz val="10"/>
      <color rgb="FF000000"/>
      <name val="Arial"/>
      <family val="2"/>
    </font>
    <font>
      <sz val="10"/>
      <color rgb="FF000000"/>
      <name val="Arial"/>
      <family val="2"/>
    </font>
    <font>
      <sz val="9"/>
      <color theme="1"/>
      <name val="Arial"/>
      <family val="2"/>
    </font>
    <font>
      <b/>
      <sz val="9"/>
      <color theme="1"/>
      <name val="Arial"/>
      <family val="2"/>
    </font>
    <font>
      <sz val="8"/>
      <name val="Calibri"/>
      <family val="2"/>
      <scheme val="minor"/>
    </font>
    <font>
      <b/>
      <sz val="12"/>
      <color theme="9" tint="-0.499984740745262"/>
      <name val="Arial"/>
      <family val="2"/>
    </font>
    <font>
      <sz val="12"/>
      <color theme="9" tint="-0.499984740745262"/>
      <name val="Arial"/>
      <family val="2"/>
    </font>
  </fonts>
  <fills count="18">
    <fill>
      <patternFill patternType="none"/>
    </fill>
    <fill>
      <patternFill patternType="gray125"/>
    </fill>
    <fill>
      <patternFill patternType="solid">
        <fgColor theme="3"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82">
    <xf numFmtId="0" fontId="0" fillId="0" borderId="0" xfId="0"/>
    <xf numFmtId="0" fontId="2" fillId="0" borderId="0" xfId="0" applyFont="1" applyAlignment="1">
      <alignment horizontal="left" vertical="center"/>
    </xf>
    <xf numFmtId="0" fontId="8" fillId="10" borderId="7"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9" fontId="3" fillId="3" borderId="3"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textRotation="90" wrapText="1"/>
    </xf>
    <xf numFmtId="0" fontId="3" fillId="7" borderId="3" xfId="0" applyFont="1" applyFill="1" applyBorder="1" applyAlignment="1">
      <alignment horizontal="center" vertical="center" wrapText="1"/>
    </xf>
    <xf numFmtId="0" fontId="4" fillId="0" borderId="0" xfId="0" applyFont="1" applyAlignment="1">
      <alignment horizontal="left" vertical="center"/>
    </xf>
    <xf numFmtId="0" fontId="11" fillId="0" borderId="0" xfId="0" applyFont="1" applyAlignment="1">
      <alignment horizontal="center" vertical="center"/>
    </xf>
    <xf numFmtId="0" fontId="4" fillId="0" borderId="0" xfId="0" applyFont="1" applyAlignment="1">
      <alignment vertical="center"/>
    </xf>
    <xf numFmtId="9" fontId="11" fillId="0" borderId="0" xfId="0" applyNumberFormat="1" applyFont="1" applyAlignment="1">
      <alignment horizontal="center" vertical="center"/>
    </xf>
    <xf numFmtId="0" fontId="4" fillId="0" borderId="0" xfId="0" applyFont="1" applyAlignment="1">
      <alignment horizontal="center" vertical="center"/>
    </xf>
    <xf numFmtId="0" fontId="3" fillId="7" borderId="14" xfId="0" applyFont="1" applyFill="1" applyBorder="1" applyAlignment="1">
      <alignment horizontal="center" vertical="center" wrapText="1"/>
    </xf>
    <xf numFmtId="0" fontId="2" fillId="0" borderId="0" xfId="0" applyFont="1" applyAlignment="1">
      <alignment vertical="center"/>
    </xf>
    <xf numFmtId="0" fontId="6"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xf numFmtId="0" fontId="2" fillId="0" borderId="0" xfId="0" applyFont="1"/>
    <xf numFmtId="0" fontId="17"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left" vertical="center"/>
    </xf>
    <xf numFmtId="0" fontId="18" fillId="0" borderId="0" xfId="0" applyFont="1" applyAlignment="1">
      <alignment horizontal="center" vertical="center"/>
    </xf>
    <xf numFmtId="9" fontId="18" fillId="0" borderId="0" xfId="0" applyNumberFormat="1" applyFont="1" applyAlignment="1">
      <alignment horizontal="center" vertical="center"/>
    </xf>
    <xf numFmtId="10" fontId="6"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65" fontId="6" fillId="0" borderId="1" xfId="4" applyNumberFormat="1" applyFont="1" applyFill="1" applyBorder="1" applyAlignment="1">
      <alignment horizontal="center" vertical="center" wrapText="1"/>
    </xf>
    <xf numFmtId="10" fontId="2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4" fontId="9" fillId="0" borderId="1" xfId="3" applyNumberFormat="1" applyFont="1" applyFill="1" applyBorder="1" applyAlignment="1">
      <alignment horizontal="center" vertical="center" wrapText="1"/>
    </xf>
    <xf numFmtId="9"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20" fillId="0" borderId="0" xfId="0" applyFont="1" applyFill="1" applyAlignment="1">
      <alignment horizontal="left" vertical="center"/>
    </xf>
    <xf numFmtId="0" fontId="9" fillId="0" borderId="0" xfId="0" applyFont="1" applyFill="1" applyAlignment="1">
      <alignment horizontal="left"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1" fontId="9" fillId="0" borderId="1" xfId="0" applyNumberFormat="1" applyFont="1" applyFill="1" applyBorder="1" applyAlignment="1">
      <alignment horizontal="center" vertical="center"/>
    </xf>
    <xf numFmtId="0" fontId="9" fillId="0" borderId="1" xfId="0" quotePrefix="1" applyFont="1" applyFill="1" applyBorder="1" applyAlignment="1">
      <alignment horizontal="center" vertical="center" wrapText="1"/>
    </xf>
    <xf numFmtId="14" fontId="9"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1" fontId="9" fillId="0" borderId="1" xfId="1" applyNumberFormat="1" applyFont="1" applyFill="1" applyBorder="1" applyAlignment="1">
      <alignment horizontal="center" vertical="center"/>
    </xf>
    <xf numFmtId="3" fontId="9" fillId="0" borderId="1" xfId="0" applyNumberFormat="1" applyFont="1" applyFill="1" applyBorder="1" applyAlignment="1">
      <alignment horizontal="center" vertical="center" wrapText="1"/>
    </xf>
    <xf numFmtId="0" fontId="8" fillId="0" borderId="0" xfId="0" applyFont="1" applyFill="1" applyAlignment="1">
      <alignment horizontal="left" vertical="center"/>
    </xf>
    <xf numFmtId="1" fontId="5" fillId="0" borderId="1" xfId="1"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Border="1" applyAlignment="1">
      <alignment horizontal="left" vertical="center" wrapText="1"/>
    </xf>
    <xf numFmtId="10" fontId="6" fillId="0" borderId="1" xfId="0" applyNumberFormat="1" applyFont="1" applyFill="1" applyBorder="1" applyAlignment="1">
      <alignment horizontal="center" vertical="center"/>
    </xf>
    <xf numFmtId="10" fontId="6" fillId="0" borderId="1" xfId="1" applyNumberFormat="1" applyFont="1" applyFill="1" applyBorder="1" applyAlignment="1">
      <alignment horizontal="center" vertical="center"/>
    </xf>
    <xf numFmtId="10" fontId="6" fillId="0" borderId="1" xfId="0" applyNumberFormat="1" applyFont="1" applyBorder="1" applyAlignment="1">
      <alignment horizontal="center" vertical="center"/>
    </xf>
    <xf numFmtId="0" fontId="6" fillId="0" borderId="1" xfId="0" applyFont="1" applyBorder="1" applyAlignment="1">
      <alignment horizontal="left" vertical="center"/>
    </xf>
    <xf numFmtId="2"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xf>
    <xf numFmtId="0" fontId="6" fillId="0" borderId="1" xfId="1" applyNumberFormat="1" applyFont="1" applyFill="1" applyBorder="1" applyAlignment="1">
      <alignment horizontal="center" vertical="center"/>
    </xf>
    <xf numFmtId="9" fontId="9" fillId="0" borderId="1" xfId="0" applyNumberFormat="1" applyFont="1" applyBorder="1" applyAlignment="1">
      <alignment horizontal="center" vertical="center"/>
    </xf>
    <xf numFmtId="0" fontId="17" fillId="0" borderId="0" xfId="0" applyFont="1" applyFill="1" applyAlignment="1">
      <alignment horizontal="center" vertical="center"/>
    </xf>
    <xf numFmtId="0" fontId="4" fillId="0" borderId="0" xfId="0" applyFont="1" applyFill="1" applyAlignment="1">
      <alignment horizontal="center" vertical="center"/>
    </xf>
    <xf numFmtId="10" fontId="6" fillId="0" borderId="1" xfId="0" applyNumberFormat="1" applyFont="1" applyBorder="1" applyAlignment="1">
      <alignment horizontal="center" vertical="center" wrapText="1"/>
    </xf>
    <xf numFmtId="9" fontId="6" fillId="0" borderId="1" xfId="1" applyFont="1" applyFill="1" applyBorder="1" applyAlignment="1">
      <alignment horizontal="center" vertical="center" wrapText="1"/>
    </xf>
    <xf numFmtId="9" fontId="9" fillId="0" borderId="1" xfId="0" applyNumberFormat="1" applyFont="1" applyFill="1" applyBorder="1" applyAlignment="1">
      <alignment horizontal="left" vertical="center"/>
    </xf>
    <xf numFmtId="2" fontId="6" fillId="0" borderId="1" xfId="1" applyNumberFormat="1" applyFont="1" applyFill="1" applyBorder="1" applyAlignment="1">
      <alignment horizontal="center" vertical="center" wrapText="1"/>
    </xf>
    <xf numFmtId="9" fontId="6" fillId="0" borderId="1" xfId="1" applyNumberFormat="1" applyFont="1" applyBorder="1" applyAlignment="1">
      <alignment horizontal="center" vertical="center"/>
    </xf>
    <xf numFmtId="9" fontId="6"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9" fontId="9" fillId="0" borderId="1" xfId="1" applyFont="1" applyFill="1" applyBorder="1" applyAlignment="1">
      <alignment horizontal="center" vertical="center"/>
    </xf>
    <xf numFmtId="9" fontId="9" fillId="0" borderId="1" xfId="1" applyFont="1" applyFill="1" applyBorder="1" applyAlignment="1">
      <alignment horizontal="center" vertical="center" wrapText="1"/>
    </xf>
    <xf numFmtId="9" fontId="6" fillId="0" borderId="1" xfId="1" applyFont="1" applyBorder="1" applyAlignment="1">
      <alignment horizontal="center" vertical="center"/>
    </xf>
    <xf numFmtId="9" fontId="6" fillId="0" borderId="1" xfId="0" applyNumberFormat="1" applyFont="1" applyBorder="1" applyAlignment="1">
      <alignment horizontal="center" vertical="center"/>
    </xf>
    <xf numFmtId="10" fontId="6" fillId="0" borderId="1" xfId="1" applyNumberFormat="1" applyFont="1" applyBorder="1" applyAlignment="1">
      <alignment horizontal="center" vertical="center"/>
    </xf>
    <xf numFmtId="9" fontId="9" fillId="0" borderId="1" xfId="1" applyNumberFormat="1" applyFont="1" applyFill="1" applyBorder="1" applyAlignment="1">
      <alignment horizontal="center" vertical="center"/>
    </xf>
    <xf numFmtId="9" fontId="6" fillId="0" borderId="1" xfId="1" applyFont="1" applyFill="1" applyBorder="1" applyAlignment="1">
      <alignment horizontal="center" vertical="center"/>
    </xf>
    <xf numFmtId="1" fontId="6" fillId="0" borderId="1" xfId="1" applyNumberFormat="1" applyFont="1" applyFill="1" applyBorder="1" applyAlignment="1">
      <alignment horizontal="center" vertical="center"/>
    </xf>
    <xf numFmtId="0" fontId="6" fillId="0" borderId="1" xfId="0" applyFont="1" applyBorder="1" applyAlignment="1">
      <alignment horizontal="center" vertical="center"/>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vertical="center" wrapText="1"/>
    </xf>
    <xf numFmtId="9" fontId="6"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10" fontId="9"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1" applyNumberFormat="1" applyFont="1" applyFill="1" applyBorder="1" applyAlignment="1">
      <alignment horizontal="center" vertical="center"/>
    </xf>
    <xf numFmtId="10" fontId="9" fillId="0" borderId="1" xfId="1" applyNumberFormat="1" applyFont="1" applyFill="1" applyBorder="1" applyAlignment="1">
      <alignment horizontal="center" vertical="center"/>
    </xf>
    <xf numFmtId="2" fontId="6" fillId="0" borderId="1" xfId="1" applyNumberFormat="1" applyFont="1" applyFill="1" applyBorder="1" applyAlignment="1">
      <alignment horizontal="center" vertical="center"/>
    </xf>
    <xf numFmtId="9" fontId="21" fillId="0" borderId="1" xfId="1" applyNumberFormat="1" applyFont="1" applyFill="1" applyBorder="1" applyAlignment="1">
      <alignment horizontal="center" vertical="center"/>
    </xf>
    <xf numFmtId="0" fontId="16" fillId="0" borderId="2" xfId="0" applyFont="1" applyBorder="1" applyAlignment="1">
      <alignment horizontal="center" vertical="center"/>
    </xf>
    <xf numFmtId="0" fontId="16" fillId="0" borderId="12"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left" vertical="center"/>
    </xf>
    <xf numFmtId="0" fontId="16" fillId="0" borderId="12" xfId="0" applyFont="1" applyBorder="1" applyAlignment="1">
      <alignment horizontal="left" vertical="center"/>
    </xf>
    <xf numFmtId="0" fontId="16" fillId="0" borderId="5" xfId="0" applyFont="1" applyBorder="1" applyAlignment="1">
      <alignment horizontal="left" vertical="center"/>
    </xf>
    <xf numFmtId="14" fontId="16" fillId="0" borderId="2" xfId="0" applyNumberFormat="1" applyFont="1" applyBorder="1" applyAlignment="1">
      <alignment horizontal="center" vertical="center" wrapText="1"/>
    </xf>
    <xf numFmtId="14" fontId="16" fillId="0" borderId="12" xfId="0" applyNumberFormat="1" applyFont="1" applyBorder="1" applyAlignment="1">
      <alignment horizontal="center" vertical="center" wrapText="1"/>
    </xf>
    <xf numFmtId="14" fontId="16" fillId="0" borderId="5"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5" fillId="0" borderId="12" xfId="0" applyFont="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0" fontId="2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10" fontId="9"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15" borderId="1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9" xfId="0" applyFont="1" applyFill="1" applyBorder="1" applyAlignment="1">
      <alignment horizontal="center" vertical="center"/>
    </xf>
    <xf numFmtId="0" fontId="8" fillId="9" borderId="15"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3" fillId="6" borderId="5" xfId="0" applyFont="1" applyFill="1" applyBorder="1" applyAlignment="1">
      <alignment horizontal="center" vertical="center"/>
    </xf>
    <xf numFmtId="0" fontId="3" fillId="6"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9" fillId="0" borderId="1" xfId="0" applyFont="1" applyFill="1" applyBorder="1" applyAlignment="1">
      <alignment horizontal="left" vertical="center"/>
    </xf>
    <xf numFmtId="0" fontId="15" fillId="13" borderId="2" xfId="0" applyFont="1" applyFill="1" applyBorder="1" applyAlignment="1">
      <alignment horizontal="center" vertical="center" wrapText="1"/>
    </xf>
    <xf numFmtId="0" fontId="15" fillId="13" borderId="12"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16" xfId="0" applyFont="1" applyBorder="1" applyAlignment="1">
      <alignment horizontal="left" vertical="center"/>
    </xf>
    <xf numFmtId="0" fontId="2" fillId="0" borderId="14" xfId="0" applyFont="1" applyBorder="1" applyAlignment="1">
      <alignment horizontal="right" vertical="center"/>
    </xf>
    <xf numFmtId="0" fontId="2" fillId="0" borderId="18" xfId="0" applyFont="1" applyBorder="1" applyAlignment="1">
      <alignment horizontal="right" vertical="center"/>
    </xf>
    <xf numFmtId="0" fontId="14" fillId="12" borderId="20" xfId="0" applyFont="1" applyFill="1" applyBorder="1" applyAlignment="1">
      <alignment horizontal="center"/>
    </xf>
    <xf numFmtId="0" fontId="14" fillId="12" borderId="19" xfId="0" applyFont="1" applyFill="1" applyBorder="1" applyAlignment="1">
      <alignment horizontal="center"/>
    </xf>
    <xf numFmtId="0" fontId="20" fillId="0" borderId="1"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12" xfId="0" applyFont="1" applyBorder="1" applyAlignment="1">
      <alignment horizontal="left" vertical="center" wrapText="1"/>
    </xf>
    <xf numFmtId="0" fontId="16" fillId="0" borderId="5" xfId="0" applyFont="1" applyBorder="1" applyAlignment="1">
      <alignment horizontal="left" vertical="center" wrapText="1"/>
    </xf>
    <xf numFmtId="0" fontId="15"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5" fillId="14" borderId="2" xfId="0" applyFont="1" applyFill="1" applyBorder="1" applyAlignment="1">
      <alignment horizontal="center" vertical="center" wrapText="1"/>
    </xf>
    <xf numFmtId="0" fontId="15" fillId="14" borderId="12" xfId="0" applyFont="1" applyFill="1" applyBorder="1" applyAlignment="1">
      <alignment horizontal="center" vertical="center" wrapText="1"/>
    </xf>
    <xf numFmtId="0" fontId="15" fillId="14" borderId="5" xfId="0" applyFont="1" applyFill="1" applyBorder="1" applyAlignment="1">
      <alignment horizontal="center" vertical="center" wrapText="1"/>
    </xf>
    <xf numFmtId="0" fontId="6" fillId="0" borderId="4" xfId="0" applyFont="1" applyBorder="1" applyAlignment="1">
      <alignment horizontal="center" vertical="center"/>
    </xf>
    <xf numFmtId="9" fontId="6" fillId="0" borderId="4" xfId="0" applyNumberFormat="1" applyFont="1" applyBorder="1" applyAlignment="1">
      <alignment horizontal="center" vertical="center"/>
    </xf>
    <xf numFmtId="9" fontId="6" fillId="16" borderId="4" xfId="1" applyFont="1" applyFill="1" applyBorder="1" applyAlignment="1">
      <alignment horizontal="center" vertical="center"/>
    </xf>
    <xf numFmtId="9" fontId="6" fillId="16" borderId="17" xfId="0" applyNumberFormat="1" applyFont="1" applyFill="1" applyBorder="1" applyAlignment="1">
      <alignment horizontal="center" vertical="center"/>
    </xf>
    <xf numFmtId="10" fontId="9" fillId="0" borderId="1" xfId="0" applyNumberFormat="1" applyFont="1" applyFill="1" applyBorder="1" applyAlignment="1">
      <alignment horizontal="center" vertical="center"/>
    </xf>
    <xf numFmtId="10" fontId="21" fillId="0" borderId="1" xfId="1" applyNumberFormat="1" applyFont="1" applyFill="1" applyBorder="1" applyAlignment="1">
      <alignment horizontal="center" vertical="center"/>
    </xf>
    <xf numFmtId="9" fontId="9" fillId="17" borderId="1" xfId="0" applyNumberFormat="1" applyFont="1" applyFill="1" applyBorder="1" applyAlignment="1">
      <alignment horizontal="center" vertical="center"/>
    </xf>
    <xf numFmtId="9" fontId="9" fillId="17" borderId="2" xfId="0" applyNumberFormat="1" applyFont="1" applyFill="1" applyBorder="1" applyAlignment="1">
      <alignment horizontal="center" vertical="center"/>
    </xf>
    <xf numFmtId="0" fontId="9" fillId="0" borderId="1" xfId="0" applyFont="1" applyBorder="1" applyAlignment="1">
      <alignment horizontal="center" vertical="center"/>
    </xf>
    <xf numFmtId="10" fontId="6" fillId="16" borderId="1" xfId="0" applyNumberFormat="1" applyFont="1" applyFill="1" applyBorder="1" applyAlignment="1">
      <alignment horizontal="center" vertical="center"/>
    </xf>
    <xf numFmtId="9" fontId="6" fillId="17" borderId="1" xfId="1" applyNumberFormat="1" applyFont="1" applyFill="1" applyBorder="1" applyAlignment="1">
      <alignment horizontal="center" vertical="center"/>
    </xf>
    <xf numFmtId="9" fontId="9" fillId="17" borderId="17" xfId="0" applyNumberFormat="1" applyFont="1" applyFill="1" applyBorder="1" applyAlignment="1">
      <alignment horizontal="center" vertical="center"/>
    </xf>
    <xf numFmtId="9" fontId="9" fillId="17" borderId="1" xfId="1" applyNumberFormat="1" applyFont="1" applyFill="1" applyBorder="1" applyAlignment="1">
      <alignment horizontal="center" vertical="center"/>
    </xf>
  </cellXfs>
  <cellStyles count="9">
    <cellStyle name="Millares" xfId="4" builtinId="3"/>
    <cellStyle name="Millares 2" xfId="3" xr:uid="{9CAE8BC1-C83F-460A-9219-1359894B22E7}"/>
    <cellStyle name="Millares 2 2" xfId="5" xr:uid="{36A46001-93A9-40D3-8AEE-039E8FFA96DE}"/>
    <cellStyle name="Millares 2 3" xfId="7" xr:uid="{B2EB0250-6C20-4592-A703-092155FED204}"/>
    <cellStyle name="Millares 3" xfId="6" xr:uid="{FE10B324-027A-4596-8FC6-179524C872A4}"/>
    <cellStyle name="Millares 4" xfId="8" xr:uid="{C9BBAAE1-CCF3-43EA-A277-9419EF9D9904}"/>
    <cellStyle name="Normal" xfId="0" builtinId="0"/>
    <cellStyle name="Normal 3" xfId="2" xr:uid="{00000000-0005-0000-0000-000002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1246414</xdr:colOff>
      <xdr:row>0</xdr:row>
      <xdr:rowOff>81643</xdr:rowOff>
    </xdr:from>
    <xdr:to>
      <xdr:col>1</xdr:col>
      <xdr:colOff>519522</xdr:colOff>
      <xdr:row>2</xdr:row>
      <xdr:rowOff>326571</xdr:rowOff>
    </xdr:to>
    <xdr:pic>
      <xdr:nvPicPr>
        <xdr:cNvPr id="2" name="12 Imagen">
          <a:extLst>
            <a:ext uri="{FF2B5EF4-FFF2-40B4-BE49-F238E27FC236}">
              <a16:creationId xmlns:a16="http://schemas.microsoft.com/office/drawing/2014/main" id="{CFF60A80-D8B8-9B41-AA5B-9B31C484CA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643"/>
          <a:ext cx="1573485" cy="981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76</xdr:col>
      <xdr:colOff>645311</xdr:colOff>
      <xdr:row>0</xdr:row>
      <xdr:rowOff>61851</xdr:rowOff>
    </xdr:from>
    <xdr:to>
      <xdr:col>77</xdr:col>
      <xdr:colOff>1052357</xdr:colOff>
      <xdr:row>2</xdr:row>
      <xdr:rowOff>279566</xdr:rowOff>
    </xdr:to>
    <xdr:pic>
      <xdr:nvPicPr>
        <xdr:cNvPr id="3" name="Imagen 2">
          <a:extLst>
            <a:ext uri="{FF2B5EF4-FFF2-40B4-BE49-F238E27FC236}">
              <a16:creationId xmlns:a16="http://schemas.microsoft.com/office/drawing/2014/main" id="{C288C713-AED8-A644-9481-B355AFFDA087}"/>
            </a:ext>
          </a:extLst>
        </xdr:cNvPr>
        <xdr:cNvPicPr>
          <a:picLocks noChangeAspect="1"/>
        </xdr:cNvPicPr>
      </xdr:nvPicPr>
      <xdr:blipFill>
        <a:blip xmlns:r="http://schemas.openxmlformats.org/officeDocument/2006/relationships" r:embed="rId2"/>
        <a:stretch>
          <a:fillRect/>
        </a:stretch>
      </xdr:blipFill>
      <xdr:spPr>
        <a:xfrm>
          <a:off x="104810711" y="61851"/>
          <a:ext cx="1466603" cy="9543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ina Margarita Diaz Lobo" id="{06A33B99-C234-4D63-9F53-A3C48FA51E1D}" userId="S::gina.diaz@unp.gov.co::02b15c52-b494-4cde-bcf9-1f7fd87c5d2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U30" dT="2021-08-04T21:08:30.09" personId="{06A33B99-C234-4D63-9F53-A3C48FA51E1D}" id="{9669261D-EC0E-4588-8807-135642D8CAE4}">
    <text>Se modifica el mes de reporte segun solcitud del proceso aprobada mediante MEM21-00021263 del 1 de julio del 2021 en respuesta al e MEM21 -00021050.</text>
  </threadedComment>
  <threadedComment ref="U61" dT="2021-08-04T21:09:45.10" personId="{06A33B99-C234-4D63-9F53-A3C48FA51E1D}" id="{CC3C2250-0042-4863-BB63-FD8E91A0E239}">
    <text>Se realiza ajuste al indicador segun solicitud formal del responsable del proceso mediante MEM21-0001981 del 21 de junio del 2021.   
Indicador anterior Reportar el seguimiento al servicio no conforme desde que el recurso de reposición se recibe por los canales oficiales hasta que se notifica.</text>
  </threadedComment>
  <threadedComment ref="AO61" dT="2021-08-03T20:19:38.81" personId="{06A33B99-C234-4D63-9F53-A3C48FA51E1D}" id="{3E3880F9-9925-4929-AD16-BE4E43D48130}">
    <text>El indicador fue modificado para el segundo trimestre del año y cambio de tipo indicador porcentaje a producto segun MEM21-00021069 del 30 de junio del 2021</text>
  </threadedComment>
  <threadedComment ref="U69" dT="2021-07-01T21:06:28.01" personId="{06A33B99-C234-4D63-9F53-A3C48FA51E1D}" id="{31916C16-D19A-4901-9B54-E3C6BCFEFDA0}">
    <text>Segun solicitud formal del proceso con comuniación inerna MEM21-00021290 de fecha 1 de julio del 2021 se ajusta formula del indicador la cual estaba asi (Sumatoria del cumplimiento del avance de los planes del decreto 612 del 2018/No Total de planes del Decreto 612 del 2018 doce planes))*100</text>
  </threadedComment>
  <threadedComment ref="U71" dT="2021-08-04T21:08:07.64" personId="{06A33B99-C234-4D63-9F53-A3C48FA51E1D}" id="{B58E2689-0E9E-42F5-A2C1-0AB39874A19E}">
    <text>Segun MEM21-00013994 de fecha 6 de mayo del 2021 se realiza moficiación de la frecuencia del indicador de trimestral a anual y de meta 4 a meta uno (1) aprobado por el jefe de la OAPI.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9C44E-2DB3-6546-B682-1DB6AC24D227}">
  <dimension ref="A1:DP96"/>
  <sheetViews>
    <sheetView tabSelected="1" zoomScale="69" zoomScaleNormal="69" workbookViewId="0">
      <pane ySplit="1" topLeftCell="A4" activePane="bottomLeft" state="frozen"/>
      <selection activeCell="M1" sqref="M1"/>
      <selection pane="bottomLeft" activeCell="A4" sqref="A4:D4"/>
    </sheetView>
  </sheetViews>
  <sheetFormatPr baseColWidth="10" defaultColWidth="11.42578125" defaultRowHeight="15" x14ac:dyDescent="0.25"/>
  <cols>
    <col min="1" max="1" width="34.42578125" style="14" customWidth="1"/>
    <col min="2" max="2" width="54.140625" style="14" customWidth="1"/>
    <col min="3" max="3" width="38.7109375" style="14" bestFit="1" customWidth="1"/>
    <col min="4" max="4" width="69.5703125" style="14" customWidth="1"/>
    <col min="5" max="5" width="46.85546875" style="14" customWidth="1"/>
    <col min="6" max="6" width="49.140625" style="12" customWidth="1"/>
    <col min="7" max="7" width="25.85546875" style="12" hidden="1" customWidth="1"/>
    <col min="8" max="8" width="65.7109375" style="12" hidden="1" customWidth="1"/>
    <col min="9" max="9" width="65.5703125" style="14" customWidth="1"/>
    <col min="10" max="10" width="41.85546875" style="1" hidden="1" customWidth="1"/>
    <col min="11" max="11" width="18.28515625" style="13" hidden="1" customWidth="1"/>
    <col min="12" max="12" width="28.140625" style="13" hidden="1" customWidth="1"/>
    <col min="13" max="13" width="24.28515625" style="13" hidden="1" customWidth="1"/>
    <col min="14" max="14" width="77.42578125" style="14" customWidth="1"/>
    <col min="15" max="15" width="12.85546875" style="15" hidden="1" customWidth="1"/>
    <col min="16" max="16" width="71.140625" style="14" customWidth="1"/>
    <col min="17" max="17" width="15.85546875" style="16" customWidth="1"/>
    <col min="18" max="18" width="22" style="16" customWidth="1"/>
    <col min="19" max="19" width="73" style="12" customWidth="1"/>
    <col min="20" max="20" width="15.42578125" style="16" hidden="1" customWidth="1"/>
    <col min="21" max="21" width="109.5703125" style="12" customWidth="1"/>
    <col min="22" max="22" width="20.85546875" style="16" customWidth="1"/>
    <col min="23" max="23" width="35.5703125" style="16" customWidth="1"/>
    <col min="24" max="24" width="25.42578125" style="16" customWidth="1"/>
    <col min="25" max="25" width="25.7109375" style="16" customWidth="1"/>
    <col min="26" max="26" width="23.42578125" style="16" customWidth="1"/>
    <col min="27" max="27" width="17.42578125" style="16" customWidth="1"/>
    <col min="28" max="29" width="7.140625" style="16" bestFit="1" customWidth="1"/>
    <col min="30" max="30" width="8.5703125" style="16" customWidth="1"/>
    <col min="31" max="39" width="7.140625" style="16" bestFit="1" customWidth="1"/>
    <col min="40" max="40" width="8.7109375" style="65" customWidth="1"/>
    <col min="41" max="41" width="10.7109375" style="16" customWidth="1"/>
    <col min="42" max="42" width="16.85546875" style="16" customWidth="1"/>
    <col min="43" max="43" width="16" style="16" customWidth="1"/>
    <col min="44" max="44" width="9" style="16" customWidth="1"/>
    <col min="45" max="45" width="14.5703125" style="16" customWidth="1"/>
    <col min="46" max="46" width="13.140625" style="16" customWidth="1"/>
    <col min="47" max="47" width="14.42578125" style="16" customWidth="1"/>
    <col min="48" max="48" width="16.5703125" style="16" customWidth="1"/>
    <col min="49" max="49" width="16.7109375" style="16" customWidth="1"/>
    <col min="50" max="50" width="14.7109375" style="16" customWidth="1"/>
    <col min="51" max="51" width="14.5703125" style="16" customWidth="1"/>
    <col min="52" max="52" width="13.140625" style="16" customWidth="1"/>
    <col min="53" max="53" width="14.42578125" style="16" bestFit="1" customWidth="1"/>
    <col min="54" max="54" width="17" style="16" customWidth="1"/>
    <col min="55" max="55" width="16.140625" style="16" customWidth="1"/>
    <col min="56" max="56" width="14.7109375" style="16" bestFit="1" customWidth="1"/>
    <col min="57" max="57" width="14.5703125" style="16" bestFit="1" customWidth="1"/>
    <col min="58" max="58" width="13.140625" style="16" bestFit="1" customWidth="1"/>
    <col min="59" max="59" width="14.42578125" style="14" customWidth="1"/>
    <col min="60" max="60" width="17.28515625" style="14" customWidth="1"/>
    <col min="61" max="61" width="16" style="14" customWidth="1"/>
    <col min="62" max="62" width="15.85546875" style="14" customWidth="1"/>
    <col min="63" max="63" width="14.5703125" style="14" customWidth="1"/>
    <col min="64" max="64" width="13.140625" style="14" customWidth="1"/>
    <col min="65" max="65" width="10.7109375" style="16" customWidth="1"/>
    <col min="66" max="66" width="20.7109375" style="16" customWidth="1"/>
    <col min="67" max="67" width="16" style="16" customWidth="1"/>
    <col min="68" max="68" width="14.7109375" style="16" customWidth="1"/>
    <col min="69" max="69" width="14.5703125" style="16" customWidth="1"/>
    <col min="70" max="70" width="19.28515625" style="16" customWidth="1"/>
    <col min="71" max="71" width="14.42578125" style="16" customWidth="1"/>
    <col min="72" max="72" width="20.5703125" style="16" customWidth="1"/>
    <col min="73" max="73" width="16" style="16" customWidth="1"/>
    <col min="74" max="74" width="14.7109375" style="16" customWidth="1"/>
    <col min="75" max="75" width="14.5703125" style="16" customWidth="1"/>
    <col min="76" max="76" width="13.5703125" style="16" customWidth="1"/>
    <col min="77" max="77" width="14.42578125" style="16" bestFit="1" customWidth="1"/>
    <col min="78" max="78" width="21.42578125" style="16" customWidth="1"/>
    <col min="79" max="79" width="16" style="16" bestFit="1" customWidth="1"/>
    <col min="80" max="80" width="14.7109375" style="16" bestFit="1" customWidth="1"/>
    <col min="81" max="81" width="14.5703125" style="16" bestFit="1" customWidth="1"/>
    <col min="82" max="82" width="14.140625" style="16" customWidth="1"/>
    <col min="83" max="83" width="14.42578125" style="14" hidden="1" customWidth="1"/>
    <col min="84" max="84" width="15.5703125" style="14" hidden="1" customWidth="1"/>
    <col min="85" max="85" width="17.85546875" style="14" hidden="1" customWidth="1"/>
    <col min="86" max="86" width="16" style="16" hidden="1" customWidth="1"/>
    <col min="87" max="87" width="14.7109375" style="16" hidden="1" customWidth="1"/>
    <col min="88" max="88" width="14.5703125" style="16" hidden="1" customWidth="1"/>
    <col min="89" max="89" width="19.28515625" style="16" hidden="1" customWidth="1"/>
    <col min="90" max="90" width="16" style="14" customWidth="1"/>
    <col min="91" max="91" width="16.7109375" style="14" bestFit="1" customWidth="1"/>
    <col min="92" max="92" width="18.85546875" style="14" customWidth="1"/>
    <col min="93" max="16384" width="11.42578125" style="14"/>
  </cols>
  <sheetData>
    <row r="1" spans="1:120" s="18" customFormat="1" ht="29.25" customHeight="1" x14ac:dyDescent="0.25">
      <c r="A1" s="121"/>
      <c r="B1" s="121"/>
      <c r="C1" s="123" t="s">
        <v>72</v>
      </c>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5"/>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6"/>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row>
    <row r="2" spans="1:120" s="18" customFormat="1" ht="29.25" customHeight="1" x14ac:dyDescent="0.25">
      <c r="A2" s="121"/>
      <c r="B2" s="121"/>
      <c r="C2" s="123" t="s">
        <v>74</v>
      </c>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5"/>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8"/>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row>
    <row r="3" spans="1:120" s="18" customFormat="1" ht="29.25" customHeight="1" thickBot="1" x14ac:dyDescent="0.3">
      <c r="A3" s="122"/>
      <c r="B3" s="122"/>
      <c r="C3" s="123" t="s">
        <v>0</v>
      </c>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5"/>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30"/>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row>
    <row r="4" spans="1:120" s="19" customFormat="1" ht="43.5" customHeight="1" x14ac:dyDescent="0.25">
      <c r="A4" s="132" t="s">
        <v>1</v>
      </c>
      <c r="B4" s="133"/>
      <c r="C4" s="134"/>
      <c r="D4" s="134"/>
      <c r="E4" s="2" t="s">
        <v>2</v>
      </c>
      <c r="F4" s="135" t="s">
        <v>3</v>
      </c>
      <c r="G4" s="136"/>
      <c r="H4" s="136"/>
      <c r="I4" s="136"/>
      <c r="J4" s="136"/>
      <c r="K4" s="136"/>
      <c r="L4" s="136"/>
      <c r="M4" s="137"/>
      <c r="N4" s="138" t="s">
        <v>4</v>
      </c>
      <c r="O4" s="139"/>
      <c r="P4" s="139"/>
      <c r="Q4" s="139"/>
      <c r="R4" s="139"/>
      <c r="S4" s="139"/>
      <c r="T4" s="139"/>
      <c r="U4" s="139"/>
      <c r="V4" s="139"/>
      <c r="W4" s="139"/>
      <c r="X4" s="140" t="s">
        <v>5</v>
      </c>
      <c r="Y4" s="140" t="s">
        <v>6</v>
      </c>
      <c r="Z4" s="140" t="s">
        <v>7</v>
      </c>
      <c r="AA4" s="140" t="s">
        <v>8</v>
      </c>
      <c r="AB4" s="139" t="s">
        <v>9</v>
      </c>
      <c r="AC4" s="139"/>
      <c r="AD4" s="139"/>
      <c r="AE4" s="139"/>
      <c r="AF4" s="139"/>
      <c r="AG4" s="139"/>
      <c r="AH4" s="139"/>
      <c r="AI4" s="139"/>
      <c r="AJ4" s="139"/>
      <c r="AK4" s="139"/>
      <c r="AL4" s="139"/>
      <c r="AM4" s="139"/>
      <c r="AN4" s="140" t="s">
        <v>10</v>
      </c>
      <c r="AO4" s="142" t="s">
        <v>11</v>
      </c>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t="s">
        <v>12</v>
      </c>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3"/>
    </row>
    <row r="5" spans="1:120" s="21" customFormat="1" ht="88.5" customHeight="1" x14ac:dyDescent="0.25">
      <c r="A5" s="3" t="s">
        <v>13</v>
      </c>
      <c r="B5" s="4" t="s">
        <v>14</v>
      </c>
      <c r="C5" s="4" t="s">
        <v>15</v>
      </c>
      <c r="D5" s="4" t="s">
        <v>16</v>
      </c>
      <c r="E5" s="5" t="s">
        <v>17</v>
      </c>
      <c r="F5" s="6" t="s">
        <v>18</v>
      </c>
      <c r="G5" s="6" t="s">
        <v>69</v>
      </c>
      <c r="H5" s="6" t="s">
        <v>19</v>
      </c>
      <c r="I5" s="6" t="s">
        <v>20</v>
      </c>
      <c r="J5" s="6" t="s">
        <v>21</v>
      </c>
      <c r="K5" s="6" t="s">
        <v>22</v>
      </c>
      <c r="L5" s="6" t="s">
        <v>23</v>
      </c>
      <c r="M5" s="6" t="s">
        <v>70</v>
      </c>
      <c r="N5" s="7" t="s">
        <v>24</v>
      </c>
      <c r="O5" s="8" t="s">
        <v>71</v>
      </c>
      <c r="P5" s="9" t="s">
        <v>25</v>
      </c>
      <c r="Q5" s="9" t="s">
        <v>26</v>
      </c>
      <c r="R5" s="9" t="s">
        <v>27</v>
      </c>
      <c r="S5" s="9" t="s">
        <v>28</v>
      </c>
      <c r="T5" s="9" t="s">
        <v>29</v>
      </c>
      <c r="U5" s="9" t="s">
        <v>30</v>
      </c>
      <c r="V5" s="9" t="s">
        <v>31</v>
      </c>
      <c r="W5" s="9" t="s">
        <v>32</v>
      </c>
      <c r="X5" s="141"/>
      <c r="Y5" s="141"/>
      <c r="Z5" s="141"/>
      <c r="AA5" s="141"/>
      <c r="AB5" s="10" t="s">
        <v>33</v>
      </c>
      <c r="AC5" s="10" t="s">
        <v>34</v>
      </c>
      <c r="AD5" s="10" t="s">
        <v>35</v>
      </c>
      <c r="AE5" s="10" t="s">
        <v>36</v>
      </c>
      <c r="AF5" s="10" t="s">
        <v>37</v>
      </c>
      <c r="AG5" s="10" t="s">
        <v>38</v>
      </c>
      <c r="AH5" s="10" t="s">
        <v>39</v>
      </c>
      <c r="AI5" s="10" t="s">
        <v>40</v>
      </c>
      <c r="AJ5" s="10" t="s">
        <v>41</v>
      </c>
      <c r="AK5" s="10" t="s">
        <v>42</v>
      </c>
      <c r="AL5" s="10" t="s">
        <v>43</v>
      </c>
      <c r="AM5" s="10" t="s">
        <v>44</v>
      </c>
      <c r="AN5" s="141"/>
      <c r="AO5" s="11" t="s">
        <v>45</v>
      </c>
      <c r="AP5" s="11" t="s">
        <v>46</v>
      </c>
      <c r="AQ5" s="6" t="s">
        <v>47</v>
      </c>
      <c r="AR5" s="6" t="s">
        <v>48</v>
      </c>
      <c r="AS5" s="6" t="s">
        <v>49</v>
      </c>
      <c r="AT5" s="6" t="s">
        <v>50</v>
      </c>
      <c r="AU5" s="11" t="s">
        <v>51</v>
      </c>
      <c r="AV5" s="11" t="s">
        <v>46</v>
      </c>
      <c r="AW5" s="6" t="s">
        <v>47</v>
      </c>
      <c r="AX5" s="6" t="s">
        <v>48</v>
      </c>
      <c r="AY5" s="6" t="s">
        <v>49</v>
      </c>
      <c r="AZ5" s="6" t="s">
        <v>50</v>
      </c>
      <c r="BA5" s="11" t="s">
        <v>52</v>
      </c>
      <c r="BB5" s="11" t="s">
        <v>46</v>
      </c>
      <c r="BC5" s="6" t="s">
        <v>47</v>
      </c>
      <c r="BD5" s="6" t="s">
        <v>48</v>
      </c>
      <c r="BE5" s="6" t="s">
        <v>49</v>
      </c>
      <c r="BF5" s="6" t="s">
        <v>50</v>
      </c>
      <c r="BG5" s="11" t="s">
        <v>53</v>
      </c>
      <c r="BH5" s="11" t="s">
        <v>46</v>
      </c>
      <c r="BI5" s="6" t="s">
        <v>47</v>
      </c>
      <c r="BJ5" s="6" t="s">
        <v>48</v>
      </c>
      <c r="BK5" s="6" t="s">
        <v>49</v>
      </c>
      <c r="BL5" s="6" t="s">
        <v>50</v>
      </c>
      <c r="BM5" s="11" t="s">
        <v>45</v>
      </c>
      <c r="BN5" s="11" t="s">
        <v>57</v>
      </c>
      <c r="BO5" s="6" t="s">
        <v>47</v>
      </c>
      <c r="BP5" s="6" t="s">
        <v>48</v>
      </c>
      <c r="BQ5" s="6" t="s">
        <v>49</v>
      </c>
      <c r="BR5" s="6" t="s">
        <v>50</v>
      </c>
      <c r="BS5" s="11" t="s">
        <v>51</v>
      </c>
      <c r="BT5" s="11" t="s">
        <v>57</v>
      </c>
      <c r="BU5" s="6" t="s">
        <v>47</v>
      </c>
      <c r="BV5" s="6" t="s">
        <v>48</v>
      </c>
      <c r="BW5" s="6" t="s">
        <v>49</v>
      </c>
      <c r="BX5" s="6" t="s">
        <v>50</v>
      </c>
      <c r="BY5" s="11" t="s">
        <v>52</v>
      </c>
      <c r="BZ5" s="11" t="s">
        <v>57</v>
      </c>
      <c r="CA5" s="6" t="s">
        <v>47</v>
      </c>
      <c r="CB5" s="6" t="s">
        <v>48</v>
      </c>
      <c r="CC5" s="6" t="s">
        <v>49</v>
      </c>
      <c r="CD5" s="6" t="s">
        <v>50</v>
      </c>
      <c r="CE5" s="11" t="s">
        <v>53</v>
      </c>
      <c r="CF5" s="11" t="s">
        <v>57</v>
      </c>
      <c r="CG5" s="11" t="s">
        <v>58</v>
      </c>
      <c r="CH5" s="6" t="s">
        <v>47</v>
      </c>
      <c r="CI5" s="6" t="s">
        <v>48</v>
      </c>
      <c r="CJ5" s="6" t="s">
        <v>49</v>
      </c>
      <c r="CK5" s="6" t="s">
        <v>50</v>
      </c>
      <c r="CL5" s="11" t="s">
        <v>54</v>
      </c>
      <c r="CM5" s="11" t="s">
        <v>55</v>
      </c>
      <c r="CN5" s="17" t="s">
        <v>56</v>
      </c>
      <c r="CO5" s="20"/>
    </row>
    <row r="6" spans="1:120" s="38" customFormat="1" ht="114" customHeight="1" x14ac:dyDescent="0.25">
      <c r="A6" s="115" t="s">
        <v>75</v>
      </c>
      <c r="B6" s="115" t="s">
        <v>76</v>
      </c>
      <c r="C6" s="115" t="s">
        <v>77</v>
      </c>
      <c r="D6" s="115" t="s">
        <v>488</v>
      </c>
      <c r="E6" s="115" t="s">
        <v>78</v>
      </c>
      <c r="F6" s="119" t="s">
        <v>79</v>
      </c>
      <c r="G6" s="111">
        <v>1</v>
      </c>
      <c r="H6" s="113" t="s">
        <v>80</v>
      </c>
      <c r="I6" s="113" t="s">
        <v>310</v>
      </c>
      <c r="J6" s="117" t="s">
        <v>97</v>
      </c>
      <c r="K6" s="33" t="s">
        <v>82</v>
      </c>
      <c r="L6" s="92" t="s">
        <v>244</v>
      </c>
      <c r="M6" s="118">
        <v>1</v>
      </c>
      <c r="N6" s="83" t="s">
        <v>242</v>
      </c>
      <c r="O6" s="82">
        <v>0.25</v>
      </c>
      <c r="P6" s="83" t="s">
        <v>83</v>
      </c>
      <c r="Q6" s="92" t="s">
        <v>84</v>
      </c>
      <c r="R6" s="92" t="s">
        <v>84</v>
      </c>
      <c r="S6" s="83" t="s">
        <v>81</v>
      </c>
      <c r="T6" s="92" t="s">
        <v>85</v>
      </c>
      <c r="U6" s="35" t="s">
        <v>86</v>
      </c>
      <c r="V6" s="82" t="s">
        <v>87</v>
      </c>
      <c r="W6" s="92" t="s">
        <v>88</v>
      </c>
      <c r="X6" s="92" t="s">
        <v>84</v>
      </c>
      <c r="Y6" s="92" t="s">
        <v>84</v>
      </c>
      <c r="Z6" s="92" t="s">
        <v>84</v>
      </c>
      <c r="AA6" s="36" t="s">
        <v>89</v>
      </c>
      <c r="AB6" s="36"/>
      <c r="AC6" s="36"/>
      <c r="AD6" s="72">
        <v>1</v>
      </c>
      <c r="AE6" s="36"/>
      <c r="AF6" s="36"/>
      <c r="AG6" s="72">
        <v>1</v>
      </c>
      <c r="AH6" s="36"/>
      <c r="AI6" s="36"/>
      <c r="AJ6" s="72">
        <v>1</v>
      </c>
      <c r="AK6" s="36"/>
      <c r="AL6" s="36"/>
      <c r="AM6" s="72">
        <v>1</v>
      </c>
      <c r="AN6" s="72">
        <v>1</v>
      </c>
      <c r="AO6" s="57">
        <f>32/39</f>
        <v>0.82051282051282048</v>
      </c>
      <c r="AP6" s="71">
        <v>1</v>
      </c>
      <c r="AQ6" s="79">
        <v>0.25</v>
      </c>
      <c r="AR6" s="79">
        <v>0.25</v>
      </c>
      <c r="AS6" s="79">
        <v>0.25</v>
      </c>
      <c r="AT6" s="79">
        <v>0.25</v>
      </c>
      <c r="AU6" s="79">
        <f>161/161</f>
        <v>1</v>
      </c>
      <c r="AV6" s="79">
        <f>AW6+AX6+AY6+AZ6</f>
        <v>1</v>
      </c>
      <c r="AW6" s="79">
        <v>0.25</v>
      </c>
      <c r="AX6" s="79">
        <v>0.25</v>
      </c>
      <c r="AY6" s="79">
        <v>0.25</v>
      </c>
      <c r="AZ6" s="79">
        <v>0.25</v>
      </c>
      <c r="BA6" s="67">
        <f>167/167</f>
        <v>1</v>
      </c>
      <c r="BB6" s="67">
        <f>BC6+BD6+BE6+BF6</f>
        <v>1</v>
      </c>
      <c r="BC6" s="74">
        <v>0.25</v>
      </c>
      <c r="BD6" s="74">
        <v>0.25</v>
      </c>
      <c r="BE6" s="74">
        <v>0.25</v>
      </c>
      <c r="BF6" s="74">
        <v>0.25</v>
      </c>
      <c r="BM6" s="57">
        <f>32/39</f>
        <v>0.82051282051282048</v>
      </c>
      <c r="BN6" s="71">
        <f>BO6+BP6+BQ6+BR6</f>
        <v>0.5</v>
      </c>
      <c r="BO6" s="71">
        <v>0</v>
      </c>
      <c r="BP6" s="71">
        <v>0</v>
      </c>
      <c r="BQ6" s="71">
        <v>0.25</v>
      </c>
      <c r="BR6" s="71">
        <v>0.25</v>
      </c>
      <c r="BS6" s="79">
        <f>161/161</f>
        <v>1</v>
      </c>
      <c r="BT6" s="79">
        <f>BU6+BV6+BW6+BX6</f>
        <v>1</v>
      </c>
      <c r="BU6" s="79">
        <v>0.25</v>
      </c>
      <c r="BV6" s="79">
        <v>0.25</v>
      </c>
      <c r="BW6" s="79">
        <v>0.25</v>
      </c>
      <c r="BX6" s="79">
        <v>0.25</v>
      </c>
      <c r="BY6" s="79">
        <f>167/167</f>
        <v>1</v>
      </c>
      <c r="BZ6" s="79">
        <f>CA6+CB6+CC6+CD6</f>
        <v>1</v>
      </c>
      <c r="CA6" s="71">
        <v>0.25</v>
      </c>
      <c r="CB6" s="71">
        <v>0.25</v>
      </c>
      <c r="CC6" s="71">
        <v>0.25</v>
      </c>
      <c r="CD6" s="71">
        <v>0.25</v>
      </c>
      <c r="CH6" s="37"/>
      <c r="CI6" s="37"/>
      <c r="CJ6" s="37"/>
      <c r="CK6" s="37"/>
      <c r="CL6" s="56">
        <f>(BM6+BS6+BY6)/3</f>
        <v>0.94017094017094005</v>
      </c>
      <c r="CM6" s="56">
        <f>CL6</f>
        <v>0.94017094017094005</v>
      </c>
      <c r="CN6" s="57">
        <v>0.17628205128205127</v>
      </c>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row>
    <row r="7" spans="1:120" s="40" customFormat="1" ht="48" customHeight="1" x14ac:dyDescent="0.25">
      <c r="A7" s="115"/>
      <c r="B7" s="115"/>
      <c r="C7" s="115"/>
      <c r="D7" s="115"/>
      <c r="E7" s="115"/>
      <c r="F7" s="119"/>
      <c r="G7" s="111"/>
      <c r="H7" s="113"/>
      <c r="I7" s="113"/>
      <c r="J7" s="117"/>
      <c r="K7" s="33" t="s">
        <v>82</v>
      </c>
      <c r="L7" s="92" t="s">
        <v>244</v>
      </c>
      <c r="M7" s="118"/>
      <c r="N7" s="83" t="s">
        <v>267</v>
      </c>
      <c r="O7" s="82">
        <v>0.25</v>
      </c>
      <c r="P7" s="83" t="s">
        <v>247</v>
      </c>
      <c r="Q7" s="92" t="s">
        <v>84</v>
      </c>
      <c r="R7" s="92" t="s">
        <v>84</v>
      </c>
      <c r="S7" s="83" t="s">
        <v>309</v>
      </c>
      <c r="T7" s="92" t="s">
        <v>100</v>
      </c>
      <c r="U7" s="83" t="s">
        <v>248</v>
      </c>
      <c r="V7" s="82" t="s">
        <v>25</v>
      </c>
      <c r="W7" s="92" t="s">
        <v>88</v>
      </c>
      <c r="X7" s="92" t="s">
        <v>84</v>
      </c>
      <c r="Y7" s="92" t="s">
        <v>84</v>
      </c>
      <c r="Z7" s="92" t="s">
        <v>84</v>
      </c>
      <c r="AA7" s="36" t="s">
        <v>109</v>
      </c>
      <c r="AB7" s="36"/>
      <c r="AC7" s="36"/>
      <c r="AD7" s="72"/>
      <c r="AE7" s="36"/>
      <c r="AF7" s="36"/>
      <c r="AG7" s="45">
        <v>1</v>
      </c>
      <c r="AH7" s="36"/>
      <c r="AI7" s="36"/>
      <c r="AJ7" s="45">
        <v>1</v>
      </c>
      <c r="AK7" s="36"/>
      <c r="AL7" s="36"/>
      <c r="AM7" s="45"/>
      <c r="AN7" s="45">
        <v>2</v>
      </c>
      <c r="AO7" s="62"/>
      <c r="AP7" s="79"/>
      <c r="AQ7" s="79"/>
      <c r="AR7" s="79"/>
      <c r="AS7" s="79"/>
      <c r="AT7" s="79"/>
      <c r="AU7" s="37">
        <v>1</v>
      </c>
      <c r="AV7" s="76">
        <v>1</v>
      </c>
      <c r="AW7" s="71">
        <v>0.25</v>
      </c>
      <c r="AX7" s="71">
        <v>0.25</v>
      </c>
      <c r="AY7" s="71">
        <v>0.25</v>
      </c>
      <c r="AZ7" s="71">
        <v>0.25</v>
      </c>
      <c r="BA7" s="169">
        <v>1</v>
      </c>
      <c r="BB7" s="170">
        <v>1</v>
      </c>
      <c r="BC7" s="170">
        <v>0.25</v>
      </c>
      <c r="BD7" s="170">
        <v>0.25</v>
      </c>
      <c r="BE7" s="170">
        <v>0.25</v>
      </c>
      <c r="BF7" s="170">
        <v>0.25</v>
      </c>
      <c r="BG7" s="37"/>
      <c r="BH7" s="71"/>
      <c r="BI7" s="38"/>
      <c r="BJ7" s="38"/>
      <c r="BK7" s="38"/>
      <c r="BL7" s="38"/>
      <c r="BM7" s="37"/>
      <c r="BN7" s="37"/>
      <c r="BO7" s="37"/>
      <c r="BP7" s="37"/>
      <c r="BQ7" s="37"/>
      <c r="BR7" s="37"/>
      <c r="BS7" s="37">
        <v>1</v>
      </c>
      <c r="BT7" s="79">
        <f>BU7+BV7+BW7+BX7</f>
        <v>1</v>
      </c>
      <c r="BU7" s="76">
        <v>0.25</v>
      </c>
      <c r="BV7" s="76">
        <v>0.25</v>
      </c>
      <c r="BW7" s="76">
        <v>0.25</v>
      </c>
      <c r="BX7" s="76">
        <v>0.25</v>
      </c>
      <c r="BY7" s="37">
        <v>1</v>
      </c>
      <c r="BZ7" s="71">
        <v>0.75</v>
      </c>
      <c r="CA7" s="170">
        <v>0.25</v>
      </c>
      <c r="CB7" s="170">
        <v>0.25</v>
      </c>
      <c r="CC7" s="170">
        <v>0</v>
      </c>
      <c r="CD7" s="170">
        <v>0.25</v>
      </c>
      <c r="CE7" s="38"/>
      <c r="CF7" s="38"/>
      <c r="CG7" s="38"/>
      <c r="CH7" s="37"/>
      <c r="CI7" s="37"/>
      <c r="CJ7" s="37"/>
      <c r="CK7" s="37"/>
      <c r="CL7" s="171">
        <f>2/2</f>
        <v>1</v>
      </c>
      <c r="CM7" s="172">
        <f>CL7</f>
        <v>1</v>
      </c>
      <c r="CN7" s="178">
        <v>0.125</v>
      </c>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row>
    <row r="8" spans="1:120" s="40" customFormat="1" ht="54.75" customHeight="1" x14ac:dyDescent="0.25">
      <c r="A8" s="115"/>
      <c r="B8" s="115"/>
      <c r="C8" s="115"/>
      <c r="D8" s="115"/>
      <c r="E8" s="115"/>
      <c r="F8" s="119"/>
      <c r="G8" s="111"/>
      <c r="H8" s="113"/>
      <c r="I8" s="113"/>
      <c r="J8" s="117"/>
      <c r="K8" s="33" t="s">
        <v>243</v>
      </c>
      <c r="L8" s="92" t="s">
        <v>244</v>
      </c>
      <c r="M8" s="118"/>
      <c r="N8" s="83" t="s">
        <v>311</v>
      </c>
      <c r="O8" s="82">
        <v>0.25</v>
      </c>
      <c r="P8" s="83" t="s">
        <v>460</v>
      </c>
      <c r="Q8" s="92" t="s">
        <v>84</v>
      </c>
      <c r="R8" s="92" t="s">
        <v>84</v>
      </c>
      <c r="S8" s="83" t="s">
        <v>461</v>
      </c>
      <c r="T8" s="92" t="s">
        <v>85</v>
      </c>
      <c r="U8" s="35" t="s">
        <v>272</v>
      </c>
      <c r="V8" s="82" t="s">
        <v>87</v>
      </c>
      <c r="W8" s="92" t="s">
        <v>476</v>
      </c>
      <c r="X8" s="92" t="s">
        <v>84</v>
      </c>
      <c r="Y8" s="92" t="s">
        <v>84</v>
      </c>
      <c r="Z8" s="92" t="s">
        <v>84</v>
      </c>
      <c r="AA8" s="36" t="s">
        <v>89</v>
      </c>
      <c r="AB8" s="36"/>
      <c r="AC8" s="36"/>
      <c r="AD8" s="72">
        <v>1</v>
      </c>
      <c r="AE8" s="36"/>
      <c r="AF8" s="36"/>
      <c r="AG8" s="72">
        <v>1</v>
      </c>
      <c r="AH8" s="36"/>
      <c r="AI8" s="36"/>
      <c r="AJ8" s="72">
        <v>1</v>
      </c>
      <c r="AK8" s="36"/>
      <c r="AL8" s="36"/>
      <c r="AM8" s="72">
        <v>1</v>
      </c>
      <c r="AN8" s="72">
        <v>1</v>
      </c>
      <c r="AO8" s="37"/>
      <c r="AP8" s="37"/>
      <c r="AQ8" s="37"/>
      <c r="AR8" s="37"/>
      <c r="AS8" s="37"/>
      <c r="AT8" s="37"/>
      <c r="AU8" s="37"/>
      <c r="AV8" s="37"/>
      <c r="AW8" s="37"/>
      <c r="AX8" s="37"/>
      <c r="AY8" s="37"/>
      <c r="AZ8" s="37"/>
      <c r="BA8" s="76">
        <v>1</v>
      </c>
      <c r="BB8" s="76">
        <v>1</v>
      </c>
      <c r="BC8" s="76">
        <v>0.25</v>
      </c>
      <c r="BD8" s="76">
        <v>0.25</v>
      </c>
      <c r="BE8" s="76">
        <v>0.25</v>
      </c>
      <c r="BF8" s="76">
        <v>0.25</v>
      </c>
      <c r="BG8" s="38"/>
      <c r="BH8" s="38"/>
      <c r="BI8" s="38"/>
      <c r="BJ8" s="38"/>
      <c r="BK8" s="38"/>
      <c r="BL8" s="38"/>
      <c r="BM8" s="37"/>
      <c r="BN8" s="37"/>
      <c r="BO8" s="37"/>
      <c r="BP8" s="37"/>
      <c r="BQ8" s="37"/>
      <c r="BR8" s="37"/>
      <c r="BS8" s="37"/>
      <c r="BT8" s="37"/>
      <c r="BU8" s="37"/>
      <c r="BV8" s="37"/>
      <c r="BW8" s="37"/>
      <c r="BX8" s="37"/>
      <c r="BY8" s="79">
        <f>10/10</f>
        <v>1</v>
      </c>
      <c r="BZ8" s="79">
        <f>CA8+CB8+CC8+CD8</f>
        <v>0.75</v>
      </c>
      <c r="CA8" s="76">
        <v>0</v>
      </c>
      <c r="CB8" s="76">
        <v>0.25</v>
      </c>
      <c r="CC8" s="76">
        <v>0.25</v>
      </c>
      <c r="CD8" s="76">
        <v>0.25</v>
      </c>
      <c r="CE8" s="38"/>
      <c r="CF8" s="38"/>
      <c r="CG8" s="38"/>
      <c r="CH8" s="37"/>
      <c r="CI8" s="37"/>
      <c r="CJ8" s="37"/>
      <c r="CK8" s="37"/>
      <c r="CL8" s="71">
        <f>BY8</f>
        <v>1</v>
      </c>
      <c r="CM8" s="79">
        <f>CL8/2</f>
        <v>0.5</v>
      </c>
      <c r="CN8" s="57">
        <v>0.1875</v>
      </c>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row>
    <row r="9" spans="1:120" s="40" customFormat="1" ht="36.75" customHeight="1" x14ac:dyDescent="0.25">
      <c r="A9" s="115"/>
      <c r="B9" s="115"/>
      <c r="C9" s="115"/>
      <c r="D9" s="115"/>
      <c r="E9" s="115"/>
      <c r="F9" s="119"/>
      <c r="G9" s="111"/>
      <c r="H9" s="113"/>
      <c r="I9" s="113"/>
      <c r="J9" s="117"/>
      <c r="K9" s="33" t="s">
        <v>82</v>
      </c>
      <c r="L9" s="92" t="s">
        <v>244</v>
      </c>
      <c r="M9" s="118"/>
      <c r="N9" s="83" t="s">
        <v>268</v>
      </c>
      <c r="O9" s="82">
        <v>0.25</v>
      </c>
      <c r="P9" s="83" t="s">
        <v>312</v>
      </c>
      <c r="Q9" s="92" t="s">
        <v>84</v>
      </c>
      <c r="R9" s="92" t="s">
        <v>84</v>
      </c>
      <c r="S9" s="83" t="s">
        <v>313</v>
      </c>
      <c r="T9" s="92" t="s">
        <v>100</v>
      </c>
      <c r="U9" s="35" t="s">
        <v>486</v>
      </c>
      <c r="V9" s="82" t="s">
        <v>25</v>
      </c>
      <c r="W9" s="92" t="s">
        <v>88</v>
      </c>
      <c r="X9" s="92" t="s">
        <v>84</v>
      </c>
      <c r="Y9" s="92" t="s">
        <v>84</v>
      </c>
      <c r="Z9" s="92" t="s">
        <v>84</v>
      </c>
      <c r="AA9" s="36" t="s">
        <v>109</v>
      </c>
      <c r="AB9" s="36"/>
      <c r="AC9" s="36"/>
      <c r="AD9" s="72"/>
      <c r="AE9" s="36"/>
      <c r="AF9" s="36"/>
      <c r="AG9" s="45">
        <v>1</v>
      </c>
      <c r="AH9" s="45"/>
      <c r="AI9" s="45"/>
      <c r="AJ9" s="45">
        <v>1</v>
      </c>
      <c r="AK9" s="45"/>
      <c r="AL9" s="45"/>
      <c r="AM9" s="45"/>
      <c r="AN9" s="45">
        <v>2</v>
      </c>
      <c r="AO9" s="62"/>
      <c r="AP9" s="79"/>
      <c r="AQ9" s="79"/>
      <c r="AR9" s="79"/>
      <c r="AS9" s="79"/>
      <c r="AT9" s="79"/>
      <c r="AU9" s="37">
        <v>1</v>
      </c>
      <c r="AV9" s="76">
        <v>1</v>
      </c>
      <c r="AW9" s="71">
        <v>0.25</v>
      </c>
      <c r="AX9" s="71">
        <v>0.25</v>
      </c>
      <c r="AY9" s="71">
        <v>0.25</v>
      </c>
      <c r="AZ9" s="71">
        <v>0.25</v>
      </c>
      <c r="BA9" s="37">
        <v>1</v>
      </c>
      <c r="BB9" s="71">
        <v>1</v>
      </c>
      <c r="BC9" s="170">
        <v>0.25</v>
      </c>
      <c r="BD9" s="170">
        <v>0.25</v>
      </c>
      <c r="BE9" s="170">
        <v>0.25</v>
      </c>
      <c r="BF9" s="170">
        <v>0.25</v>
      </c>
      <c r="BG9" s="38"/>
      <c r="BH9" s="38"/>
      <c r="BI9" s="38"/>
      <c r="BJ9" s="38"/>
      <c r="BK9" s="38"/>
      <c r="BL9" s="38"/>
      <c r="BM9" s="37"/>
      <c r="BN9" s="37"/>
      <c r="BO9" s="37"/>
      <c r="BP9" s="37"/>
      <c r="BQ9" s="37"/>
      <c r="BR9" s="37"/>
      <c r="BS9" s="37">
        <v>1</v>
      </c>
      <c r="BT9" s="79">
        <f>BU9+BV9+BW9+BX9</f>
        <v>1</v>
      </c>
      <c r="BU9" s="76">
        <v>0.25</v>
      </c>
      <c r="BV9" s="76">
        <v>0.25</v>
      </c>
      <c r="BW9" s="76">
        <v>0.25</v>
      </c>
      <c r="BX9" s="76">
        <v>0.25</v>
      </c>
      <c r="BY9" s="37">
        <v>1</v>
      </c>
      <c r="BZ9" s="71">
        <v>0</v>
      </c>
      <c r="CA9" s="71">
        <v>0.25</v>
      </c>
      <c r="CB9" s="71">
        <v>0.25</v>
      </c>
      <c r="CC9" s="71">
        <v>0</v>
      </c>
      <c r="CD9" s="71">
        <v>0.25</v>
      </c>
      <c r="CE9" s="38"/>
      <c r="CF9" s="38"/>
      <c r="CG9" s="38"/>
      <c r="CH9" s="37"/>
      <c r="CI9" s="37"/>
      <c r="CJ9" s="37"/>
      <c r="CK9" s="37"/>
      <c r="CL9" s="171">
        <f>2/2</f>
        <v>1</v>
      </c>
      <c r="CM9" s="172">
        <f>CL9</f>
        <v>1</v>
      </c>
      <c r="CN9" s="178">
        <v>0.125</v>
      </c>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row>
    <row r="10" spans="1:120" s="41" customFormat="1" ht="54" customHeight="1" x14ac:dyDescent="0.25">
      <c r="A10" s="115"/>
      <c r="B10" s="115" t="s">
        <v>90</v>
      </c>
      <c r="C10" s="115" t="s">
        <v>91</v>
      </c>
      <c r="D10" s="115" t="s">
        <v>92</v>
      </c>
      <c r="E10" s="115" t="s">
        <v>93</v>
      </c>
      <c r="F10" s="119" t="s">
        <v>94</v>
      </c>
      <c r="G10" s="116">
        <v>0.14280000000000001</v>
      </c>
      <c r="H10" s="113" t="s">
        <v>95</v>
      </c>
      <c r="I10" s="113" t="s">
        <v>96</v>
      </c>
      <c r="J10" s="109" t="s">
        <v>97</v>
      </c>
      <c r="K10" s="92" t="s">
        <v>98</v>
      </c>
      <c r="L10" s="92" t="s">
        <v>244</v>
      </c>
      <c r="M10" s="111">
        <v>1</v>
      </c>
      <c r="N10" s="83" t="s">
        <v>343</v>
      </c>
      <c r="O10" s="90">
        <v>0.2</v>
      </c>
      <c r="P10" s="83" t="s">
        <v>245</v>
      </c>
      <c r="Q10" s="91" t="s">
        <v>84</v>
      </c>
      <c r="R10" s="91" t="s">
        <v>84</v>
      </c>
      <c r="S10" s="83" t="s">
        <v>99</v>
      </c>
      <c r="T10" s="92" t="s">
        <v>100</v>
      </c>
      <c r="U10" s="83" t="s">
        <v>99</v>
      </c>
      <c r="V10" s="92" t="s">
        <v>25</v>
      </c>
      <c r="W10" s="92" t="s">
        <v>101</v>
      </c>
      <c r="X10" s="92" t="s">
        <v>84</v>
      </c>
      <c r="Y10" s="92" t="s">
        <v>84</v>
      </c>
      <c r="Z10" s="92" t="s">
        <v>84</v>
      </c>
      <c r="AA10" s="36" t="s">
        <v>102</v>
      </c>
      <c r="AB10" s="36">
        <v>1</v>
      </c>
      <c r="AC10" s="36">
        <v>1</v>
      </c>
      <c r="AD10" s="36">
        <v>1</v>
      </c>
      <c r="AE10" s="36">
        <v>1</v>
      </c>
      <c r="AF10" s="36">
        <v>1</v>
      </c>
      <c r="AG10" s="36">
        <v>1</v>
      </c>
      <c r="AH10" s="36">
        <v>1</v>
      </c>
      <c r="AI10" s="36">
        <v>1</v>
      </c>
      <c r="AJ10" s="36">
        <v>1</v>
      </c>
      <c r="AK10" s="36">
        <v>1</v>
      </c>
      <c r="AL10" s="36">
        <v>1</v>
      </c>
      <c r="AM10" s="36">
        <v>1</v>
      </c>
      <c r="AN10" s="49">
        <v>12</v>
      </c>
      <c r="AO10" s="93">
        <f>1+1+1</f>
        <v>3</v>
      </c>
      <c r="AP10" s="76">
        <f>(AQ10+AR10+AS10+AT10)/3</f>
        <v>1</v>
      </c>
      <c r="AQ10" s="76">
        <f>25%+25%+25%</f>
        <v>0.75</v>
      </c>
      <c r="AR10" s="76">
        <f>25%+25%+25%</f>
        <v>0.75</v>
      </c>
      <c r="AS10" s="76">
        <f>25%+25%+25%</f>
        <v>0.75</v>
      </c>
      <c r="AT10" s="76">
        <f>25%+25%+25%</f>
        <v>0.75</v>
      </c>
      <c r="AU10" s="93">
        <f>1+1+1</f>
        <v>3</v>
      </c>
      <c r="AV10" s="76">
        <f>AW10+AX10+AY10+AZ10</f>
        <v>1</v>
      </c>
      <c r="AW10" s="76">
        <f>(25%+25%+25%)/3</f>
        <v>0.25</v>
      </c>
      <c r="AX10" s="76">
        <f t="shared" ref="AX10:AZ10" si="0">(25%+25%+25%)/3</f>
        <v>0.25</v>
      </c>
      <c r="AY10" s="76">
        <f t="shared" si="0"/>
        <v>0.25</v>
      </c>
      <c r="AZ10" s="76">
        <f t="shared" si="0"/>
        <v>0.25</v>
      </c>
      <c r="BA10" s="93">
        <f>1+1+1</f>
        <v>3</v>
      </c>
      <c r="BB10" s="76">
        <v>1</v>
      </c>
      <c r="BC10" s="79">
        <f>(25%+25%+25%)/3</f>
        <v>0.25</v>
      </c>
      <c r="BD10" s="79">
        <f t="shared" ref="BD10:BF10" si="1">(25%+25%+25%)/3</f>
        <v>0.25</v>
      </c>
      <c r="BE10" s="79">
        <f t="shared" si="1"/>
        <v>0.25</v>
      </c>
      <c r="BF10" s="79">
        <f t="shared" si="1"/>
        <v>0.25</v>
      </c>
      <c r="BG10" s="59"/>
      <c r="BH10" s="59"/>
      <c r="BI10" s="59"/>
      <c r="BJ10" s="59"/>
      <c r="BK10" s="59"/>
      <c r="BL10" s="59"/>
      <c r="BM10" s="81">
        <f>1+1+1</f>
        <v>3</v>
      </c>
      <c r="BN10" s="76">
        <f>(BO10+BP10+BQ10+BR10)/3</f>
        <v>1</v>
      </c>
      <c r="BO10" s="76">
        <f>25%+25%+25%</f>
        <v>0.75</v>
      </c>
      <c r="BP10" s="76">
        <f>25%+25%+25%</f>
        <v>0.75</v>
      </c>
      <c r="BQ10" s="76">
        <f>25%+25%+25%</f>
        <v>0.75</v>
      </c>
      <c r="BR10" s="76">
        <f>25%+25%+25%</f>
        <v>0.75</v>
      </c>
      <c r="BS10" s="81">
        <f>1+1+1</f>
        <v>3</v>
      </c>
      <c r="BT10" s="76">
        <f>BU10+BV10+BW10+BX10</f>
        <v>1</v>
      </c>
      <c r="BU10" s="76">
        <f>(25%+25%+25%)/3</f>
        <v>0.25</v>
      </c>
      <c r="BV10" s="76">
        <f>(25%+25%+25%)/3</f>
        <v>0.25</v>
      </c>
      <c r="BW10" s="76">
        <f>(25%+25%+25%)/3</f>
        <v>0.25</v>
      </c>
      <c r="BX10" s="76">
        <f>(25%+25%+25%)/3</f>
        <v>0.25</v>
      </c>
      <c r="BY10" s="81">
        <f>1+1+1</f>
        <v>3</v>
      </c>
      <c r="BZ10" s="75">
        <f>CA10+CB10+CC10+CD10</f>
        <v>1</v>
      </c>
      <c r="CA10" s="76">
        <f>(25%+25%+25%)/3</f>
        <v>0.25</v>
      </c>
      <c r="CB10" s="76">
        <f>(25%+25%+25%)/3</f>
        <v>0.25</v>
      </c>
      <c r="CC10" s="76">
        <f>(25%+25%+25%)/3</f>
        <v>0.25</v>
      </c>
      <c r="CD10" s="76">
        <f>(25%+25%+25%)/3</f>
        <v>0.25</v>
      </c>
      <c r="CE10" s="59"/>
      <c r="CF10" s="59"/>
      <c r="CG10" s="59"/>
      <c r="CH10" s="81"/>
      <c r="CI10" s="81"/>
      <c r="CJ10" s="81"/>
      <c r="CK10" s="81"/>
      <c r="CL10" s="76">
        <v>1</v>
      </c>
      <c r="CM10" s="76">
        <f>9/12</f>
        <v>0.75</v>
      </c>
      <c r="CN10" s="70">
        <v>0.15000000000000002</v>
      </c>
    </row>
    <row r="11" spans="1:120" s="41" customFormat="1" ht="69" customHeight="1" x14ac:dyDescent="0.25">
      <c r="A11" s="115"/>
      <c r="B11" s="115"/>
      <c r="C11" s="115"/>
      <c r="D11" s="115"/>
      <c r="E11" s="115"/>
      <c r="F11" s="119"/>
      <c r="G11" s="116"/>
      <c r="H11" s="113"/>
      <c r="I11" s="113"/>
      <c r="J11" s="109"/>
      <c r="K11" s="92" t="s">
        <v>98</v>
      </c>
      <c r="L11" s="92" t="s">
        <v>244</v>
      </c>
      <c r="M11" s="111"/>
      <c r="N11" s="83" t="s">
        <v>269</v>
      </c>
      <c r="O11" s="90">
        <v>0.2</v>
      </c>
      <c r="P11" s="83" t="s">
        <v>103</v>
      </c>
      <c r="Q11" s="92" t="s">
        <v>84</v>
      </c>
      <c r="R11" s="92" t="s">
        <v>84</v>
      </c>
      <c r="S11" s="83" t="s">
        <v>104</v>
      </c>
      <c r="T11" s="92" t="s">
        <v>85</v>
      </c>
      <c r="U11" s="83" t="s">
        <v>105</v>
      </c>
      <c r="V11" s="92" t="s">
        <v>87</v>
      </c>
      <c r="W11" s="92" t="s">
        <v>101</v>
      </c>
      <c r="X11" s="92" t="s">
        <v>84</v>
      </c>
      <c r="Y11" s="92" t="s">
        <v>84</v>
      </c>
      <c r="Z11" s="92" t="s">
        <v>84</v>
      </c>
      <c r="AA11" s="36" t="s">
        <v>89</v>
      </c>
      <c r="AB11" s="36"/>
      <c r="AC11" s="36"/>
      <c r="AD11" s="72">
        <v>1</v>
      </c>
      <c r="AE11" s="36"/>
      <c r="AF11" s="36"/>
      <c r="AG11" s="72">
        <v>1</v>
      </c>
      <c r="AH11" s="36"/>
      <c r="AI11" s="36"/>
      <c r="AJ11" s="72">
        <v>1</v>
      </c>
      <c r="AK11" s="36"/>
      <c r="AL11" s="36"/>
      <c r="AM11" s="72">
        <v>1</v>
      </c>
      <c r="AN11" s="72">
        <v>1</v>
      </c>
      <c r="AO11" s="93">
        <v>40</v>
      </c>
      <c r="AP11" s="76">
        <v>1</v>
      </c>
      <c r="AQ11" s="76">
        <v>0.25</v>
      </c>
      <c r="AR11" s="76">
        <v>0.25</v>
      </c>
      <c r="AS11" s="76">
        <v>0.25</v>
      </c>
      <c r="AT11" s="76">
        <v>0.25</v>
      </c>
      <c r="AU11" s="81">
        <v>40</v>
      </c>
      <c r="AV11" s="76">
        <v>1</v>
      </c>
      <c r="AW11" s="79">
        <v>0.25</v>
      </c>
      <c r="AX11" s="79">
        <v>0.25</v>
      </c>
      <c r="AY11" s="79">
        <v>0.25</v>
      </c>
      <c r="AZ11" s="79">
        <v>0.25</v>
      </c>
      <c r="BA11" s="75">
        <f>40/40</f>
        <v>1</v>
      </c>
      <c r="BB11" s="76">
        <v>1</v>
      </c>
      <c r="BC11" s="76">
        <v>0.25</v>
      </c>
      <c r="BD11" s="76">
        <v>0.25</v>
      </c>
      <c r="BE11" s="76">
        <v>0.25</v>
      </c>
      <c r="BF11" s="76">
        <v>0.25</v>
      </c>
      <c r="BG11" s="59"/>
      <c r="BH11" s="59"/>
      <c r="BI11" s="59"/>
      <c r="BJ11" s="59"/>
      <c r="BK11" s="59"/>
      <c r="BL11" s="59"/>
      <c r="BM11" s="81">
        <f>AO11</f>
        <v>40</v>
      </c>
      <c r="BN11" s="76">
        <f>BO11+BP11+BQ11+BR11</f>
        <v>1</v>
      </c>
      <c r="BO11" s="76">
        <v>0.25</v>
      </c>
      <c r="BP11" s="76">
        <v>0.25</v>
      </c>
      <c r="BQ11" s="76">
        <v>0.25</v>
      </c>
      <c r="BR11" s="76">
        <v>0.25</v>
      </c>
      <c r="BS11" s="81">
        <v>40</v>
      </c>
      <c r="BT11" s="76">
        <f>BU11+BV11+BW11+BX11</f>
        <v>1</v>
      </c>
      <c r="BU11" s="76">
        <v>0.25</v>
      </c>
      <c r="BV11" s="76">
        <v>0.25</v>
      </c>
      <c r="BW11" s="76">
        <v>0.25</v>
      </c>
      <c r="BX11" s="76">
        <v>0.25</v>
      </c>
      <c r="BY11" s="75">
        <f>40/40</f>
        <v>1</v>
      </c>
      <c r="BZ11" s="75">
        <f>CA11+CB11+CC11+CD11</f>
        <v>1</v>
      </c>
      <c r="CA11" s="76">
        <v>0.25</v>
      </c>
      <c r="CB11" s="76">
        <v>0.25</v>
      </c>
      <c r="CC11" s="76">
        <v>0.25</v>
      </c>
      <c r="CD11" s="76">
        <v>0.25</v>
      </c>
      <c r="CE11" s="59"/>
      <c r="CF11" s="59"/>
      <c r="CG11" s="59"/>
      <c r="CH11" s="81"/>
      <c r="CI11" s="81"/>
      <c r="CJ11" s="81"/>
      <c r="CK11" s="81"/>
      <c r="CL11" s="76">
        <v>1</v>
      </c>
      <c r="CM11" s="58">
        <f>120/158</f>
        <v>0.759493670886076</v>
      </c>
      <c r="CN11" s="70">
        <v>0.15000000000000002</v>
      </c>
    </row>
    <row r="12" spans="1:120" s="42" customFormat="1" ht="45" x14ac:dyDescent="0.25">
      <c r="A12" s="115"/>
      <c r="B12" s="115"/>
      <c r="C12" s="115"/>
      <c r="D12" s="115"/>
      <c r="E12" s="115"/>
      <c r="F12" s="119"/>
      <c r="G12" s="116"/>
      <c r="H12" s="113"/>
      <c r="I12" s="113"/>
      <c r="J12" s="109"/>
      <c r="K12" s="92" t="s">
        <v>106</v>
      </c>
      <c r="L12" s="92" t="s">
        <v>107</v>
      </c>
      <c r="M12" s="111"/>
      <c r="N12" s="83" t="s">
        <v>452</v>
      </c>
      <c r="O12" s="90">
        <v>0.2</v>
      </c>
      <c r="P12" s="83" t="s">
        <v>408</v>
      </c>
      <c r="Q12" s="92" t="s">
        <v>84</v>
      </c>
      <c r="R12" s="92" t="s">
        <v>84</v>
      </c>
      <c r="S12" s="83" t="s">
        <v>462</v>
      </c>
      <c r="T12" s="92" t="s">
        <v>100</v>
      </c>
      <c r="U12" s="83" t="s">
        <v>409</v>
      </c>
      <c r="V12" s="92" t="s">
        <v>25</v>
      </c>
      <c r="W12" s="92" t="s">
        <v>108</v>
      </c>
      <c r="X12" s="92" t="s">
        <v>84</v>
      </c>
      <c r="Y12" s="92" t="s">
        <v>84</v>
      </c>
      <c r="Z12" s="92" t="s">
        <v>84</v>
      </c>
      <c r="AA12" s="36" t="s">
        <v>109</v>
      </c>
      <c r="AB12" s="36"/>
      <c r="AC12" s="36"/>
      <c r="AD12" s="72"/>
      <c r="AE12" s="36"/>
      <c r="AF12" s="36"/>
      <c r="AG12" s="36">
        <v>1</v>
      </c>
      <c r="AH12" s="36"/>
      <c r="AI12" s="36"/>
      <c r="AJ12" s="72"/>
      <c r="AK12" s="36"/>
      <c r="AL12" s="36"/>
      <c r="AM12" s="36">
        <v>1</v>
      </c>
      <c r="AN12" s="36">
        <v>2</v>
      </c>
      <c r="AO12" s="81"/>
      <c r="AP12" s="81"/>
      <c r="AQ12" s="81"/>
      <c r="AR12" s="81"/>
      <c r="AS12" s="81"/>
      <c r="AT12" s="81"/>
      <c r="AU12" s="79">
        <f>1/1</f>
        <v>1</v>
      </c>
      <c r="AV12" s="76">
        <v>1</v>
      </c>
      <c r="AW12" s="76">
        <v>0.25</v>
      </c>
      <c r="AX12" s="76">
        <v>0.25</v>
      </c>
      <c r="AY12" s="76">
        <v>0.25</v>
      </c>
      <c r="AZ12" s="76">
        <v>0.25</v>
      </c>
      <c r="BA12" s="81"/>
      <c r="BB12" s="81"/>
      <c r="BC12" s="81"/>
      <c r="BD12" s="81"/>
      <c r="BE12" s="81"/>
      <c r="BF12" s="81"/>
      <c r="BG12" s="59"/>
      <c r="BH12" s="59"/>
      <c r="BI12" s="59"/>
      <c r="BJ12" s="59"/>
      <c r="BK12" s="59"/>
      <c r="BL12" s="59"/>
      <c r="BM12" s="81"/>
      <c r="BN12" s="81"/>
      <c r="BO12" s="81"/>
      <c r="BP12" s="81"/>
      <c r="BQ12" s="81"/>
      <c r="BR12" s="81"/>
      <c r="BS12" s="79">
        <f>1/1</f>
        <v>1</v>
      </c>
      <c r="BT12" s="79">
        <f>BU12+BV12+BW12+BX12</f>
        <v>1</v>
      </c>
      <c r="BU12" s="76">
        <v>0.25</v>
      </c>
      <c r="BV12" s="76">
        <v>0.25</v>
      </c>
      <c r="BW12" s="76">
        <v>0.25</v>
      </c>
      <c r="BX12" s="76">
        <v>0.25</v>
      </c>
      <c r="BY12" s="81"/>
      <c r="BZ12" s="81"/>
      <c r="CA12" s="81"/>
      <c r="CB12" s="81"/>
      <c r="CC12" s="81"/>
      <c r="CD12" s="81"/>
      <c r="CE12" s="59"/>
      <c r="CF12" s="59"/>
      <c r="CG12" s="59"/>
      <c r="CH12" s="81"/>
      <c r="CI12" s="81"/>
      <c r="CJ12" s="81"/>
      <c r="CK12" s="81"/>
      <c r="CL12" s="76">
        <v>1</v>
      </c>
      <c r="CM12" s="76">
        <f>CL12/2</f>
        <v>0.5</v>
      </c>
      <c r="CN12" s="70">
        <v>0.1</v>
      </c>
    </row>
    <row r="13" spans="1:120" s="41" customFormat="1" ht="80.25" customHeight="1" x14ac:dyDescent="0.25">
      <c r="A13" s="115"/>
      <c r="B13" s="115"/>
      <c r="C13" s="115"/>
      <c r="D13" s="115"/>
      <c r="E13" s="115"/>
      <c r="F13" s="119"/>
      <c r="G13" s="116"/>
      <c r="H13" s="113"/>
      <c r="I13" s="113"/>
      <c r="J13" s="109"/>
      <c r="K13" s="92" t="s">
        <v>98</v>
      </c>
      <c r="L13" s="92" t="s">
        <v>107</v>
      </c>
      <c r="M13" s="111"/>
      <c r="N13" s="83" t="s">
        <v>324</v>
      </c>
      <c r="O13" s="90">
        <v>0.2</v>
      </c>
      <c r="P13" s="83" t="s">
        <v>325</v>
      </c>
      <c r="Q13" s="92" t="s">
        <v>84</v>
      </c>
      <c r="R13" s="92" t="s">
        <v>84</v>
      </c>
      <c r="S13" s="83" t="s">
        <v>326</v>
      </c>
      <c r="T13" s="92" t="s">
        <v>85</v>
      </c>
      <c r="U13" s="83" t="s">
        <v>327</v>
      </c>
      <c r="V13" s="92" t="s">
        <v>87</v>
      </c>
      <c r="W13" s="92" t="s">
        <v>101</v>
      </c>
      <c r="X13" s="92" t="s">
        <v>84</v>
      </c>
      <c r="Y13" s="92" t="s">
        <v>84</v>
      </c>
      <c r="Z13" s="92" t="s">
        <v>84</v>
      </c>
      <c r="AA13" s="36" t="s">
        <v>89</v>
      </c>
      <c r="AB13" s="54"/>
      <c r="AC13" s="36"/>
      <c r="AD13" s="72">
        <v>1</v>
      </c>
      <c r="AE13" s="36"/>
      <c r="AF13" s="36"/>
      <c r="AG13" s="72">
        <v>1</v>
      </c>
      <c r="AH13" s="36"/>
      <c r="AI13" s="36"/>
      <c r="AJ13" s="72">
        <v>1</v>
      </c>
      <c r="AK13" s="36"/>
      <c r="AL13" s="36"/>
      <c r="AM13" s="72">
        <v>1</v>
      </c>
      <c r="AN13" s="72">
        <v>1</v>
      </c>
      <c r="AO13" s="43"/>
      <c r="AP13" s="43"/>
      <c r="AQ13" s="43"/>
      <c r="AR13" s="43"/>
      <c r="AS13" s="43"/>
      <c r="AT13" s="43"/>
      <c r="AU13" s="43"/>
      <c r="AV13" s="43"/>
      <c r="AW13" s="43"/>
      <c r="AX13" s="43"/>
      <c r="AY13" s="43"/>
      <c r="AZ13" s="43"/>
      <c r="BA13" s="77">
        <f>65/121</f>
        <v>0.53719008264462809</v>
      </c>
      <c r="BB13" s="76">
        <v>1</v>
      </c>
      <c r="BC13" s="76">
        <v>0.25</v>
      </c>
      <c r="BD13" s="76">
        <v>0.25</v>
      </c>
      <c r="BE13" s="76">
        <v>0.25</v>
      </c>
      <c r="BF13" s="76">
        <v>0.25</v>
      </c>
      <c r="BG13" s="44"/>
      <c r="BH13" s="44"/>
      <c r="BI13" s="44"/>
      <c r="BJ13" s="44"/>
      <c r="BK13" s="44"/>
      <c r="BL13" s="44"/>
      <c r="BM13" s="43"/>
      <c r="BN13" s="43"/>
      <c r="BO13" s="43"/>
      <c r="BP13" s="43"/>
      <c r="BQ13" s="43"/>
      <c r="BR13" s="43"/>
      <c r="BS13" s="43"/>
      <c r="BT13" s="43"/>
      <c r="BU13" s="43"/>
      <c r="BV13" s="43"/>
      <c r="BW13" s="43"/>
      <c r="BX13" s="43"/>
      <c r="BY13" s="77">
        <f>65/121</f>
        <v>0.53719008264462809</v>
      </c>
      <c r="BZ13" s="75">
        <f>CA13+CB13+CC13+CD13</f>
        <v>1</v>
      </c>
      <c r="CA13" s="76">
        <v>0.25</v>
      </c>
      <c r="CB13" s="76">
        <v>0.25</v>
      </c>
      <c r="CC13" s="76">
        <v>0.25</v>
      </c>
      <c r="CD13" s="76">
        <v>0.25</v>
      </c>
      <c r="CE13" s="44"/>
      <c r="CF13" s="44"/>
      <c r="CG13" s="44"/>
      <c r="CH13" s="43"/>
      <c r="CI13" s="43"/>
      <c r="CJ13" s="43"/>
      <c r="CK13" s="43"/>
      <c r="CL13" s="173">
        <f>BY13</f>
        <v>0.53719008264462809</v>
      </c>
      <c r="CM13" s="173">
        <f>CL13</f>
        <v>0.53719008264462809</v>
      </c>
      <c r="CN13" s="95">
        <v>8.0578512396694224E-2</v>
      </c>
    </row>
    <row r="14" spans="1:120" s="41" customFormat="1" ht="62.25" customHeight="1" x14ac:dyDescent="0.25">
      <c r="A14" s="115"/>
      <c r="B14" s="115"/>
      <c r="C14" s="115"/>
      <c r="D14" s="115"/>
      <c r="E14" s="115"/>
      <c r="F14" s="119"/>
      <c r="G14" s="116"/>
      <c r="H14" s="113"/>
      <c r="I14" s="113"/>
      <c r="J14" s="109"/>
      <c r="K14" s="92" t="s">
        <v>106</v>
      </c>
      <c r="L14" s="92" t="s">
        <v>107</v>
      </c>
      <c r="M14" s="111"/>
      <c r="N14" s="83" t="s">
        <v>328</v>
      </c>
      <c r="O14" s="90">
        <v>0.2</v>
      </c>
      <c r="P14" s="83" t="s">
        <v>329</v>
      </c>
      <c r="Q14" s="92" t="s">
        <v>84</v>
      </c>
      <c r="R14" s="92" t="s">
        <v>84</v>
      </c>
      <c r="S14" s="85" t="s">
        <v>330</v>
      </c>
      <c r="T14" s="92" t="s">
        <v>85</v>
      </c>
      <c r="U14" s="83" t="s">
        <v>463</v>
      </c>
      <c r="V14" s="92" t="s">
        <v>87</v>
      </c>
      <c r="W14" s="92" t="s">
        <v>108</v>
      </c>
      <c r="X14" s="92" t="s">
        <v>84</v>
      </c>
      <c r="Y14" s="92" t="s">
        <v>84</v>
      </c>
      <c r="Z14" s="92" t="s">
        <v>84</v>
      </c>
      <c r="AA14" s="36" t="s">
        <v>89</v>
      </c>
      <c r="AB14" s="36"/>
      <c r="AC14" s="36"/>
      <c r="AD14" s="72">
        <v>1</v>
      </c>
      <c r="AE14" s="36"/>
      <c r="AF14" s="36"/>
      <c r="AG14" s="72">
        <v>1</v>
      </c>
      <c r="AH14" s="36"/>
      <c r="AI14" s="36"/>
      <c r="AJ14" s="72">
        <v>1</v>
      </c>
      <c r="AK14" s="36"/>
      <c r="AL14" s="36"/>
      <c r="AM14" s="72">
        <v>1</v>
      </c>
      <c r="AN14" s="72">
        <v>1</v>
      </c>
      <c r="AO14" s="36"/>
      <c r="AP14" s="36"/>
      <c r="AQ14" s="36"/>
      <c r="AR14" s="36"/>
      <c r="AS14" s="36"/>
      <c r="AT14" s="36"/>
      <c r="AU14" s="36"/>
      <c r="AV14" s="36"/>
      <c r="AW14" s="36"/>
      <c r="AX14" s="36"/>
      <c r="AY14" s="36"/>
      <c r="AZ14" s="36"/>
      <c r="BA14" s="76">
        <v>1</v>
      </c>
      <c r="BB14" s="76">
        <v>1</v>
      </c>
      <c r="BC14" s="76">
        <v>0.25</v>
      </c>
      <c r="BD14" s="76">
        <v>0.25</v>
      </c>
      <c r="BE14" s="76">
        <v>0.25</v>
      </c>
      <c r="BF14" s="76">
        <v>0.25</v>
      </c>
      <c r="BG14" s="87"/>
      <c r="BH14" s="87"/>
      <c r="BI14" s="87"/>
      <c r="BJ14" s="87"/>
      <c r="BK14" s="87"/>
      <c r="BL14" s="87"/>
      <c r="BM14" s="36"/>
      <c r="BN14" s="36"/>
      <c r="BO14" s="36"/>
      <c r="BP14" s="36"/>
      <c r="BQ14" s="36"/>
      <c r="BR14" s="36"/>
      <c r="BS14" s="36"/>
      <c r="BT14" s="36"/>
      <c r="BU14" s="36"/>
      <c r="BV14" s="36"/>
      <c r="BW14" s="36"/>
      <c r="BX14" s="36"/>
      <c r="BY14" s="73">
        <f>2/2</f>
        <v>1</v>
      </c>
      <c r="BZ14" s="73">
        <f>CA14+CB14+CC14+CD14</f>
        <v>0.75</v>
      </c>
      <c r="CA14" s="76">
        <v>0</v>
      </c>
      <c r="CB14" s="76">
        <v>0.25</v>
      </c>
      <c r="CC14" s="76">
        <v>0.25</v>
      </c>
      <c r="CD14" s="76">
        <v>0.25</v>
      </c>
      <c r="CE14" s="87"/>
      <c r="CF14" s="87"/>
      <c r="CG14" s="87"/>
      <c r="CH14" s="36"/>
      <c r="CI14" s="36"/>
      <c r="CJ14" s="36"/>
      <c r="CK14" s="36"/>
      <c r="CL14" s="72">
        <f>BY14</f>
        <v>1</v>
      </c>
      <c r="CM14" s="73">
        <f>CL14/2</f>
        <v>0.5</v>
      </c>
      <c r="CN14" s="78">
        <v>0.15000000000000002</v>
      </c>
      <c r="CO14" s="42"/>
    </row>
    <row r="15" spans="1:120" s="41" customFormat="1" ht="36.75" customHeight="1" x14ac:dyDescent="0.25">
      <c r="A15" s="115"/>
      <c r="B15" s="115"/>
      <c r="C15" s="115"/>
      <c r="D15" s="115"/>
      <c r="E15" s="115"/>
      <c r="F15" s="119"/>
      <c r="G15" s="116">
        <v>0.14280000000000001</v>
      </c>
      <c r="H15" s="113"/>
      <c r="I15" s="113" t="s">
        <v>297</v>
      </c>
      <c r="J15" s="110" t="s">
        <v>97</v>
      </c>
      <c r="K15" s="92" t="s">
        <v>230</v>
      </c>
      <c r="L15" s="92" t="s">
        <v>107</v>
      </c>
      <c r="M15" s="111">
        <v>1</v>
      </c>
      <c r="N15" s="83" t="s">
        <v>378</v>
      </c>
      <c r="O15" s="90">
        <v>0.2</v>
      </c>
      <c r="P15" s="83" t="s">
        <v>298</v>
      </c>
      <c r="Q15" s="92" t="s">
        <v>84</v>
      </c>
      <c r="R15" s="92" t="s">
        <v>84</v>
      </c>
      <c r="S15" s="83" t="s">
        <v>299</v>
      </c>
      <c r="T15" s="92" t="s">
        <v>100</v>
      </c>
      <c r="U15" s="83" t="s">
        <v>299</v>
      </c>
      <c r="V15" s="92" t="s">
        <v>25</v>
      </c>
      <c r="W15" s="92" t="s">
        <v>144</v>
      </c>
      <c r="X15" s="92" t="s">
        <v>84</v>
      </c>
      <c r="Y15" s="92" t="s">
        <v>84</v>
      </c>
      <c r="Z15" s="92" t="s">
        <v>84</v>
      </c>
      <c r="AA15" s="36" t="s">
        <v>110</v>
      </c>
      <c r="AB15" s="36"/>
      <c r="AC15" s="36"/>
      <c r="AD15" s="45">
        <v>1</v>
      </c>
      <c r="AE15" s="36"/>
      <c r="AF15" s="36"/>
      <c r="AG15" s="36"/>
      <c r="AH15" s="36"/>
      <c r="AI15" s="36"/>
      <c r="AJ15" s="72"/>
      <c r="AK15" s="36"/>
      <c r="AL15" s="36"/>
      <c r="AM15" s="36"/>
      <c r="AN15" s="45">
        <v>1</v>
      </c>
      <c r="AO15" s="37">
        <v>1</v>
      </c>
      <c r="AP15" s="79">
        <v>0.75</v>
      </c>
      <c r="AQ15" s="37">
        <v>25</v>
      </c>
      <c r="AR15" s="37">
        <v>25</v>
      </c>
      <c r="AS15" s="37">
        <v>0</v>
      </c>
      <c r="AT15" s="37">
        <v>25</v>
      </c>
      <c r="AU15" s="37"/>
      <c r="AV15" s="37"/>
      <c r="AW15" s="37"/>
      <c r="AX15" s="37"/>
      <c r="AY15" s="37"/>
      <c r="AZ15" s="37"/>
      <c r="BA15" s="81"/>
      <c r="BB15" s="76"/>
      <c r="BC15" s="81"/>
      <c r="BD15" s="81"/>
      <c r="BE15" s="81"/>
      <c r="BF15" s="81"/>
      <c r="BG15" s="38"/>
      <c r="BH15" s="38"/>
      <c r="BI15" s="38"/>
      <c r="BJ15" s="38"/>
      <c r="BK15" s="38"/>
      <c r="BL15" s="38"/>
      <c r="BM15" s="79">
        <f>1/1</f>
        <v>1</v>
      </c>
      <c r="BN15" s="71">
        <f>BO15+BP15+BQ15+BR15</f>
        <v>1</v>
      </c>
      <c r="BO15" s="71">
        <v>0.25</v>
      </c>
      <c r="BP15" s="71">
        <v>0.25</v>
      </c>
      <c r="BQ15" s="71">
        <v>0.25</v>
      </c>
      <c r="BR15" s="71">
        <v>0.25</v>
      </c>
      <c r="BS15" s="37"/>
      <c r="BT15" s="37"/>
      <c r="BU15" s="37"/>
      <c r="BV15" s="37"/>
      <c r="BW15" s="37"/>
      <c r="BX15" s="37"/>
      <c r="BY15" s="37"/>
      <c r="BZ15" s="37"/>
      <c r="CA15" s="37"/>
      <c r="CB15" s="37"/>
      <c r="CC15" s="37"/>
      <c r="CD15" s="37"/>
      <c r="CE15" s="38"/>
      <c r="CF15" s="38"/>
      <c r="CG15" s="38"/>
      <c r="CH15" s="37"/>
      <c r="CI15" s="37"/>
      <c r="CJ15" s="37"/>
      <c r="CK15" s="37"/>
      <c r="CL15" s="71">
        <v>1</v>
      </c>
      <c r="CM15" s="71">
        <f t="shared" ref="CM15" si="2">CL15</f>
        <v>1</v>
      </c>
      <c r="CN15" s="94">
        <v>0.2</v>
      </c>
    </row>
    <row r="16" spans="1:120" s="41" customFormat="1" ht="39.75" customHeight="1" x14ac:dyDescent="0.25">
      <c r="A16" s="115"/>
      <c r="B16" s="115"/>
      <c r="C16" s="115"/>
      <c r="D16" s="115"/>
      <c r="E16" s="115"/>
      <c r="F16" s="119"/>
      <c r="G16" s="116"/>
      <c r="H16" s="113"/>
      <c r="I16" s="113"/>
      <c r="J16" s="110"/>
      <c r="K16" s="92" t="s">
        <v>411</v>
      </c>
      <c r="L16" s="89" t="s">
        <v>107</v>
      </c>
      <c r="M16" s="111"/>
      <c r="N16" s="83" t="s">
        <v>344</v>
      </c>
      <c r="O16" s="90">
        <v>0.2</v>
      </c>
      <c r="P16" s="83" t="s">
        <v>293</v>
      </c>
      <c r="Q16" s="92" t="s">
        <v>84</v>
      </c>
      <c r="R16" s="92" t="s">
        <v>84</v>
      </c>
      <c r="S16" s="83" t="s">
        <v>294</v>
      </c>
      <c r="T16" s="92" t="s">
        <v>85</v>
      </c>
      <c r="U16" s="83" t="s">
        <v>295</v>
      </c>
      <c r="V16" s="92" t="s">
        <v>87</v>
      </c>
      <c r="W16" s="92" t="s">
        <v>476</v>
      </c>
      <c r="X16" s="92" t="s">
        <v>84</v>
      </c>
      <c r="Y16" s="92" t="s">
        <v>84</v>
      </c>
      <c r="Z16" s="92" t="s">
        <v>84</v>
      </c>
      <c r="AA16" s="36" t="s">
        <v>89</v>
      </c>
      <c r="AB16" s="36"/>
      <c r="AC16" s="36"/>
      <c r="AD16" s="72">
        <v>1</v>
      </c>
      <c r="AE16" s="36"/>
      <c r="AF16" s="36"/>
      <c r="AG16" s="72">
        <v>1</v>
      </c>
      <c r="AH16" s="36"/>
      <c r="AI16" s="36"/>
      <c r="AJ16" s="72">
        <v>1</v>
      </c>
      <c r="AK16" s="36"/>
      <c r="AL16" s="36"/>
      <c r="AM16" s="72">
        <v>1</v>
      </c>
      <c r="AN16" s="72">
        <v>1</v>
      </c>
      <c r="AO16" s="37"/>
      <c r="AP16" s="37"/>
      <c r="AQ16" s="37"/>
      <c r="AR16" s="37"/>
      <c r="AS16" s="37"/>
      <c r="AT16" s="37"/>
      <c r="AU16" s="37"/>
      <c r="AV16" s="37"/>
      <c r="AW16" s="37"/>
      <c r="AX16" s="37"/>
      <c r="AY16" s="37"/>
      <c r="AZ16" s="37"/>
      <c r="BA16" s="76">
        <v>1</v>
      </c>
      <c r="BB16" s="76">
        <v>1</v>
      </c>
      <c r="BC16" s="76">
        <v>0.25</v>
      </c>
      <c r="BD16" s="76">
        <v>0.25</v>
      </c>
      <c r="BE16" s="76">
        <v>0.25</v>
      </c>
      <c r="BF16" s="76">
        <v>0.25</v>
      </c>
      <c r="BG16" s="38"/>
      <c r="BH16" s="38"/>
      <c r="BI16" s="38"/>
      <c r="BJ16" s="38"/>
      <c r="BK16" s="38"/>
      <c r="BL16" s="38"/>
      <c r="BM16" s="37"/>
      <c r="BN16" s="37"/>
      <c r="BO16" s="37"/>
      <c r="BP16" s="37"/>
      <c r="BQ16" s="37"/>
      <c r="BR16" s="37"/>
      <c r="BS16" s="37"/>
      <c r="BT16" s="37"/>
      <c r="BU16" s="37"/>
      <c r="BV16" s="37"/>
      <c r="BW16" s="37"/>
      <c r="BX16" s="37"/>
      <c r="BY16" s="79">
        <f>246/246</f>
        <v>1</v>
      </c>
      <c r="BZ16" s="79">
        <f>CA16+CB16+CC16+CD16</f>
        <v>0.75</v>
      </c>
      <c r="CA16" s="76">
        <v>0</v>
      </c>
      <c r="CB16" s="76">
        <v>0.25</v>
      </c>
      <c r="CC16" s="76">
        <v>0.25</v>
      </c>
      <c r="CD16" s="76">
        <v>0.25</v>
      </c>
      <c r="CE16" s="38"/>
      <c r="CF16" s="38"/>
      <c r="CG16" s="38"/>
      <c r="CH16" s="37"/>
      <c r="CI16" s="37"/>
      <c r="CJ16" s="37"/>
      <c r="CK16" s="37"/>
      <c r="CL16" s="71">
        <f>BY16</f>
        <v>1</v>
      </c>
      <c r="CM16" s="79">
        <f>CL16/2</f>
        <v>0.5</v>
      </c>
      <c r="CN16" s="94">
        <v>0.15000000000000002</v>
      </c>
    </row>
    <row r="17" spans="1:94" s="41" customFormat="1" ht="45" x14ac:dyDescent="0.25">
      <c r="A17" s="115"/>
      <c r="B17" s="115"/>
      <c r="C17" s="115"/>
      <c r="D17" s="115"/>
      <c r="E17" s="115"/>
      <c r="F17" s="119"/>
      <c r="G17" s="116"/>
      <c r="H17" s="113"/>
      <c r="I17" s="113"/>
      <c r="J17" s="110"/>
      <c r="K17" s="92" t="s">
        <v>411</v>
      </c>
      <c r="L17" s="92" t="s">
        <v>244</v>
      </c>
      <c r="M17" s="111"/>
      <c r="N17" s="83" t="s">
        <v>345</v>
      </c>
      <c r="O17" s="90">
        <v>0.2</v>
      </c>
      <c r="P17" s="83" t="s">
        <v>249</v>
      </c>
      <c r="Q17" s="92" t="s">
        <v>84</v>
      </c>
      <c r="R17" s="92" t="s">
        <v>84</v>
      </c>
      <c r="S17" s="83" t="s">
        <v>296</v>
      </c>
      <c r="T17" s="92" t="s">
        <v>85</v>
      </c>
      <c r="U17" s="83" t="s">
        <v>480</v>
      </c>
      <c r="V17" s="92" t="s">
        <v>87</v>
      </c>
      <c r="W17" s="92" t="s">
        <v>476</v>
      </c>
      <c r="X17" s="92" t="s">
        <v>84</v>
      </c>
      <c r="Y17" s="92" t="s">
        <v>84</v>
      </c>
      <c r="Z17" s="92" t="s">
        <v>84</v>
      </c>
      <c r="AA17" s="36" t="s">
        <v>89</v>
      </c>
      <c r="AB17" s="36"/>
      <c r="AC17" s="36"/>
      <c r="AD17" s="72">
        <v>1</v>
      </c>
      <c r="AE17" s="36"/>
      <c r="AF17" s="36"/>
      <c r="AG17" s="72">
        <v>1</v>
      </c>
      <c r="AH17" s="36"/>
      <c r="AI17" s="36"/>
      <c r="AJ17" s="72">
        <v>1</v>
      </c>
      <c r="AK17" s="36"/>
      <c r="AL17" s="36"/>
      <c r="AM17" s="72">
        <v>1</v>
      </c>
      <c r="AN17" s="72">
        <v>1</v>
      </c>
      <c r="AO17" s="37"/>
      <c r="AP17" s="37"/>
      <c r="AQ17" s="37"/>
      <c r="AR17" s="37"/>
      <c r="AS17" s="37"/>
      <c r="AT17" s="37"/>
      <c r="AU17" s="37"/>
      <c r="AV17" s="37"/>
      <c r="AW17" s="37"/>
      <c r="AX17" s="37"/>
      <c r="AY17" s="37"/>
      <c r="AZ17" s="37"/>
      <c r="BA17" s="76">
        <v>1</v>
      </c>
      <c r="BB17" s="76">
        <v>1</v>
      </c>
      <c r="BC17" s="76">
        <v>0.25</v>
      </c>
      <c r="BD17" s="76">
        <v>0.25</v>
      </c>
      <c r="BE17" s="76">
        <v>0.25</v>
      </c>
      <c r="BF17" s="76">
        <v>0.25</v>
      </c>
      <c r="BG17" s="38"/>
      <c r="BH17" s="38"/>
      <c r="BI17" s="38"/>
      <c r="BJ17" s="38"/>
      <c r="BK17" s="38"/>
      <c r="BL17" s="38"/>
      <c r="BM17" s="37"/>
      <c r="BN17" s="37"/>
      <c r="BO17" s="37"/>
      <c r="BP17" s="37"/>
      <c r="BQ17" s="37"/>
      <c r="BR17" s="37"/>
      <c r="BS17" s="37"/>
      <c r="BT17" s="37"/>
      <c r="BU17" s="37"/>
      <c r="BV17" s="37"/>
      <c r="BW17" s="37"/>
      <c r="BX17" s="37"/>
      <c r="BY17" s="79">
        <f>9/9</f>
        <v>1</v>
      </c>
      <c r="BZ17" s="73">
        <f>CA17+CB17+CC17+CD17</f>
        <v>1</v>
      </c>
      <c r="CA17" s="76">
        <v>0.25</v>
      </c>
      <c r="CB17" s="76">
        <v>0.25</v>
      </c>
      <c r="CC17" s="76">
        <v>0.25</v>
      </c>
      <c r="CD17" s="76">
        <v>0.25</v>
      </c>
      <c r="CE17" s="38"/>
      <c r="CF17" s="38"/>
      <c r="CG17" s="38"/>
      <c r="CH17" s="37"/>
      <c r="CI17" s="37"/>
      <c r="CJ17" s="37"/>
      <c r="CK17" s="37"/>
      <c r="CL17" s="71">
        <f>BY17</f>
        <v>1</v>
      </c>
      <c r="CM17" s="79">
        <f>CL17/2</f>
        <v>0.5</v>
      </c>
      <c r="CN17" s="94">
        <v>0.15000000000000002</v>
      </c>
    </row>
    <row r="18" spans="1:94" s="41" customFormat="1" ht="66.75" customHeight="1" x14ac:dyDescent="0.25">
      <c r="A18" s="115"/>
      <c r="B18" s="115"/>
      <c r="C18" s="115"/>
      <c r="D18" s="115"/>
      <c r="E18" s="115"/>
      <c r="F18" s="119"/>
      <c r="G18" s="116"/>
      <c r="H18" s="113"/>
      <c r="I18" s="113"/>
      <c r="J18" s="110"/>
      <c r="K18" s="92" t="s">
        <v>411</v>
      </c>
      <c r="L18" s="89" t="s">
        <v>107</v>
      </c>
      <c r="M18" s="111"/>
      <c r="N18" s="83" t="s">
        <v>346</v>
      </c>
      <c r="O18" s="90">
        <v>0.2</v>
      </c>
      <c r="P18" s="83" t="s">
        <v>250</v>
      </c>
      <c r="Q18" s="92" t="s">
        <v>84</v>
      </c>
      <c r="R18" s="92" t="s">
        <v>84</v>
      </c>
      <c r="S18" s="83" t="s">
        <v>251</v>
      </c>
      <c r="T18" s="92" t="s">
        <v>100</v>
      </c>
      <c r="U18" s="83" t="s">
        <v>252</v>
      </c>
      <c r="V18" s="92" t="s">
        <v>25</v>
      </c>
      <c r="W18" s="92" t="s">
        <v>476</v>
      </c>
      <c r="X18" s="92" t="s">
        <v>84</v>
      </c>
      <c r="Y18" s="92" t="s">
        <v>84</v>
      </c>
      <c r="Z18" s="92" t="s">
        <v>84</v>
      </c>
      <c r="AA18" s="36" t="s">
        <v>110</v>
      </c>
      <c r="AB18" s="36"/>
      <c r="AC18" s="36"/>
      <c r="AD18" s="72"/>
      <c r="AE18" s="36"/>
      <c r="AF18" s="36"/>
      <c r="AG18" s="72"/>
      <c r="AH18" s="36"/>
      <c r="AI18" s="36"/>
      <c r="AJ18" s="72"/>
      <c r="AK18" s="36"/>
      <c r="AL18" s="36"/>
      <c r="AM18" s="45">
        <v>1</v>
      </c>
      <c r="AN18" s="45">
        <v>1</v>
      </c>
      <c r="AO18" s="43"/>
      <c r="AP18" s="43"/>
      <c r="AQ18" s="43"/>
      <c r="AR18" s="43"/>
      <c r="AS18" s="43"/>
      <c r="AT18" s="43"/>
      <c r="AU18" s="43"/>
      <c r="AV18" s="43"/>
      <c r="AW18" s="43"/>
      <c r="AX18" s="43"/>
      <c r="AY18" s="43"/>
      <c r="AZ18" s="43"/>
      <c r="BA18" s="81"/>
      <c r="BB18" s="76"/>
      <c r="BC18" s="81"/>
      <c r="BD18" s="81"/>
      <c r="BE18" s="81"/>
      <c r="BF18" s="81"/>
      <c r="BG18" s="44"/>
      <c r="BH18" s="44"/>
      <c r="BI18" s="44"/>
      <c r="BJ18" s="44"/>
      <c r="BK18" s="44"/>
      <c r="BL18" s="44"/>
      <c r="BM18" s="43"/>
      <c r="BN18" s="43"/>
      <c r="BO18" s="43"/>
      <c r="BP18" s="43"/>
      <c r="BQ18" s="43"/>
      <c r="BR18" s="43"/>
      <c r="BS18" s="43"/>
      <c r="BT18" s="43"/>
      <c r="BU18" s="43"/>
      <c r="BV18" s="43"/>
      <c r="BW18" s="43"/>
      <c r="BX18" s="43"/>
      <c r="BY18" s="43"/>
      <c r="BZ18" s="43"/>
      <c r="CA18" s="43"/>
      <c r="CB18" s="43"/>
      <c r="CC18" s="43"/>
      <c r="CD18" s="43"/>
      <c r="CE18" s="44"/>
      <c r="CF18" s="44"/>
      <c r="CG18" s="44"/>
      <c r="CH18" s="43"/>
      <c r="CI18" s="43"/>
      <c r="CJ18" s="43"/>
      <c r="CK18" s="43"/>
      <c r="CL18" s="44"/>
      <c r="CM18" s="44"/>
      <c r="CN18" s="97">
        <v>0</v>
      </c>
    </row>
    <row r="19" spans="1:94" s="41" customFormat="1" ht="103.5" customHeight="1" x14ac:dyDescent="0.25">
      <c r="A19" s="115"/>
      <c r="B19" s="115"/>
      <c r="C19" s="115"/>
      <c r="D19" s="115"/>
      <c r="E19" s="115"/>
      <c r="F19" s="119"/>
      <c r="G19" s="116"/>
      <c r="H19" s="113"/>
      <c r="I19" s="113"/>
      <c r="J19" s="110"/>
      <c r="K19" s="92" t="s">
        <v>411</v>
      </c>
      <c r="L19" s="92" t="s">
        <v>244</v>
      </c>
      <c r="M19" s="111"/>
      <c r="N19" s="83" t="s">
        <v>347</v>
      </c>
      <c r="O19" s="90">
        <v>0.2</v>
      </c>
      <c r="P19" s="83" t="s">
        <v>331</v>
      </c>
      <c r="Q19" s="92" t="s">
        <v>84</v>
      </c>
      <c r="R19" s="92" t="s">
        <v>84</v>
      </c>
      <c r="S19" s="83" t="s">
        <v>332</v>
      </c>
      <c r="T19" s="92" t="s">
        <v>85</v>
      </c>
      <c r="U19" s="85" t="s">
        <v>481</v>
      </c>
      <c r="V19" s="92" t="s">
        <v>87</v>
      </c>
      <c r="W19" s="92" t="s">
        <v>476</v>
      </c>
      <c r="X19" s="92" t="s">
        <v>84</v>
      </c>
      <c r="Y19" s="92" t="s">
        <v>84</v>
      </c>
      <c r="Z19" s="92" t="s">
        <v>84</v>
      </c>
      <c r="AA19" s="36" t="s">
        <v>89</v>
      </c>
      <c r="AB19" s="54"/>
      <c r="AC19" s="36"/>
      <c r="AD19" s="72">
        <v>1</v>
      </c>
      <c r="AE19" s="36"/>
      <c r="AF19" s="36"/>
      <c r="AG19" s="72">
        <v>1</v>
      </c>
      <c r="AH19" s="36"/>
      <c r="AI19" s="36"/>
      <c r="AJ19" s="72">
        <v>1</v>
      </c>
      <c r="AK19" s="36"/>
      <c r="AL19" s="36"/>
      <c r="AM19" s="72">
        <v>1</v>
      </c>
      <c r="AN19" s="72">
        <v>1</v>
      </c>
      <c r="AO19" s="36"/>
      <c r="AP19" s="36"/>
      <c r="AQ19" s="36"/>
      <c r="AR19" s="36"/>
      <c r="AS19" s="36"/>
      <c r="AT19" s="36"/>
      <c r="AU19" s="36"/>
      <c r="AV19" s="36"/>
      <c r="AW19" s="36"/>
      <c r="AX19" s="36"/>
      <c r="AY19" s="36"/>
      <c r="AZ19" s="36"/>
      <c r="BA19" s="76">
        <v>1</v>
      </c>
      <c r="BB19" s="76">
        <v>1</v>
      </c>
      <c r="BC19" s="76">
        <v>0.25</v>
      </c>
      <c r="BD19" s="76">
        <v>0.25</v>
      </c>
      <c r="BE19" s="76">
        <v>0.25</v>
      </c>
      <c r="BF19" s="76">
        <v>0.25</v>
      </c>
      <c r="BG19" s="87"/>
      <c r="BH19" s="87"/>
      <c r="BI19" s="87"/>
      <c r="BJ19" s="87"/>
      <c r="BK19" s="87"/>
      <c r="BL19" s="87"/>
      <c r="BM19" s="36"/>
      <c r="BN19" s="36"/>
      <c r="BO19" s="36"/>
      <c r="BP19" s="36"/>
      <c r="BQ19" s="36"/>
      <c r="BR19" s="36"/>
      <c r="BS19" s="36"/>
      <c r="BT19" s="36"/>
      <c r="BU19" s="36"/>
      <c r="BV19" s="36"/>
      <c r="BW19" s="36"/>
      <c r="BX19" s="36"/>
      <c r="BY19" s="73">
        <f>11911/11911</f>
        <v>1</v>
      </c>
      <c r="BZ19" s="73">
        <f>CA19+CB19+CC19+CD19</f>
        <v>1</v>
      </c>
      <c r="CA19" s="76">
        <v>0.25</v>
      </c>
      <c r="CB19" s="76">
        <v>0.25</v>
      </c>
      <c r="CC19" s="76">
        <v>0.25</v>
      </c>
      <c r="CD19" s="76">
        <v>0.25</v>
      </c>
      <c r="CE19" s="87"/>
      <c r="CF19" s="87"/>
      <c r="CG19" s="87"/>
      <c r="CH19" s="36"/>
      <c r="CI19" s="36"/>
      <c r="CJ19" s="36"/>
      <c r="CK19" s="36"/>
      <c r="CL19" s="71">
        <f>BY19</f>
        <v>1</v>
      </c>
      <c r="CM19" s="79">
        <f>CL19/2</f>
        <v>0.5</v>
      </c>
      <c r="CN19" s="78">
        <v>0.15000000000000002</v>
      </c>
      <c r="CO19" s="42"/>
    </row>
    <row r="20" spans="1:94" s="41" customFormat="1" ht="52.5" customHeight="1" x14ac:dyDescent="0.25">
      <c r="A20" s="115"/>
      <c r="B20" s="115"/>
      <c r="C20" s="115"/>
      <c r="D20" s="115"/>
      <c r="E20" s="115"/>
      <c r="F20" s="119"/>
      <c r="G20" s="116">
        <v>0.14280000000000001</v>
      </c>
      <c r="H20" s="113"/>
      <c r="I20" s="113" t="s">
        <v>319</v>
      </c>
      <c r="J20" s="110" t="s">
        <v>97</v>
      </c>
      <c r="K20" s="89" t="s">
        <v>412</v>
      </c>
      <c r="L20" s="89" t="s">
        <v>107</v>
      </c>
      <c r="M20" s="114">
        <v>1</v>
      </c>
      <c r="N20" s="83" t="s">
        <v>353</v>
      </c>
      <c r="O20" s="88">
        <v>0.33329999999999999</v>
      </c>
      <c r="P20" s="83" t="s">
        <v>253</v>
      </c>
      <c r="Q20" s="92" t="s">
        <v>84</v>
      </c>
      <c r="R20" s="92" t="s">
        <v>84</v>
      </c>
      <c r="S20" s="83" t="s">
        <v>254</v>
      </c>
      <c r="T20" s="92" t="s">
        <v>100</v>
      </c>
      <c r="U20" s="83" t="s">
        <v>255</v>
      </c>
      <c r="V20" s="92" t="s">
        <v>25</v>
      </c>
      <c r="W20" s="92" t="s">
        <v>476</v>
      </c>
      <c r="X20" s="92" t="s">
        <v>84</v>
      </c>
      <c r="Y20" s="92" t="s">
        <v>84</v>
      </c>
      <c r="Z20" s="92" t="s">
        <v>84</v>
      </c>
      <c r="AA20" s="36" t="s">
        <v>110</v>
      </c>
      <c r="AB20" s="36"/>
      <c r="AC20" s="36"/>
      <c r="AD20" s="72"/>
      <c r="AE20" s="36"/>
      <c r="AF20" s="36"/>
      <c r="AG20" s="72"/>
      <c r="AH20" s="36"/>
      <c r="AI20" s="36"/>
      <c r="AJ20" s="45">
        <v>1</v>
      </c>
      <c r="AK20" s="36"/>
      <c r="AL20" s="36"/>
      <c r="AM20" s="87"/>
      <c r="AN20" s="45">
        <v>1</v>
      </c>
      <c r="AO20" s="37"/>
      <c r="AP20" s="37"/>
      <c r="AQ20" s="37"/>
      <c r="AR20" s="37"/>
      <c r="AS20" s="37"/>
      <c r="AT20" s="37"/>
      <c r="AU20" s="37"/>
      <c r="AV20" s="37"/>
      <c r="AW20" s="37"/>
      <c r="AX20" s="37"/>
      <c r="AY20" s="37"/>
      <c r="AZ20" s="37"/>
      <c r="BA20" s="81">
        <v>1</v>
      </c>
      <c r="BB20" s="76">
        <v>1</v>
      </c>
      <c r="BC20" s="76">
        <v>0.25</v>
      </c>
      <c r="BD20" s="76">
        <v>0.25</v>
      </c>
      <c r="BE20" s="76">
        <v>0.25</v>
      </c>
      <c r="BF20" s="76">
        <v>0.25</v>
      </c>
      <c r="BG20" s="38"/>
      <c r="BH20" s="38"/>
      <c r="BI20" s="38"/>
      <c r="BJ20" s="38"/>
      <c r="BK20" s="38"/>
      <c r="BL20" s="38"/>
      <c r="BM20" s="37"/>
      <c r="BN20" s="37"/>
      <c r="BO20" s="37"/>
      <c r="BP20" s="37"/>
      <c r="BQ20" s="37"/>
      <c r="BR20" s="37"/>
      <c r="BS20" s="37"/>
      <c r="BT20" s="37"/>
      <c r="BU20" s="37"/>
      <c r="BV20" s="37"/>
      <c r="BW20" s="37"/>
      <c r="BX20" s="37"/>
      <c r="BY20" s="37">
        <v>1</v>
      </c>
      <c r="BZ20" s="79">
        <f>CA20+CB20+CC20+CD20</f>
        <v>0.75</v>
      </c>
      <c r="CA20" s="76">
        <v>0.25</v>
      </c>
      <c r="CB20" s="76">
        <v>0.25</v>
      </c>
      <c r="CC20" s="76">
        <v>0</v>
      </c>
      <c r="CD20" s="76">
        <v>0.25</v>
      </c>
      <c r="CE20" s="38"/>
      <c r="CF20" s="38"/>
      <c r="CG20" s="38"/>
      <c r="CH20" s="37"/>
      <c r="CI20" s="37"/>
      <c r="CJ20" s="37"/>
      <c r="CK20" s="37"/>
      <c r="CL20" s="79">
        <f>100%</f>
        <v>1</v>
      </c>
      <c r="CM20" s="71">
        <f>CL20</f>
        <v>1</v>
      </c>
      <c r="CN20" s="57">
        <v>0.33329999999999999</v>
      </c>
    </row>
    <row r="21" spans="1:94" s="41" customFormat="1" ht="56.25" customHeight="1" x14ac:dyDescent="0.25">
      <c r="A21" s="115"/>
      <c r="B21" s="115"/>
      <c r="C21" s="115"/>
      <c r="D21" s="115"/>
      <c r="E21" s="115"/>
      <c r="F21" s="119"/>
      <c r="G21" s="116"/>
      <c r="H21" s="113"/>
      <c r="I21" s="113"/>
      <c r="J21" s="110"/>
      <c r="K21" s="92" t="s">
        <v>413</v>
      </c>
      <c r="L21" s="92" t="s">
        <v>244</v>
      </c>
      <c r="M21" s="114"/>
      <c r="N21" s="83" t="s">
        <v>379</v>
      </c>
      <c r="O21" s="88">
        <v>0.33329999999999999</v>
      </c>
      <c r="P21" s="83" t="s">
        <v>227</v>
      </c>
      <c r="Q21" s="92" t="s">
        <v>84</v>
      </c>
      <c r="R21" s="92" t="s">
        <v>84</v>
      </c>
      <c r="S21" s="83" t="s">
        <v>226</v>
      </c>
      <c r="T21" s="92" t="s">
        <v>85</v>
      </c>
      <c r="U21" s="83" t="s">
        <v>228</v>
      </c>
      <c r="V21" s="92" t="s">
        <v>87</v>
      </c>
      <c r="W21" s="92" t="s">
        <v>144</v>
      </c>
      <c r="X21" s="92" t="s">
        <v>84</v>
      </c>
      <c r="Y21" s="92" t="s">
        <v>84</v>
      </c>
      <c r="Z21" s="92" t="s">
        <v>84</v>
      </c>
      <c r="AA21" s="36" t="s">
        <v>89</v>
      </c>
      <c r="AB21" s="36"/>
      <c r="AC21" s="36"/>
      <c r="AD21" s="72">
        <v>1</v>
      </c>
      <c r="AE21" s="36"/>
      <c r="AF21" s="36"/>
      <c r="AG21" s="72">
        <v>1</v>
      </c>
      <c r="AH21" s="36"/>
      <c r="AI21" s="36"/>
      <c r="AJ21" s="72">
        <v>1</v>
      </c>
      <c r="AK21" s="36"/>
      <c r="AL21" s="36"/>
      <c r="AM21" s="72">
        <v>1</v>
      </c>
      <c r="AN21" s="72">
        <v>1</v>
      </c>
      <c r="AO21" s="79">
        <v>1</v>
      </c>
      <c r="AP21" s="79">
        <v>0.75</v>
      </c>
      <c r="AQ21" s="81">
        <v>25</v>
      </c>
      <c r="AR21" s="81">
        <v>25</v>
      </c>
      <c r="AS21" s="81">
        <v>0</v>
      </c>
      <c r="AT21" s="81">
        <v>25</v>
      </c>
      <c r="AU21" s="79">
        <f>17/17</f>
        <v>1</v>
      </c>
      <c r="AV21" s="76">
        <f>AW21+AX21+AY21+AZ21</f>
        <v>1</v>
      </c>
      <c r="AW21" s="79">
        <v>0.25</v>
      </c>
      <c r="AX21" s="79">
        <v>0.25</v>
      </c>
      <c r="AY21" s="79">
        <v>0.25</v>
      </c>
      <c r="AZ21" s="79">
        <v>0.25</v>
      </c>
      <c r="BA21" s="76">
        <v>1</v>
      </c>
      <c r="BB21" s="76">
        <v>1</v>
      </c>
      <c r="BC21" s="76">
        <v>0.25</v>
      </c>
      <c r="BD21" s="76">
        <v>0.25</v>
      </c>
      <c r="BE21" s="76">
        <v>0.25</v>
      </c>
      <c r="BF21" s="76">
        <v>0.25</v>
      </c>
      <c r="BG21" s="59"/>
      <c r="BH21" s="59"/>
      <c r="BI21" s="59"/>
      <c r="BJ21" s="59"/>
      <c r="BK21" s="59"/>
      <c r="BL21" s="59"/>
      <c r="BM21" s="79">
        <f>12/12</f>
        <v>1</v>
      </c>
      <c r="BN21" s="76">
        <f>BO21+BP21+BQ21+BR21</f>
        <v>0.5</v>
      </c>
      <c r="BO21" s="76">
        <v>0.25</v>
      </c>
      <c r="BP21" s="76">
        <v>0.25</v>
      </c>
      <c r="BQ21" s="76">
        <v>0</v>
      </c>
      <c r="BR21" s="76">
        <v>0</v>
      </c>
      <c r="BS21" s="79">
        <f>17/17</f>
        <v>1</v>
      </c>
      <c r="BT21" s="79">
        <f t="shared" ref="BT21" si="3">BU21+BV21+BW21+BX21</f>
        <v>1</v>
      </c>
      <c r="BU21" s="79">
        <v>0.25</v>
      </c>
      <c r="BV21" s="79">
        <v>0.25</v>
      </c>
      <c r="BW21" s="79">
        <v>0.25</v>
      </c>
      <c r="BX21" s="79">
        <v>0.25</v>
      </c>
      <c r="BY21" s="75">
        <f>22/22</f>
        <v>1</v>
      </c>
      <c r="BZ21" s="75">
        <f>CA21+CB21+CC21+CD21</f>
        <v>1</v>
      </c>
      <c r="CA21" s="76">
        <v>0.25</v>
      </c>
      <c r="CB21" s="76">
        <v>0.25</v>
      </c>
      <c r="CC21" s="76">
        <v>0.25</v>
      </c>
      <c r="CD21" s="76">
        <v>0.25</v>
      </c>
      <c r="CE21" s="59"/>
      <c r="CF21" s="59"/>
      <c r="CG21" s="59"/>
      <c r="CH21" s="81"/>
      <c r="CI21" s="81"/>
      <c r="CJ21" s="81"/>
      <c r="CK21" s="81"/>
      <c r="CL21" s="76">
        <f>(BM21+BS21+BY21)/3</f>
        <v>1</v>
      </c>
      <c r="CM21" s="76">
        <v>0.75</v>
      </c>
      <c r="CN21" s="77">
        <v>0.24990000000000001</v>
      </c>
    </row>
    <row r="22" spans="1:94" s="41" customFormat="1" ht="60" x14ac:dyDescent="0.25">
      <c r="A22" s="115"/>
      <c r="B22" s="115"/>
      <c r="C22" s="115"/>
      <c r="D22" s="115"/>
      <c r="E22" s="115"/>
      <c r="F22" s="119"/>
      <c r="G22" s="116"/>
      <c r="H22" s="113"/>
      <c r="I22" s="113"/>
      <c r="J22" s="110"/>
      <c r="K22" s="89" t="s">
        <v>412</v>
      </c>
      <c r="L22" s="91" t="s">
        <v>107</v>
      </c>
      <c r="M22" s="114"/>
      <c r="N22" s="83" t="s">
        <v>354</v>
      </c>
      <c r="O22" s="88">
        <v>0.33329999999999999</v>
      </c>
      <c r="P22" s="83" t="s">
        <v>258</v>
      </c>
      <c r="Q22" s="92" t="s">
        <v>84</v>
      </c>
      <c r="R22" s="92" t="s">
        <v>84</v>
      </c>
      <c r="S22" s="83" t="s">
        <v>256</v>
      </c>
      <c r="T22" s="92" t="s">
        <v>85</v>
      </c>
      <c r="U22" s="85" t="s">
        <v>257</v>
      </c>
      <c r="V22" s="92" t="s">
        <v>87</v>
      </c>
      <c r="W22" s="92" t="s">
        <v>476</v>
      </c>
      <c r="X22" s="92" t="s">
        <v>84</v>
      </c>
      <c r="Y22" s="92" t="s">
        <v>84</v>
      </c>
      <c r="Z22" s="92" t="s">
        <v>84</v>
      </c>
      <c r="AA22" s="36" t="s">
        <v>110</v>
      </c>
      <c r="AB22" s="36"/>
      <c r="AC22" s="36"/>
      <c r="AD22" s="72"/>
      <c r="AE22" s="36"/>
      <c r="AF22" s="36"/>
      <c r="AG22" s="72"/>
      <c r="AH22" s="36"/>
      <c r="AI22" s="36"/>
      <c r="AJ22" s="72"/>
      <c r="AK22" s="36"/>
      <c r="AL22" s="36"/>
      <c r="AM22" s="72">
        <v>1</v>
      </c>
      <c r="AN22" s="72">
        <v>1</v>
      </c>
      <c r="AO22" s="37"/>
      <c r="AP22" s="37"/>
      <c r="AQ22" s="37"/>
      <c r="AR22" s="37"/>
      <c r="AS22" s="37"/>
      <c r="AT22" s="37"/>
      <c r="AU22" s="37"/>
      <c r="AV22" s="37"/>
      <c r="AW22" s="37"/>
      <c r="AX22" s="37"/>
      <c r="AY22" s="37"/>
      <c r="AZ22" s="37"/>
      <c r="BA22" s="37"/>
      <c r="BB22" s="37"/>
      <c r="BC22" s="37"/>
      <c r="BD22" s="37"/>
      <c r="BE22" s="37"/>
      <c r="BF22" s="37"/>
      <c r="BG22" s="38"/>
      <c r="BH22" s="38"/>
      <c r="BI22" s="38"/>
      <c r="BJ22" s="38"/>
      <c r="BK22" s="38"/>
      <c r="BL22" s="38"/>
      <c r="BM22" s="37"/>
      <c r="BN22" s="37"/>
      <c r="BO22" s="37"/>
      <c r="BP22" s="37"/>
      <c r="BQ22" s="37"/>
      <c r="BR22" s="37"/>
      <c r="BS22" s="37"/>
      <c r="BT22" s="37"/>
      <c r="BU22" s="37"/>
      <c r="BV22" s="37"/>
      <c r="BW22" s="37"/>
      <c r="BX22" s="37"/>
      <c r="BY22" s="37"/>
      <c r="BZ22" s="37"/>
      <c r="CA22" s="37"/>
      <c r="CB22" s="37"/>
      <c r="CC22" s="37"/>
      <c r="CD22" s="37"/>
      <c r="CE22" s="38"/>
      <c r="CF22" s="38"/>
      <c r="CG22" s="38"/>
      <c r="CH22" s="37"/>
      <c r="CI22" s="37"/>
      <c r="CJ22" s="37"/>
      <c r="CK22" s="37"/>
      <c r="CL22" s="38"/>
      <c r="CM22" s="38"/>
      <c r="CN22" s="94">
        <v>0</v>
      </c>
    </row>
    <row r="23" spans="1:94" s="42" customFormat="1" ht="60" x14ac:dyDescent="0.25">
      <c r="A23" s="115"/>
      <c r="B23" s="115"/>
      <c r="C23" s="115"/>
      <c r="D23" s="115"/>
      <c r="E23" s="115"/>
      <c r="F23" s="119"/>
      <c r="G23" s="120">
        <v>0.14280000000000001</v>
      </c>
      <c r="H23" s="113"/>
      <c r="I23" s="113" t="s">
        <v>320</v>
      </c>
      <c r="J23" s="109" t="s">
        <v>97</v>
      </c>
      <c r="K23" s="92" t="s">
        <v>414</v>
      </c>
      <c r="L23" s="92" t="s">
        <v>107</v>
      </c>
      <c r="M23" s="111">
        <v>1</v>
      </c>
      <c r="N23" s="83" t="s">
        <v>355</v>
      </c>
      <c r="O23" s="88">
        <v>0.33329999999999999</v>
      </c>
      <c r="P23" s="83" t="s">
        <v>316</v>
      </c>
      <c r="Q23" s="92" t="s">
        <v>84</v>
      </c>
      <c r="R23" s="92" t="s">
        <v>84</v>
      </c>
      <c r="S23" s="83" t="s">
        <v>317</v>
      </c>
      <c r="T23" s="92" t="s">
        <v>85</v>
      </c>
      <c r="U23" s="85" t="s">
        <v>348</v>
      </c>
      <c r="V23" s="92" t="s">
        <v>87</v>
      </c>
      <c r="W23" s="92" t="s">
        <v>476</v>
      </c>
      <c r="X23" s="92" t="s">
        <v>84</v>
      </c>
      <c r="Y23" s="92" t="s">
        <v>84</v>
      </c>
      <c r="Z23" s="92" t="s">
        <v>84</v>
      </c>
      <c r="AA23" s="36" t="s">
        <v>89</v>
      </c>
      <c r="AB23" s="36"/>
      <c r="AC23" s="36"/>
      <c r="AD23" s="72">
        <v>1</v>
      </c>
      <c r="AE23" s="72"/>
      <c r="AF23" s="36"/>
      <c r="AG23" s="72">
        <v>1</v>
      </c>
      <c r="AH23" s="36"/>
      <c r="AI23" s="72"/>
      <c r="AJ23" s="72">
        <v>1</v>
      </c>
      <c r="AK23" s="36"/>
      <c r="AL23" s="36"/>
      <c r="AM23" s="72">
        <v>1</v>
      </c>
      <c r="AN23" s="72">
        <v>1</v>
      </c>
      <c r="AO23" s="36"/>
      <c r="AP23" s="36"/>
      <c r="AQ23" s="36"/>
      <c r="AR23" s="36"/>
      <c r="AS23" s="36"/>
      <c r="AT23" s="36"/>
      <c r="AU23" s="36"/>
      <c r="AV23" s="36"/>
      <c r="AW23" s="36"/>
      <c r="AX23" s="36"/>
      <c r="AY23" s="36"/>
      <c r="AZ23" s="36"/>
      <c r="BA23" s="76">
        <v>1</v>
      </c>
      <c r="BB23" s="76">
        <v>1</v>
      </c>
      <c r="BC23" s="76">
        <v>0.25</v>
      </c>
      <c r="BD23" s="76">
        <v>0.25</v>
      </c>
      <c r="BE23" s="76">
        <v>0.25</v>
      </c>
      <c r="BF23" s="76">
        <v>0.25</v>
      </c>
      <c r="BG23" s="87"/>
      <c r="BH23" s="87"/>
      <c r="BI23" s="87"/>
      <c r="BJ23" s="87"/>
      <c r="BK23" s="87"/>
      <c r="BL23" s="87"/>
      <c r="BM23" s="36"/>
      <c r="BN23" s="36"/>
      <c r="BO23" s="36"/>
      <c r="BP23" s="36"/>
      <c r="BQ23" s="36"/>
      <c r="BR23" s="36"/>
      <c r="BS23" s="36"/>
      <c r="BT23" s="36"/>
      <c r="BU23" s="36"/>
      <c r="BV23" s="36"/>
      <c r="BW23" s="36"/>
      <c r="BX23" s="36"/>
      <c r="BY23" s="73">
        <f>19/19</f>
        <v>1</v>
      </c>
      <c r="BZ23" s="73">
        <f t="shared" ref="BZ23:BZ29" si="4">CA23+CB23+CC23+CD23</f>
        <v>1</v>
      </c>
      <c r="CA23" s="76">
        <v>0.25</v>
      </c>
      <c r="CB23" s="76">
        <v>0.25</v>
      </c>
      <c r="CC23" s="76">
        <v>0.25</v>
      </c>
      <c r="CD23" s="76">
        <v>0.25</v>
      </c>
      <c r="CE23" s="87"/>
      <c r="CF23" s="87"/>
      <c r="CG23" s="87"/>
      <c r="CH23" s="36"/>
      <c r="CI23" s="36"/>
      <c r="CJ23" s="36"/>
      <c r="CK23" s="36"/>
      <c r="CL23" s="71">
        <f t="shared" ref="CL23:CL28" si="5">BY23</f>
        <v>1</v>
      </c>
      <c r="CM23" s="79">
        <f t="shared" ref="CM23:CM28" si="6">CL23/2</f>
        <v>0.5</v>
      </c>
      <c r="CN23" s="95">
        <v>0.24990000000000001</v>
      </c>
    </row>
    <row r="24" spans="1:94" s="42" customFormat="1" ht="36" customHeight="1" x14ac:dyDescent="0.25">
      <c r="A24" s="115"/>
      <c r="B24" s="115"/>
      <c r="C24" s="115"/>
      <c r="D24" s="115"/>
      <c r="E24" s="115"/>
      <c r="F24" s="119"/>
      <c r="G24" s="120"/>
      <c r="H24" s="113"/>
      <c r="I24" s="113"/>
      <c r="J24" s="109"/>
      <c r="K24" s="92" t="s">
        <v>414</v>
      </c>
      <c r="L24" s="92" t="s">
        <v>244</v>
      </c>
      <c r="M24" s="111"/>
      <c r="N24" s="83" t="s">
        <v>356</v>
      </c>
      <c r="O24" s="88">
        <v>0.33329999999999999</v>
      </c>
      <c r="P24" s="83" t="s">
        <v>314</v>
      </c>
      <c r="Q24" s="92" t="s">
        <v>84</v>
      </c>
      <c r="R24" s="92" t="s">
        <v>84</v>
      </c>
      <c r="S24" s="83" t="s">
        <v>349</v>
      </c>
      <c r="T24" s="92" t="s">
        <v>85</v>
      </c>
      <c r="U24" s="83" t="s">
        <v>315</v>
      </c>
      <c r="V24" s="92" t="s">
        <v>87</v>
      </c>
      <c r="W24" s="92" t="s">
        <v>476</v>
      </c>
      <c r="X24" s="92" t="s">
        <v>84</v>
      </c>
      <c r="Y24" s="92" t="s">
        <v>84</v>
      </c>
      <c r="Z24" s="92" t="s">
        <v>84</v>
      </c>
      <c r="AA24" s="36" t="s">
        <v>89</v>
      </c>
      <c r="AB24" s="36"/>
      <c r="AC24" s="36"/>
      <c r="AD24" s="72">
        <v>1</v>
      </c>
      <c r="AE24" s="72"/>
      <c r="AF24" s="72"/>
      <c r="AG24" s="72">
        <v>1</v>
      </c>
      <c r="AH24" s="72"/>
      <c r="AI24" s="72"/>
      <c r="AJ24" s="72">
        <v>1</v>
      </c>
      <c r="AK24" s="36"/>
      <c r="AL24" s="36"/>
      <c r="AM24" s="72">
        <v>1</v>
      </c>
      <c r="AN24" s="72">
        <v>1</v>
      </c>
      <c r="AO24" s="36"/>
      <c r="AP24" s="36"/>
      <c r="AQ24" s="36"/>
      <c r="AR24" s="36"/>
      <c r="AS24" s="36"/>
      <c r="AT24" s="36"/>
      <c r="AU24" s="36"/>
      <c r="AV24" s="36"/>
      <c r="AW24" s="36"/>
      <c r="AX24" s="36"/>
      <c r="AY24" s="36"/>
      <c r="AZ24" s="36"/>
      <c r="BA24" s="63">
        <v>1</v>
      </c>
      <c r="BB24" s="63">
        <v>1</v>
      </c>
      <c r="BC24" s="76">
        <v>0.25</v>
      </c>
      <c r="BD24" s="76">
        <v>0.25</v>
      </c>
      <c r="BE24" s="76">
        <v>0.25</v>
      </c>
      <c r="BF24" s="76">
        <v>0.25</v>
      </c>
      <c r="BG24" s="87"/>
      <c r="BH24" s="87"/>
      <c r="BI24" s="87"/>
      <c r="BJ24" s="87"/>
      <c r="BK24" s="87"/>
      <c r="BL24" s="87"/>
      <c r="BM24" s="36"/>
      <c r="BN24" s="36"/>
      <c r="BO24" s="36"/>
      <c r="BP24" s="36"/>
      <c r="BQ24" s="36"/>
      <c r="BR24" s="36"/>
      <c r="BS24" s="36"/>
      <c r="BT24" s="36"/>
      <c r="BU24" s="36"/>
      <c r="BV24" s="36"/>
      <c r="BW24" s="36"/>
      <c r="BX24" s="36"/>
      <c r="BY24" s="73">
        <f>384/384</f>
        <v>1</v>
      </c>
      <c r="BZ24" s="73">
        <f t="shared" si="4"/>
        <v>1</v>
      </c>
      <c r="CA24" s="76">
        <v>0.25</v>
      </c>
      <c r="CB24" s="76">
        <v>0.25</v>
      </c>
      <c r="CC24" s="76">
        <v>0.25</v>
      </c>
      <c r="CD24" s="76">
        <v>0.25</v>
      </c>
      <c r="CE24" s="87"/>
      <c r="CF24" s="87"/>
      <c r="CG24" s="87"/>
      <c r="CH24" s="36"/>
      <c r="CI24" s="36"/>
      <c r="CJ24" s="36"/>
      <c r="CK24" s="36"/>
      <c r="CL24" s="71">
        <f t="shared" si="5"/>
        <v>1</v>
      </c>
      <c r="CM24" s="79">
        <f t="shared" si="6"/>
        <v>0.5</v>
      </c>
      <c r="CN24" s="95">
        <v>0.24990000000000001</v>
      </c>
    </row>
    <row r="25" spans="1:94" s="42" customFormat="1" ht="42.75" customHeight="1" x14ac:dyDescent="0.25">
      <c r="A25" s="115"/>
      <c r="B25" s="115"/>
      <c r="C25" s="115"/>
      <c r="D25" s="115"/>
      <c r="E25" s="115"/>
      <c r="F25" s="119"/>
      <c r="G25" s="120"/>
      <c r="H25" s="113"/>
      <c r="I25" s="113"/>
      <c r="J25" s="109"/>
      <c r="K25" s="92" t="s">
        <v>414</v>
      </c>
      <c r="L25" s="92" t="s">
        <v>244</v>
      </c>
      <c r="M25" s="111"/>
      <c r="N25" s="83" t="s">
        <v>357</v>
      </c>
      <c r="O25" s="88">
        <v>0.33329999999999999</v>
      </c>
      <c r="P25" s="83" t="s">
        <v>259</v>
      </c>
      <c r="Q25" s="92" t="s">
        <v>84</v>
      </c>
      <c r="R25" s="92" t="s">
        <v>84</v>
      </c>
      <c r="S25" s="83" t="s">
        <v>273</v>
      </c>
      <c r="T25" s="92" t="s">
        <v>85</v>
      </c>
      <c r="U25" s="85" t="s">
        <v>274</v>
      </c>
      <c r="V25" s="92" t="s">
        <v>87</v>
      </c>
      <c r="W25" s="92" t="s">
        <v>476</v>
      </c>
      <c r="X25" s="92" t="s">
        <v>84</v>
      </c>
      <c r="Y25" s="92" t="s">
        <v>84</v>
      </c>
      <c r="Z25" s="92" t="s">
        <v>84</v>
      </c>
      <c r="AA25" s="36" t="s">
        <v>89</v>
      </c>
      <c r="AB25" s="36"/>
      <c r="AC25" s="36"/>
      <c r="AD25" s="72">
        <v>1</v>
      </c>
      <c r="AE25" s="36"/>
      <c r="AF25" s="36"/>
      <c r="AG25" s="72">
        <v>1</v>
      </c>
      <c r="AH25" s="36"/>
      <c r="AI25" s="36"/>
      <c r="AJ25" s="72">
        <v>1</v>
      </c>
      <c r="AK25" s="36"/>
      <c r="AL25" s="36"/>
      <c r="AM25" s="72">
        <v>1</v>
      </c>
      <c r="AN25" s="72">
        <v>1</v>
      </c>
      <c r="AO25" s="36"/>
      <c r="AP25" s="36"/>
      <c r="AQ25" s="36"/>
      <c r="AR25" s="36"/>
      <c r="AS25" s="36"/>
      <c r="AT25" s="36"/>
      <c r="AU25" s="36"/>
      <c r="AV25" s="36"/>
      <c r="AW25" s="36"/>
      <c r="AX25" s="36"/>
      <c r="AY25" s="36"/>
      <c r="AZ25" s="36"/>
      <c r="BA25" s="76">
        <v>1</v>
      </c>
      <c r="BB25" s="76">
        <v>1</v>
      </c>
      <c r="BC25" s="76">
        <v>0.25</v>
      </c>
      <c r="BD25" s="76">
        <v>0.25</v>
      </c>
      <c r="BE25" s="76">
        <v>0.25</v>
      </c>
      <c r="BF25" s="76">
        <v>0.25</v>
      </c>
      <c r="BG25" s="87"/>
      <c r="BH25" s="87"/>
      <c r="BI25" s="87"/>
      <c r="BJ25" s="87"/>
      <c r="BK25" s="87"/>
      <c r="BL25" s="87"/>
      <c r="BM25" s="36"/>
      <c r="BN25" s="36"/>
      <c r="BO25" s="36"/>
      <c r="BP25" s="36"/>
      <c r="BQ25" s="36"/>
      <c r="BR25" s="36"/>
      <c r="BS25" s="36"/>
      <c r="BT25" s="36"/>
      <c r="BU25" s="36"/>
      <c r="BV25" s="36"/>
      <c r="BW25" s="36"/>
      <c r="BX25" s="36"/>
      <c r="BY25" s="73">
        <f>7/7</f>
        <v>1</v>
      </c>
      <c r="BZ25" s="73">
        <f t="shared" si="4"/>
        <v>1</v>
      </c>
      <c r="CA25" s="72">
        <v>0.25</v>
      </c>
      <c r="CB25" s="72">
        <v>0.25</v>
      </c>
      <c r="CC25" s="72">
        <v>0.25</v>
      </c>
      <c r="CD25" s="72">
        <v>0.25</v>
      </c>
      <c r="CE25" s="87"/>
      <c r="CF25" s="87"/>
      <c r="CG25" s="87"/>
      <c r="CH25" s="36"/>
      <c r="CI25" s="36"/>
      <c r="CJ25" s="36"/>
      <c r="CK25" s="36"/>
      <c r="CL25" s="71">
        <f t="shared" si="5"/>
        <v>1</v>
      </c>
      <c r="CM25" s="79">
        <f t="shared" si="6"/>
        <v>0.5</v>
      </c>
      <c r="CN25" s="95">
        <v>0.24990000000000001</v>
      </c>
    </row>
    <row r="26" spans="1:94" s="41" customFormat="1" ht="54" customHeight="1" x14ac:dyDescent="0.25">
      <c r="A26" s="115"/>
      <c r="B26" s="115"/>
      <c r="C26" s="115"/>
      <c r="D26" s="115"/>
      <c r="E26" s="115"/>
      <c r="F26" s="119"/>
      <c r="G26" s="32">
        <v>0.14280000000000001</v>
      </c>
      <c r="H26" s="113"/>
      <c r="I26" s="83" t="s">
        <v>342</v>
      </c>
      <c r="J26" s="89" t="s">
        <v>97</v>
      </c>
      <c r="K26" s="89" t="s">
        <v>415</v>
      </c>
      <c r="L26" s="89" t="s">
        <v>244</v>
      </c>
      <c r="M26" s="86">
        <v>1</v>
      </c>
      <c r="N26" s="83" t="s">
        <v>358</v>
      </c>
      <c r="O26" s="82">
        <v>1</v>
      </c>
      <c r="P26" s="83" t="s">
        <v>285</v>
      </c>
      <c r="Q26" s="92" t="s">
        <v>84</v>
      </c>
      <c r="R26" s="92" t="s">
        <v>84</v>
      </c>
      <c r="S26" s="83" t="s">
        <v>286</v>
      </c>
      <c r="T26" s="92" t="s">
        <v>85</v>
      </c>
      <c r="U26" s="83" t="s">
        <v>482</v>
      </c>
      <c r="V26" s="92" t="s">
        <v>87</v>
      </c>
      <c r="W26" s="92" t="s">
        <v>476</v>
      </c>
      <c r="X26" s="92" t="s">
        <v>84</v>
      </c>
      <c r="Y26" s="92" t="s">
        <v>84</v>
      </c>
      <c r="Z26" s="92" t="s">
        <v>84</v>
      </c>
      <c r="AA26" s="36" t="s">
        <v>89</v>
      </c>
      <c r="AB26" s="36"/>
      <c r="AC26" s="36"/>
      <c r="AD26" s="72">
        <v>1</v>
      </c>
      <c r="AE26" s="72"/>
      <c r="AF26" s="36"/>
      <c r="AG26" s="72">
        <v>1</v>
      </c>
      <c r="AH26" s="36"/>
      <c r="AI26" s="72"/>
      <c r="AJ26" s="72">
        <v>1</v>
      </c>
      <c r="AK26" s="36"/>
      <c r="AL26" s="36"/>
      <c r="AM26" s="72">
        <v>1</v>
      </c>
      <c r="AN26" s="72">
        <v>1</v>
      </c>
      <c r="AO26" s="36"/>
      <c r="AP26" s="36"/>
      <c r="AQ26" s="36"/>
      <c r="AR26" s="36"/>
      <c r="AS26" s="36"/>
      <c r="AT26" s="36"/>
      <c r="AU26" s="36"/>
      <c r="AV26" s="36"/>
      <c r="AW26" s="36"/>
      <c r="AX26" s="36"/>
      <c r="AY26" s="36"/>
      <c r="AZ26" s="36"/>
      <c r="BA26" s="76">
        <v>1</v>
      </c>
      <c r="BB26" s="76">
        <v>1</v>
      </c>
      <c r="BC26" s="76">
        <v>0.25</v>
      </c>
      <c r="BD26" s="76">
        <v>0.25</v>
      </c>
      <c r="BE26" s="76">
        <v>0.25</v>
      </c>
      <c r="BF26" s="76">
        <v>0.25</v>
      </c>
      <c r="BG26" s="87"/>
      <c r="BH26" s="87"/>
      <c r="BI26" s="87"/>
      <c r="BJ26" s="87"/>
      <c r="BK26" s="87"/>
      <c r="BL26" s="87"/>
      <c r="BM26" s="36"/>
      <c r="BN26" s="36"/>
      <c r="BO26" s="36"/>
      <c r="BP26" s="36"/>
      <c r="BQ26" s="36"/>
      <c r="BR26" s="36"/>
      <c r="BS26" s="36"/>
      <c r="BT26" s="36"/>
      <c r="BU26" s="36"/>
      <c r="BV26" s="36"/>
      <c r="BW26" s="36"/>
      <c r="BX26" s="36"/>
      <c r="BY26" s="72">
        <v>1</v>
      </c>
      <c r="BZ26" s="73">
        <f t="shared" si="4"/>
        <v>1</v>
      </c>
      <c r="CA26" s="72">
        <v>0.25</v>
      </c>
      <c r="CB26" s="72">
        <v>0.25</v>
      </c>
      <c r="CC26" s="72">
        <v>0.25</v>
      </c>
      <c r="CD26" s="72">
        <v>0.25</v>
      </c>
      <c r="CE26" s="87"/>
      <c r="CF26" s="87"/>
      <c r="CG26" s="87"/>
      <c r="CH26" s="36"/>
      <c r="CI26" s="36"/>
      <c r="CJ26" s="36"/>
      <c r="CK26" s="36"/>
      <c r="CL26" s="71">
        <f t="shared" si="5"/>
        <v>1</v>
      </c>
      <c r="CM26" s="79">
        <f t="shared" si="6"/>
        <v>0.5</v>
      </c>
      <c r="CN26" s="78">
        <v>0.75</v>
      </c>
      <c r="CO26" s="42"/>
    </row>
    <row r="27" spans="1:94" s="41" customFormat="1" ht="37.5" customHeight="1" x14ac:dyDescent="0.25">
      <c r="A27" s="115"/>
      <c r="B27" s="115"/>
      <c r="C27" s="115"/>
      <c r="D27" s="115"/>
      <c r="E27" s="115"/>
      <c r="F27" s="119"/>
      <c r="G27" s="116">
        <v>0.14280000000000001</v>
      </c>
      <c r="H27" s="113"/>
      <c r="I27" s="109" t="s">
        <v>321</v>
      </c>
      <c r="J27" s="109" t="s">
        <v>97</v>
      </c>
      <c r="K27" s="92" t="s">
        <v>416</v>
      </c>
      <c r="L27" s="92" t="s">
        <v>107</v>
      </c>
      <c r="M27" s="111">
        <v>1</v>
      </c>
      <c r="N27" s="83" t="s">
        <v>500</v>
      </c>
      <c r="O27" s="82">
        <v>0.2</v>
      </c>
      <c r="P27" s="83" t="s">
        <v>302</v>
      </c>
      <c r="Q27" s="92" t="s">
        <v>84</v>
      </c>
      <c r="R27" s="92" t="s">
        <v>84</v>
      </c>
      <c r="S27" s="83" t="s">
        <v>300</v>
      </c>
      <c r="T27" s="46" t="s">
        <v>85</v>
      </c>
      <c r="U27" s="83" t="s">
        <v>301</v>
      </c>
      <c r="V27" s="92" t="s">
        <v>87</v>
      </c>
      <c r="W27" s="92" t="s">
        <v>476</v>
      </c>
      <c r="X27" s="92" t="s">
        <v>84</v>
      </c>
      <c r="Y27" s="92" t="s">
        <v>84</v>
      </c>
      <c r="Z27" s="92" t="s">
        <v>84</v>
      </c>
      <c r="AA27" s="36" t="s">
        <v>89</v>
      </c>
      <c r="AB27" s="36"/>
      <c r="AC27" s="36"/>
      <c r="AD27" s="72">
        <v>1</v>
      </c>
      <c r="AE27" s="36"/>
      <c r="AF27" s="36"/>
      <c r="AG27" s="72">
        <v>1</v>
      </c>
      <c r="AH27" s="36"/>
      <c r="AI27" s="36"/>
      <c r="AJ27" s="72">
        <v>1</v>
      </c>
      <c r="AK27" s="36"/>
      <c r="AL27" s="36"/>
      <c r="AM27" s="72">
        <v>1</v>
      </c>
      <c r="AN27" s="72">
        <v>1</v>
      </c>
      <c r="AO27" s="36"/>
      <c r="AP27" s="36"/>
      <c r="AQ27" s="36"/>
      <c r="AR27" s="36"/>
      <c r="AS27" s="36"/>
      <c r="AT27" s="36"/>
      <c r="AU27" s="36"/>
      <c r="AV27" s="36"/>
      <c r="AW27" s="36"/>
      <c r="AX27" s="36"/>
      <c r="AY27" s="36"/>
      <c r="AZ27" s="36"/>
      <c r="BA27" s="76">
        <v>1</v>
      </c>
      <c r="BB27" s="76">
        <v>1</v>
      </c>
      <c r="BC27" s="76">
        <v>0.25</v>
      </c>
      <c r="BD27" s="76">
        <v>0.25</v>
      </c>
      <c r="BE27" s="76">
        <v>0.25</v>
      </c>
      <c r="BF27" s="76">
        <v>0.25</v>
      </c>
      <c r="BG27" s="87"/>
      <c r="BH27" s="87"/>
      <c r="BI27" s="87"/>
      <c r="BJ27" s="87"/>
      <c r="BK27" s="87"/>
      <c r="BL27" s="87"/>
      <c r="BM27" s="36"/>
      <c r="BN27" s="36"/>
      <c r="BO27" s="36"/>
      <c r="BP27" s="36"/>
      <c r="BQ27" s="36"/>
      <c r="BR27" s="36"/>
      <c r="BS27" s="36"/>
      <c r="BT27" s="36"/>
      <c r="BU27" s="36"/>
      <c r="BV27" s="36"/>
      <c r="BW27" s="36"/>
      <c r="BX27" s="36"/>
      <c r="BY27" s="73">
        <f>8/8</f>
        <v>1</v>
      </c>
      <c r="BZ27" s="73">
        <f t="shared" si="4"/>
        <v>1</v>
      </c>
      <c r="CA27" s="76">
        <v>0.25</v>
      </c>
      <c r="CB27" s="76">
        <v>0.25</v>
      </c>
      <c r="CC27" s="76">
        <v>0.25</v>
      </c>
      <c r="CD27" s="76">
        <v>0.25</v>
      </c>
      <c r="CE27" s="87"/>
      <c r="CF27" s="87"/>
      <c r="CG27" s="87"/>
      <c r="CH27" s="36"/>
      <c r="CI27" s="36"/>
      <c r="CJ27" s="36"/>
      <c r="CK27" s="36"/>
      <c r="CL27" s="71">
        <f t="shared" si="5"/>
        <v>1</v>
      </c>
      <c r="CM27" s="79">
        <f t="shared" si="6"/>
        <v>0.5</v>
      </c>
      <c r="CN27" s="95">
        <v>0.1875</v>
      </c>
      <c r="CO27" s="42"/>
      <c r="CP27" s="42"/>
    </row>
    <row r="28" spans="1:94" s="41" customFormat="1" ht="45" x14ac:dyDescent="0.25">
      <c r="A28" s="115"/>
      <c r="B28" s="115"/>
      <c r="C28" s="115"/>
      <c r="D28" s="115"/>
      <c r="E28" s="115"/>
      <c r="F28" s="119"/>
      <c r="G28" s="116"/>
      <c r="H28" s="113"/>
      <c r="I28" s="109"/>
      <c r="J28" s="109"/>
      <c r="K28" s="92" t="s">
        <v>416</v>
      </c>
      <c r="L28" s="92" t="s">
        <v>107</v>
      </c>
      <c r="M28" s="111"/>
      <c r="N28" s="83" t="s">
        <v>501</v>
      </c>
      <c r="O28" s="82">
        <v>0.2</v>
      </c>
      <c r="P28" s="83" t="s">
        <v>453</v>
      </c>
      <c r="Q28" s="92" t="s">
        <v>84</v>
      </c>
      <c r="R28" s="92" t="s">
        <v>84</v>
      </c>
      <c r="S28" s="83" t="s">
        <v>454</v>
      </c>
      <c r="T28" s="46" t="s">
        <v>85</v>
      </c>
      <c r="U28" s="83" t="s">
        <v>455</v>
      </c>
      <c r="V28" s="92" t="s">
        <v>87</v>
      </c>
      <c r="W28" s="92" t="s">
        <v>476</v>
      </c>
      <c r="X28" s="92" t="s">
        <v>84</v>
      </c>
      <c r="Y28" s="92" t="s">
        <v>84</v>
      </c>
      <c r="Z28" s="92" t="s">
        <v>84</v>
      </c>
      <c r="AA28" s="36" t="s">
        <v>89</v>
      </c>
      <c r="AB28" s="36"/>
      <c r="AC28" s="36"/>
      <c r="AD28" s="72">
        <v>1</v>
      </c>
      <c r="AE28" s="36"/>
      <c r="AF28" s="36"/>
      <c r="AG28" s="72">
        <v>1</v>
      </c>
      <c r="AH28" s="36"/>
      <c r="AI28" s="36"/>
      <c r="AJ28" s="72">
        <v>1</v>
      </c>
      <c r="AK28" s="36"/>
      <c r="AL28" s="36"/>
      <c r="AM28" s="72">
        <v>1</v>
      </c>
      <c r="AN28" s="72">
        <v>1</v>
      </c>
      <c r="AO28" s="43"/>
      <c r="AP28" s="43"/>
      <c r="AQ28" s="43"/>
      <c r="AR28" s="43"/>
      <c r="AS28" s="43"/>
      <c r="AT28" s="43"/>
      <c r="AU28" s="43"/>
      <c r="AV28" s="43"/>
      <c r="AW28" s="43"/>
      <c r="AX28" s="43"/>
      <c r="AY28" s="43"/>
      <c r="AZ28" s="43"/>
      <c r="BA28" s="63">
        <v>1</v>
      </c>
      <c r="BB28" s="63">
        <v>1</v>
      </c>
      <c r="BC28" s="76">
        <v>0.25</v>
      </c>
      <c r="BD28" s="76">
        <v>0.25</v>
      </c>
      <c r="BE28" s="76">
        <v>0.25</v>
      </c>
      <c r="BF28" s="76">
        <v>0.25</v>
      </c>
      <c r="BG28" s="44"/>
      <c r="BH28" s="44"/>
      <c r="BI28" s="44"/>
      <c r="BJ28" s="44"/>
      <c r="BK28" s="44"/>
      <c r="BL28" s="44"/>
      <c r="BM28" s="43"/>
      <c r="BN28" s="43"/>
      <c r="BO28" s="43"/>
      <c r="BP28" s="43"/>
      <c r="BQ28" s="43"/>
      <c r="BR28" s="43"/>
      <c r="BS28" s="43"/>
      <c r="BT28" s="43"/>
      <c r="BU28" s="43"/>
      <c r="BV28" s="43"/>
      <c r="BW28" s="43"/>
      <c r="BX28" s="43"/>
      <c r="BY28" s="73">
        <f>54/54</f>
        <v>1</v>
      </c>
      <c r="BZ28" s="73">
        <f t="shared" si="4"/>
        <v>1</v>
      </c>
      <c r="CA28" s="76">
        <v>0.25</v>
      </c>
      <c r="CB28" s="76">
        <v>0.25</v>
      </c>
      <c r="CC28" s="76">
        <v>0.25</v>
      </c>
      <c r="CD28" s="76">
        <v>0.25</v>
      </c>
      <c r="CE28" s="44"/>
      <c r="CF28" s="44"/>
      <c r="CG28" s="44"/>
      <c r="CH28" s="43"/>
      <c r="CI28" s="43"/>
      <c r="CJ28" s="43"/>
      <c r="CK28" s="43"/>
      <c r="CL28" s="71">
        <f t="shared" si="5"/>
        <v>1</v>
      </c>
      <c r="CM28" s="79">
        <f t="shared" si="6"/>
        <v>0.5</v>
      </c>
      <c r="CN28" s="95">
        <v>0.1875</v>
      </c>
    </row>
    <row r="29" spans="1:94" s="41" customFormat="1" ht="41.25" customHeight="1" x14ac:dyDescent="0.25">
      <c r="A29" s="115"/>
      <c r="B29" s="115"/>
      <c r="C29" s="115"/>
      <c r="D29" s="115"/>
      <c r="E29" s="115"/>
      <c r="F29" s="119"/>
      <c r="G29" s="116"/>
      <c r="H29" s="113"/>
      <c r="I29" s="109"/>
      <c r="J29" s="109"/>
      <c r="K29" s="92" t="s">
        <v>416</v>
      </c>
      <c r="L29" s="92" t="s">
        <v>107</v>
      </c>
      <c r="M29" s="111"/>
      <c r="N29" s="83" t="s">
        <v>502</v>
      </c>
      <c r="O29" s="82">
        <v>0.2</v>
      </c>
      <c r="P29" s="83" t="s">
        <v>270</v>
      </c>
      <c r="Q29" s="92" t="s">
        <v>84</v>
      </c>
      <c r="R29" s="92" t="s">
        <v>84</v>
      </c>
      <c r="S29" s="83" t="s">
        <v>270</v>
      </c>
      <c r="T29" s="92" t="s">
        <v>25</v>
      </c>
      <c r="U29" s="83" t="s">
        <v>271</v>
      </c>
      <c r="V29" s="92" t="s">
        <v>25</v>
      </c>
      <c r="W29" s="92" t="s">
        <v>476</v>
      </c>
      <c r="X29" s="92" t="s">
        <v>84</v>
      </c>
      <c r="Y29" s="92" t="s">
        <v>84</v>
      </c>
      <c r="Z29" s="92" t="s">
        <v>84</v>
      </c>
      <c r="AA29" s="36" t="s">
        <v>110</v>
      </c>
      <c r="AB29" s="36"/>
      <c r="AC29" s="36"/>
      <c r="AD29" s="72"/>
      <c r="AE29" s="36"/>
      <c r="AF29" s="36"/>
      <c r="AG29" s="72"/>
      <c r="AH29" s="36"/>
      <c r="AI29" s="36"/>
      <c r="AJ29" s="45">
        <v>1</v>
      </c>
      <c r="AK29" s="36"/>
      <c r="AL29" s="36"/>
      <c r="AM29" s="72"/>
      <c r="AN29" s="45">
        <v>1</v>
      </c>
      <c r="AO29" s="36"/>
      <c r="AP29" s="36"/>
      <c r="AQ29" s="36"/>
      <c r="AR29" s="36"/>
      <c r="AS29" s="36"/>
      <c r="AT29" s="36"/>
      <c r="AU29" s="36"/>
      <c r="AV29" s="36"/>
      <c r="AW29" s="36"/>
      <c r="AX29" s="36"/>
      <c r="AY29" s="36"/>
      <c r="AZ29" s="36"/>
      <c r="BA29" s="81">
        <v>1</v>
      </c>
      <c r="BB29" s="76">
        <v>1</v>
      </c>
      <c r="BC29" s="76">
        <v>0.25</v>
      </c>
      <c r="BD29" s="76">
        <v>0.25</v>
      </c>
      <c r="BE29" s="76">
        <v>0.25</v>
      </c>
      <c r="BF29" s="76">
        <v>0.25</v>
      </c>
      <c r="BG29" s="37">
        <v>1</v>
      </c>
      <c r="BH29" s="87"/>
      <c r="BI29" s="87"/>
      <c r="BJ29" s="87"/>
      <c r="BK29" s="87"/>
      <c r="BL29" s="87"/>
      <c r="BM29" s="36"/>
      <c r="BN29" s="36"/>
      <c r="BO29" s="36"/>
      <c r="BP29" s="36"/>
      <c r="BQ29" s="36"/>
      <c r="BR29" s="36"/>
      <c r="BS29" s="36"/>
      <c r="BT29" s="36"/>
      <c r="BU29" s="36"/>
      <c r="BV29" s="36"/>
      <c r="BW29" s="36"/>
      <c r="BX29" s="36"/>
      <c r="BY29" s="36">
        <v>1</v>
      </c>
      <c r="BZ29" s="79">
        <f t="shared" si="4"/>
        <v>0.75</v>
      </c>
      <c r="CA29" s="76">
        <v>0.25</v>
      </c>
      <c r="CB29" s="76">
        <v>0.25</v>
      </c>
      <c r="CC29" s="76">
        <v>0</v>
      </c>
      <c r="CD29" s="76">
        <v>0.25</v>
      </c>
      <c r="CE29" s="87"/>
      <c r="CF29" s="87"/>
      <c r="CG29" s="87"/>
      <c r="CH29" s="36"/>
      <c r="CI29" s="36"/>
      <c r="CJ29" s="36"/>
      <c r="CK29" s="36"/>
      <c r="CL29" s="79">
        <f>100%</f>
        <v>1</v>
      </c>
      <c r="CM29" s="71">
        <f>CL29</f>
        <v>1</v>
      </c>
      <c r="CN29" s="78">
        <v>0.25</v>
      </c>
      <c r="CO29" s="42"/>
    </row>
    <row r="30" spans="1:94" s="41" customFormat="1" ht="41.25" customHeight="1" x14ac:dyDescent="0.25">
      <c r="A30" s="115"/>
      <c r="B30" s="115"/>
      <c r="C30" s="115"/>
      <c r="D30" s="115"/>
      <c r="E30" s="115"/>
      <c r="F30" s="119"/>
      <c r="G30" s="116"/>
      <c r="H30" s="113"/>
      <c r="I30" s="109"/>
      <c r="J30" s="109"/>
      <c r="K30" s="92" t="s">
        <v>417</v>
      </c>
      <c r="L30" s="92" t="s">
        <v>107</v>
      </c>
      <c r="M30" s="111"/>
      <c r="N30" s="83" t="s">
        <v>503</v>
      </c>
      <c r="O30" s="82">
        <v>0.2</v>
      </c>
      <c r="P30" s="83" t="s">
        <v>168</v>
      </c>
      <c r="Q30" s="92" t="s">
        <v>84</v>
      </c>
      <c r="R30" s="92" t="s">
        <v>84</v>
      </c>
      <c r="S30" s="83" t="s">
        <v>264</v>
      </c>
      <c r="T30" s="92" t="s">
        <v>100</v>
      </c>
      <c r="U30" s="83" t="s">
        <v>264</v>
      </c>
      <c r="V30" s="92" t="s">
        <v>25</v>
      </c>
      <c r="W30" s="92" t="s">
        <v>144</v>
      </c>
      <c r="X30" s="92" t="s">
        <v>84</v>
      </c>
      <c r="Y30" s="92" t="s">
        <v>84</v>
      </c>
      <c r="Z30" s="92" t="s">
        <v>84</v>
      </c>
      <c r="AA30" s="36" t="s">
        <v>110</v>
      </c>
      <c r="AB30" s="47"/>
      <c r="AC30" s="47"/>
      <c r="AD30" s="45"/>
      <c r="AE30" s="47"/>
      <c r="AF30" s="47"/>
      <c r="AG30" s="45"/>
      <c r="AH30" s="47"/>
      <c r="AI30" s="47"/>
      <c r="AJ30" s="47"/>
      <c r="AK30" s="47"/>
      <c r="AL30" s="47"/>
      <c r="AM30" s="45">
        <v>1</v>
      </c>
      <c r="AN30" s="45">
        <v>1</v>
      </c>
      <c r="AO30" s="36"/>
      <c r="AP30" s="36"/>
      <c r="AQ30" s="36"/>
      <c r="AR30" s="36"/>
      <c r="AS30" s="36"/>
      <c r="AT30" s="36"/>
      <c r="AU30" s="36"/>
      <c r="AV30" s="36"/>
      <c r="AW30" s="36"/>
      <c r="AX30" s="36"/>
      <c r="AY30" s="36"/>
      <c r="AZ30" s="36"/>
      <c r="BA30" s="36"/>
      <c r="BB30" s="36"/>
      <c r="BC30" s="36"/>
      <c r="BD30" s="36"/>
      <c r="BE30" s="36"/>
      <c r="BF30" s="36"/>
      <c r="BG30" s="87"/>
      <c r="BH30" s="87"/>
      <c r="BI30" s="87"/>
      <c r="BJ30" s="87"/>
      <c r="BK30" s="87"/>
      <c r="BL30" s="87"/>
      <c r="BM30" s="36"/>
      <c r="BN30" s="36"/>
      <c r="BO30" s="36"/>
      <c r="BP30" s="36"/>
      <c r="BQ30" s="36"/>
      <c r="BR30" s="36"/>
      <c r="BS30" s="36"/>
      <c r="BT30" s="36"/>
      <c r="BU30" s="36"/>
      <c r="BV30" s="36"/>
      <c r="BW30" s="36"/>
      <c r="BX30" s="36"/>
      <c r="BY30" s="36"/>
      <c r="BZ30" s="36"/>
      <c r="CA30" s="36"/>
      <c r="CB30" s="36"/>
      <c r="CC30" s="36"/>
      <c r="CD30" s="36"/>
      <c r="CE30" s="87"/>
      <c r="CF30" s="87"/>
      <c r="CG30" s="87"/>
      <c r="CH30" s="36"/>
      <c r="CI30" s="36"/>
      <c r="CJ30" s="36"/>
      <c r="CK30" s="36"/>
      <c r="CL30" s="71">
        <f>(BM30+BS30)/2</f>
        <v>0</v>
      </c>
      <c r="CM30" s="71">
        <f t="shared" ref="CM30" si="7">CL30</f>
        <v>0</v>
      </c>
      <c r="CN30" s="78">
        <v>0</v>
      </c>
      <c r="CO30" s="42"/>
    </row>
    <row r="31" spans="1:94" s="41" customFormat="1" ht="98.25" customHeight="1" x14ac:dyDescent="0.25">
      <c r="A31" s="115"/>
      <c r="B31" s="115"/>
      <c r="C31" s="115"/>
      <c r="D31" s="115"/>
      <c r="E31" s="115"/>
      <c r="F31" s="119"/>
      <c r="G31" s="116">
        <v>0.14280000000000001</v>
      </c>
      <c r="H31" s="113"/>
      <c r="I31" s="113" t="s">
        <v>322</v>
      </c>
      <c r="J31" s="110" t="s">
        <v>97</v>
      </c>
      <c r="K31" s="89" t="s">
        <v>418</v>
      </c>
      <c r="L31" s="89" t="s">
        <v>244</v>
      </c>
      <c r="M31" s="114">
        <v>1</v>
      </c>
      <c r="N31" s="83" t="s">
        <v>504</v>
      </c>
      <c r="O31" s="82">
        <v>0.5</v>
      </c>
      <c r="P31" s="83" t="s">
        <v>303</v>
      </c>
      <c r="Q31" s="92" t="s">
        <v>84</v>
      </c>
      <c r="R31" s="92" t="s">
        <v>84</v>
      </c>
      <c r="S31" s="83" t="s">
        <v>304</v>
      </c>
      <c r="T31" s="92" t="s">
        <v>85</v>
      </c>
      <c r="U31" s="83" t="s">
        <v>305</v>
      </c>
      <c r="V31" s="92" t="s">
        <v>87</v>
      </c>
      <c r="W31" s="92" t="s">
        <v>162</v>
      </c>
      <c r="X31" s="92" t="s">
        <v>84</v>
      </c>
      <c r="Y31" s="92" t="s">
        <v>84</v>
      </c>
      <c r="Z31" s="92" t="s">
        <v>84</v>
      </c>
      <c r="AA31" s="36" t="s">
        <v>89</v>
      </c>
      <c r="AB31" s="36"/>
      <c r="AC31" s="36"/>
      <c r="AD31" s="72">
        <v>1</v>
      </c>
      <c r="AE31" s="72"/>
      <c r="AF31" s="36"/>
      <c r="AG31" s="72">
        <v>1</v>
      </c>
      <c r="AH31" s="36"/>
      <c r="AI31" s="72"/>
      <c r="AJ31" s="72">
        <v>1</v>
      </c>
      <c r="AK31" s="36"/>
      <c r="AL31" s="36"/>
      <c r="AM31" s="72">
        <v>1</v>
      </c>
      <c r="AN31" s="72">
        <v>1</v>
      </c>
      <c r="AO31" s="36"/>
      <c r="AP31" s="36"/>
      <c r="AQ31" s="36"/>
      <c r="AR31" s="36"/>
      <c r="AS31" s="36"/>
      <c r="AT31" s="36"/>
      <c r="AU31" s="36"/>
      <c r="AV31" s="36"/>
      <c r="AW31" s="36"/>
      <c r="AX31" s="36"/>
      <c r="AY31" s="36"/>
      <c r="AZ31" s="36"/>
      <c r="BA31" s="63">
        <v>1</v>
      </c>
      <c r="BB31" s="63">
        <v>0.75</v>
      </c>
      <c r="BC31" s="63">
        <v>0.25</v>
      </c>
      <c r="BD31" s="63">
        <v>0.25</v>
      </c>
      <c r="BE31" s="63">
        <v>0</v>
      </c>
      <c r="BF31" s="63">
        <v>0.25</v>
      </c>
      <c r="BG31" s="87"/>
      <c r="BH31" s="87"/>
      <c r="BI31" s="87"/>
      <c r="BJ31" s="87"/>
      <c r="BK31" s="87"/>
      <c r="BL31" s="87"/>
      <c r="BM31" s="36"/>
      <c r="BN31" s="36"/>
      <c r="BO31" s="36"/>
      <c r="BP31" s="36"/>
      <c r="BQ31" s="36"/>
      <c r="BR31" s="36"/>
      <c r="BS31" s="36"/>
      <c r="BT31" s="36"/>
      <c r="BU31" s="36"/>
      <c r="BV31" s="36"/>
      <c r="BW31" s="36"/>
      <c r="BX31" s="36"/>
      <c r="BY31" s="72">
        <v>1</v>
      </c>
      <c r="BZ31" s="73">
        <v>0.75</v>
      </c>
      <c r="CA31" s="63">
        <v>0.25</v>
      </c>
      <c r="CB31" s="63">
        <v>0.25</v>
      </c>
      <c r="CC31" s="63">
        <v>0</v>
      </c>
      <c r="CD31" s="63">
        <v>0.25</v>
      </c>
      <c r="CE31" s="87"/>
      <c r="CF31" s="87"/>
      <c r="CG31" s="87"/>
      <c r="CH31" s="36"/>
      <c r="CI31" s="36"/>
      <c r="CJ31" s="36"/>
      <c r="CK31" s="36"/>
      <c r="CL31" s="175">
        <f>BY31</f>
        <v>1</v>
      </c>
      <c r="CM31" s="176">
        <f>CL31</f>
        <v>1</v>
      </c>
      <c r="CN31" s="181">
        <v>0.25</v>
      </c>
      <c r="CO31" s="42"/>
      <c r="CP31" s="42"/>
    </row>
    <row r="32" spans="1:94" s="41" customFormat="1" ht="84" customHeight="1" x14ac:dyDescent="0.25">
      <c r="A32" s="115"/>
      <c r="B32" s="115"/>
      <c r="C32" s="115"/>
      <c r="D32" s="115"/>
      <c r="E32" s="115"/>
      <c r="F32" s="119"/>
      <c r="G32" s="116"/>
      <c r="H32" s="113"/>
      <c r="I32" s="113"/>
      <c r="J32" s="110"/>
      <c r="K32" s="89" t="s">
        <v>419</v>
      </c>
      <c r="L32" s="89" t="s">
        <v>244</v>
      </c>
      <c r="M32" s="114"/>
      <c r="N32" s="83" t="s">
        <v>505</v>
      </c>
      <c r="O32" s="82">
        <v>0.5</v>
      </c>
      <c r="P32" s="83" t="s">
        <v>306</v>
      </c>
      <c r="Q32" s="92" t="s">
        <v>84</v>
      </c>
      <c r="R32" s="92" t="s">
        <v>84</v>
      </c>
      <c r="S32" s="83" t="s">
        <v>307</v>
      </c>
      <c r="T32" s="92" t="s">
        <v>85</v>
      </c>
      <c r="U32" s="83" t="s">
        <v>308</v>
      </c>
      <c r="V32" s="92" t="s">
        <v>87</v>
      </c>
      <c r="W32" s="92" t="s">
        <v>476</v>
      </c>
      <c r="X32" s="92" t="s">
        <v>84</v>
      </c>
      <c r="Y32" s="92" t="s">
        <v>84</v>
      </c>
      <c r="Z32" s="92" t="s">
        <v>84</v>
      </c>
      <c r="AA32" s="36" t="s">
        <v>89</v>
      </c>
      <c r="AB32" s="36"/>
      <c r="AC32" s="36"/>
      <c r="AD32" s="72">
        <v>1</v>
      </c>
      <c r="AE32" s="72"/>
      <c r="AF32" s="36"/>
      <c r="AG32" s="72">
        <v>1</v>
      </c>
      <c r="AH32" s="36"/>
      <c r="AI32" s="72"/>
      <c r="AJ32" s="72">
        <v>1</v>
      </c>
      <c r="AK32" s="36"/>
      <c r="AL32" s="36"/>
      <c r="AM32" s="72">
        <v>1</v>
      </c>
      <c r="AN32" s="72">
        <v>1</v>
      </c>
      <c r="AO32" s="36"/>
      <c r="AP32" s="36"/>
      <c r="AQ32" s="36"/>
      <c r="AR32" s="36"/>
      <c r="AS32" s="36"/>
      <c r="AT32" s="36"/>
      <c r="AU32" s="36"/>
      <c r="AV32" s="36"/>
      <c r="AW32" s="36"/>
      <c r="AX32" s="36"/>
      <c r="AY32" s="36"/>
      <c r="AZ32" s="36"/>
      <c r="BA32" s="76">
        <v>1</v>
      </c>
      <c r="BB32" s="76">
        <v>1</v>
      </c>
      <c r="BC32" s="76">
        <v>0.25</v>
      </c>
      <c r="BD32" s="76">
        <v>0.25</v>
      </c>
      <c r="BE32" s="76">
        <v>0.25</v>
      </c>
      <c r="BF32" s="76">
        <v>0.25</v>
      </c>
      <c r="BG32" s="87"/>
      <c r="BH32" s="87"/>
      <c r="BI32" s="87"/>
      <c r="BJ32" s="87"/>
      <c r="BK32" s="87"/>
      <c r="BL32" s="87"/>
      <c r="BM32" s="36"/>
      <c r="BN32" s="36"/>
      <c r="BO32" s="36"/>
      <c r="BP32" s="36"/>
      <c r="BQ32" s="36"/>
      <c r="BR32" s="36"/>
      <c r="BS32" s="36"/>
      <c r="BT32" s="36"/>
      <c r="BU32" s="36"/>
      <c r="BV32" s="36"/>
      <c r="BW32" s="36"/>
      <c r="BX32" s="36"/>
      <c r="BY32" s="73">
        <f>1/1</f>
        <v>1</v>
      </c>
      <c r="BZ32" s="73">
        <f t="shared" ref="BZ31:BZ37" si="8">CA32+CB32+CC32+CD32</f>
        <v>0.75</v>
      </c>
      <c r="CA32" s="76">
        <v>0</v>
      </c>
      <c r="CB32" s="76">
        <v>0.25</v>
      </c>
      <c r="CC32" s="76">
        <v>0.25</v>
      </c>
      <c r="CD32" s="76">
        <v>0.25</v>
      </c>
      <c r="CE32" s="87"/>
      <c r="CF32" s="87"/>
      <c r="CG32" s="87"/>
      <c r="CH32" s="36"/>
      <c r="CI32" s="36"/>
      <c r="CJ32" s="36"/>
      <c r="CK32" s="36"/>
      <c r="CL32" s="71">
        <f>BY32</f>
        <v>1</v>
      </c>
      <c r="CM32" s="79">
        <f>CL32/2</f>
        <v>0.5</v>
      </c>
      <c r="CN32" s="78">
        <v>0.25</v>
      </c>
      <c r="CO32" s="42"/>
      <c r="CP32" s="42"/>
    </row>
    <row r="33" spans="1:93" s="39" customFormat="1" ht="39.75" customHeight="1" x14ac:dyDescent="0.25">
      <c r="A33" s="115" t="s">
        <v>111</v>
      </c>
      <c r="B33" s="113" t="s">
        <v>112</v>
      </c>
      <c r="C33" s="113" t="s">
        <v>113</v>
      </c>
      <c r="D33" s="113" t="s">
        <v>114</v>
      </c>
      <c r="E33" s="115" t="s">
        <v>78</v>
      </c>
      <c r="F33" s="119" t="s">
        <v>115</v>
      </c>
      <c r="G33" s="120">
        <v>0.33329999999999999</v>
      </c>
      <c r="H33" s="113" t="s">
        <v>80</v>
      </c>
      <c r="I33" s="113" t="s">
        <v>323</v>
      </c>
      <c r="J33" s="110" t="s">
        <v>97</v>
      </c>
      <c r="K33" s="89" t="s">
        <v>420</v>
      </c>
      <c r="L33" s="34" t="s">
        <v>107</v>
      </c>
      <c r="M33" s="114">
        <v>1</v>
      </c>
      <c r="N33" s="48" t="s">
        <v>506</v>
      </c>
      <c r="O33" s="29">
        <v>0.125</v>
      </c>
      <c r="P33" s="48" t="s">
        <v>116</v>
      </c>
      <c r="Q33" s="91" t="s">
        <v>84</v>
      </c>
      <c r="R33" s="91" t="s">
        <v>84</v>
      </c>
      <c r="S33" s="48" t="s">
        <v>117</v>
      </c>
      <c r="T33" s="92" t="s">
        <v>85</v>
      </c>
      <c r="U33" s="48" t="s">
        <v>118</v>
      </c>
      <c r="V33" s="89" t="s">
        <v>87</v>
      </c>
      <c r="W33" s="92" t="s">
        <v>119</v>
      </c>
      <c r="X33" s="92" t="s">
        <v>84</v>
      </c>
      <c r="Y33" s="92" t="s">
        <v>84</v>
      </c>
      <c r="Z33" s="92" t="s">
        <v>84</v>
      </c>
      <c r="AA33" s="37" t="s">
        <v>102</v>
      </c>
      <c r="AB33" s="73">
        <v>1</v>
      </c>
      <c r="AC33" s="73">
        <v>1</v>
      </c>
      <c r="AD33" s="73">
        <v>1</v>
      </c>
      <c r="AE33" s="73">
        <v>1</v>
      </c>
      <c r="AF33" s="73">
        <v>1</v>
      </c>
      <c r="AG33" s="73">
        <v>1</v>
      </c>
      <c r="AH33" s="73">
        <v>1</v>
      </c>
      <c r="AI33" s="73">
        <v>1</v>
      </c>
      <c r="AJ33" s="73">
        <v>1</v>
      </c>
      <c r="AK33" s="73">
        <v>1</v>
      </c>
      <c r="AL33" s="73">
        <v>1</v>
      </c>
      <c r="AM33" s="73">
        <v>1</v>
      </c>
      <c r="AN33" s="73">
        <v>1</v>
      </c>
      <c r="AO33" s="57">
        <f>((3+7+7.9)/(3+7+8))</f>
        <v>0.99444444444444435</v>
      </c>
      <c r="AP33" s="76">
        <v>0.75</v>
      </c>
      <c r="AQ33" s="76">
        <f>(25%+25%)</f>
        <v>0.5</v>
      </c>
      <c r="AR33" s="76">
        <f>(25%+25%)</f>
        <v>0.5</v>
      </c>
      <c r="AS33" s="76">
        <f>(0%+25%)</f>
        <v>0.25</v>
      </c>
      <c r="AT33" s="76">
        <f>(25%+25%)</f>
        <v>0.5</v>
      </c>
      <c r="AU33" s="57">
        <f>(6.78+40.55+26.02)/(7+45+27)</f>
        <v>0.9284810126582278</v>
      </c>
      <c r="AV33" s="76">
        <v>1</v>
      </c>
      <c r="AW33" s="76">
        <f>(25%+25%+25%)/3</f>
        <v>0.25</v>
      </c>
      <c r="AX33" s="76">
        <f t="shared" ref="AX33:AZ33" si="9">(25%+25%+25%)/3</f>
        <v>0.25</v>
      </c>
      <c r="AY33" s="76">
        <f t="shared" si="9"/>
        <v>0.25</v>
      </c>
      <c r="AZ33" s="76">
        <f t="shared" si="9"/>
        <v>0.25</v>
      </c>
      <c r="BA33" s="57">
        <f>(19.74+18.61+17.6)/(24+25+23)</f>
        <v>0.77708333333333324</v>
      </c>
      <c r="BB33" s="79">
        <v>1</v>
      </c>
      <c r="BC33" s="79">
        <f>(25%+25%+25%)/3</f>
        <v>0.25</v>
      </c>
      <c r="BD33" s="79">
        <f t="shared" ref="BD33:BF33" si="10">(25%+25%+25%)/3</f>
        <v>0.25</v>
      </c>
      <c r="BE33" s="79">
        <f t="shared" si="10"/>
        <v>0.25</v>
      </c>
      <c r="BF33" s="79">
        <f t="shared" si="10"/>
        <v>0.25</v>
      </c>
      <c r="BG33" s="59"/>
      <c r="BH33" s="59"/>
      <c r="BI33" s="59"/>
      <c r="BJ33" s="59"/>
      <c r="BK33" s="59"/>
      <c r="BL33" s="59"/>
      <c r="BM33" s="57">
        <f>((3+7+7.9)/(3+7+8))</f>
        <v>0.99444444444444435</v>
      </c>
      <c r="BN33" s="57">
        <f>(BO33+BP33+BQ33+BR33)</f>
        <v>0.66666666666666663</v>
      </c>
      <c r="BO33" s="79">
        <f>(25%+25%+25%)/3</f>
        <v>0.25</v>
      </c>
      <c r="BP33" s="79">
        <f>(25%+0%+0%)/3</f>
        <v>8.3333333333333329E-2</v>
      </c>
      <c r="BQ33" s="79">
        <f>(0%+25%+0%)/3</f>
        <v>8.3333333333333329E-2</v>
      </c>
      <c r="BR33" s="79">
        <f>(25%+25%+25%)/3</f>
        <v>0.25</v>
      </c>
      <c r="BS33" s="57">
        <f>(6.78+40.55+26.02)/(7+45+27)</f>
        <v>0.9284810126582278</v>
      </c>
      <c r="BT33" s="79">
        <f t="shared" ref="BT33" si="11">BU33+BV33+BW33+BX33</f>
        <v>1</v>
      </c>
      <c r="BU33" s="79">
        <f>(25%+25%+25%)/3</f>
        <v>0.25</v>
      </c>
      <c r="BV33" s="79">
        <f t="shared" ref="BV33:BX33" si="12">(25%+25%+25%)/3</f>
        <v>0.25</v>
      </c>
      <c r="BW33" s="79">
        <f t="shared" si="12"/>
        <v>0.25</v>
      </c>
      <c r="BX33" s="79">
        <f t="shared" si="12"/>
        <v>0.25</v>
      </c>
      <c r="BY33" s="57">
        <f>(19.74+18.61+17.6)/(24+25+23)</f>
        <v>0.77708333333333324</v>
      </c>
      <c r="BZ33" s="76">
        <f t="shared" si="8"/>
        <v>1</v>
      </c>
      <c r="CA33" s="79">
        <f t="shared" ref="CA33:CD33" si="13">(25%+25%+25%)/3</f>
        <v>0.25</v>
      </c>
      <c r="CB33" s="79">
        <f t="shared" si="13"/>
        <v>0.25</v>
      </c>
      <c r="CC33" s="79">
        <f t="shared" si="13"/>
        <v>0.25</v>
      </c>
      <c r="CD33" s="79">
        <f t="shared" si="13"/>
        <v>0.25</v>
      </c>
      <c r="CE33" s="59"/>
      <c r="CF33" s="59"/>
      <c r="CG33" s="59"/>
      <c r="CH33" s="79"/>
      <c r="CI33" s="79"/>
      <c r="CJ33" s="79"/>
      <c r="CK33" s="79"/>
      <c r="CL33" s="76">
        <f>(BM33+BS33+BY33)/3</f>
        <v>0.90000293014533517</v>
      </c>
      <c r="CM33" s="76">
        <f>CL33/2</f>
        <v>0.45000146507266758</v>
      </c>
      <c r="CN33" s="77">
        <v>8.4510275140646976E-2</v>
      </c>
    </row>
    <row r="34" spans="1:93" s="41" customFormat="1" ht="58.5" customHeight="1" x14ac:dyDescent="0.25">
      <c r="A34" s="115"/>
      <c r="B34" s="113"/>
      <c r="C34" s="113"/>
      <c r="D34" s="113"/>
      <c r="E34" s="115"/>
      <c r="F34" s="119"/>
      <c r="G34" s="120"/>
      <c r="H34" s="113"/>
      <c r="I34" s="113"/>
      <c r="J34" s="110"/>
      <c r="K34" s="92" t="s">
        <v>421</v>
      </c>
      <c r="L34" s="92" t="s">
        <v>244</v>
      </c>
      <c r="M34" s="114"/>
      <c r="N34" s="85" t="s">
        <v>507</v>
      </c>
      <c r="O34" s="29">
        <v>0.125</v>
      </c>
      <c r="P34" s="85" t="s">
        <v>277</v>
      </c>
      <c r="Q34" s="92" t="s">
        <v>84</v>
      </c>
      <c r="R34" s="92" t="s">
        <v>84</v>
      </c>
      <c r="S34" s="85" t="s">
        <v>278</v>
      </c>
      <c r="T34" s="92" t="s">
        <v>100</v>
      </c>
      <c r="U34" s="85" t="s">
        <v>120</v>
      </c>
      <c r="V34" s="92" t="s">
        <v>121</v>
      </c>
      <c r="W34" s="92" t="s">
        <v>101</v>
      </c>
      <c r="X34" s="92" t="s">
        <v>84</v>
      </c>
      <c r="Y34" s="92" t="s">
        <v>84</v>
      </c>
      <c r="Z34" s="92" t="s">
        <v>84</v>
      </c>
      <c r="AA34" s="36" t="s">
        <v>102</v>
      </c>
      <c r="AB34" s="36">
        <v>65</v>
      </c>
      <c r="AC34" s="36">
        <v>65</v>
      </c>
      <c r="AD34" s="36">
        <v>65</v>
      </c>
      <c r="AE34" s="36">
        <v>65</v>
      </c>
      <c r="AF34" s="36">
        <v>65</v>
      </c>
      <c r="AG34" s="36">
        <v>65</v>
      </c>
      <c r="AH34" s="36">
        <v>65</v>
      </c>
      <c r="AI34" s="36">
        <v>65</v>
      </c>
      <c r="AJ34" s="36">
        <v>65</v>
      </c>
      <c r="AK34" s="36">
        <v>65</v>
      </c>
      <c r="AL34" s="36">
        <v>65</v>
      </c>
      <c r="AM34" s="36">
        <v>65</v>
      </c>
      <c r="AN34" s="36">
        <v>65</v>
      </c>
      <c r="AO34" s="61">
        <f>((40733+43249+49513)/(529+661+739))</f>
        <v>69.204250907205804</v>
      </c>
      <c r="AP34" s="79">
        <v>1</v>
      </c>
      <c r="AQ34" s="79">
        <v>0.25</v>
      </c>
      <c r="AR34" s="79">
        <v>0.25</v>
      </c>
      <c r="AS34" s="79">
        <v>0.25</v>
      </c>
      <c r="AT34" s="79">
        <v>0.25</v>
      </c>
      <c r="AU34" s="61">
        <f>(54428.36+52930+56259)/(812+790+893)</f>
        <v>65.578100200400797</v>
      </c>
      <c r="AV34" s="76">
        <v>1</v>
      </c>
      <c r="AW34" s="76">
        <v>0.25</v>
      </c>
      <c r="AX34" s="76">
        <v>0.25</v>
      </c>
      <c r="AY34" s="76">
        <v>0.25</v>
      </c>
      <c r="AZ34" s="76">
        <v>0.25</v>
      </c>
      <c r="BA34" s="69">
        <f>(66.81+65.58+61.53)/3</f>
        <v>64.64</v>
      </c>
      <c r="BB34" s="79">
        <v>1</v>
      </c>
      <c r="BC34" s="79">
        <f t="shared" ref="BC34:BF34" si="14">(25%+25%+25%)/3</f>
        <v>0.25</v>
      </c>
      <c r="BD34" s="79">
        <f t="shared" si="14"/>
        <v>0.25</v>
      </c>
      <c r="BE34" s="79">
        <f t="shared" si="14"/>
        <v>0.25</v>
      </c>
      <c r="BF34" s="79">
        <f t="shared" si="14"/>
        <v>0.25</v>
      </c>
      <c r="BG34" s="59"/>
      <c r="BH34" s="59"/>
      <c r="BI34" s="59"/>
      <c r="BJ34" s="59"/>
      <c r="BK34" s="59"/>
      <c r="BL34" s="59"/>
      <c r="BM34" s="61">
        <f>((40733+43249+49513)/(529+661+739))</f>
        <v>69.204250907205804</v>
      </c>
      <c r="BN34" s="76">
        <f>BO34+BP34+BQ34+BR34</f>
        <v>1</v>
      </c>
      <c r="BO34" s="76">
        <f>(25%+25%+25%)/3</f>
        <v>0.25</v>
      </c>
      <c r="BP34" s="76">
        <f>(25%+25%+25%)/3</f>
        <v>0.25</v>
      </c>
      <c r="BQ34" s="76">
        <f>(25%+25%+25%)/3</f>
        <v>0.25</v>
      </c>
      <c r="BR34" s="76">
        <f>(25%+25%+25%)/3</f>
        <v>0.25</v>
      </c>
      <c r="BS34" s="61">
        <f>(54428.36+52930+56259)/(812+790+893)</f>
        <v>65.578100200400797</v>
      </c>
      <c r="BT34" s="76">
        <f t="shared" ref="BT34" si="15">BU34+BV34+BW34+BX34</f>
        <v>1</v>
      </c>
      <c r="BU34" s="76">
        <f>(25%+25%+25%)/3</f>
        <v>0.25</v>
      </c>
      <c r="BV34" s="76">
        <f>(25%+25%+25%)/3</f>
        <v>0.25</v>
      </c>
      <c r="BW34" s="76">
        <f>(25%+25%+25%)/3</f>
        <v>0.25</v>
      </c>
      <c r="BX34" s="76">
        <f>(25%+25%+25%)/3</f>
        <v>0.25</v>
      </c>
      <c r="BY34" s="61">
        <f>(47636+46759+37902.48)/(713+713+616)</f>
        <v>64.788188050930472</v>
      </c>
      <c r="BZ34" s="75">
        <f t="shared" si="8"/>
        <v>1</v>
      </c>
      <c r="CA34" s="76">
        <f>(25%+25%+25%)/3</f>
        <v>0.25</v>
      </c>
      <c r="CB34" s="76">
        <f>(25%+25%+25%)/3</f>
        <v>0.25</v>
      </c>
      <c r="CC34" s="76">
        <f>(25%+25%+25%)/3</f>
        <v>0.25</v>
      </c>
      <c r="CD34" s="76">
        <f>(25%+25%+25%)/3</f>
        <v>0.25</v>
      </c>
      <c r="CE34" s="59"/>
      <c r="CF34" s="59"/>
      <c r="CG34" s="59"/>
      <c r="CH34" s="81"/>
      <c r="CI34" s="81"/>
      <c r="CJ34" s="81"/>
      <c r="CK34" s="81"/>
      <c r="CL34" s="56">
        <v>0.9899</v>
      </c>
      <c r="CM34" s="58">
        <f t="shared" ref="CM34" si="16">CL34</f>
        <v>0.9899</v>
      </c>
      <c r="CN34" s="77">
        <v>9.2951610000000018E-2</v>
      </c>
      <c r="CO34" s="42"/>
    </row>
    <row r="35" spans="1:93" s="41" customFormat="1" ht="95.25" customHeight="1" x14ac:dyDescent="0.25">
      <c r="A35" s="115"/>
      <c r="B35" s="113"/>
      <c r="C35" s="113"/>
      <c r="D35" s="113"/>
      <c r="E35" s="115"/>
      <c r="F35" s="119"/>
      <c r="G35" s="120"/>
      <c r="H35" s="113"/>
      <c r="I35" s="113"/>
      <c r="J35" s="110"/>
      <c r="K35" s="92" t="s">
        <v>422</v>
      </c>
      <c r="L35" s="92" t="s">
        <v>244</v>
      </c>
      <c r="M35" s="114"/>
      <c r="N35" s="85" t="s">
        <v>508</v>
      </c>
      <c r="O35" s="29">
        <v>0.125</v>
      </c>
      <c r="P35" s="85" t="s">
        <v>126</v>
      </c>
      <c r="Q35" s="92" t="s">
        <v>84</v>
      </c>
      <c r="R35" s="92" t="s">
        <v>84</v>
      </c>
      <c r="S35" s="85" t="s">
        <v>127</v>
      </c>
      <c r="T35" s="92" t="s">
        <v>100</v>
      </c>
      <c r="U35" s="85" t="s">
        <v>128</v>
      </c>
      <c r="V35" s="92" t="s">
        <v>121</v>
      </c>
      <c r="W35" s="92" t="s">
        <v>108</v>
      </c>
      <c r="X35" s="92" t="s">
        <v>84</v>
      </c>
      <c r="Y35" s="92" t="s">
        <v>84</v>
      </c>
      <c r="Z35" s="92" t="s">
        <v>84</v>
      </c>
      <c r="AA35" s="36" t="s">
        <v>102</v>
      </c>
      <c r="AB35" s="49">
        <v>65</v>
      </c>
      <c r="AC35" s="49">
        <v>65</v>
      </c>
      <c r="AD35" s="49">
        <v>65</v>
      </c>
      <c r="AE35" s="49">
        <v>65</v>
      </c>
      <c r="AF35" s="49">
        <v>65</v>
      </c>
      <c r="AG35" s="49">
        <v>65</v>
      </c>
      <c r="AH35" s="49">
        <v>65</v>
      </c>
      <c r="AI35" s="49">
        <v>65</v>
      </c>
      <c r="AJ35" s="49">
        <v>65</v>
      </c>
      <c r="AK35" s="49">
        <v>65</v>
      </c>
      <c r="AL35" s="49">
        <v>65</v>
      </c>
      <c r="AM35" s="49">
        <v>65</v>
      </c>
      <c r="AN35" s="49">
        <v>65</v>
      </c>
      <c r="AO35" s="60">
        <f>(316.22+418.03+295)/3</f>
        <v>343.08333333333331</v>
      </c>
      <c r="AP35" s="76">
        <f>(AQ35+AR35+AS35+AT35)/3</f>
        <v>1</v>
      </c>
      <c r="AQ35" s="76">
        <f>(25%+25%+25%)</f>
        <v>0.75</v>
      </c>
      <c r="AR35" s="76">
        <f t="shared" ref="AR35:AT35" si="17">(25%+25%+25%)</f>
        <v>0.75</v>
      </c>
      <c r="AS35" s="76">
        <f t="shared" si="17"/>
        <v>0.75</v>
      </c>
      <c r="AT35" s="76">
        <f t="shared" si="17"/>
        <v>0.75</v>
      </c>
      <c r="AU35" s="61">
        <f>(29703+22183+18441)/(93+84+104)</f>
        <v>250.27402135231316</v>
      </c>
      <c r="AV35" s="76">
        <v>1</v>
      </c>
      <c r="AW35" s="76">
        <v>0.25</v>
      </c>
      <c r="AX35" s="76">
        <v>0.25</v>
      </c>
      <c r="AY35" s="76">
        <v>0.25</v>
      </c>
      <c r="AZ35" s="76">
        <v>0.25</v>
      </c>
      <c r="BA35" s="96">
        <f>(173+218.88+164.15)/3</f>
        <v>185.34333333333333</v>
      </c>
      <c r="BB35" s="79">
        <v>1</v>
      </c>
      <c r="BC35" s="79">
        <f>(25%+25%+25%)/3</f>
        <v>0.25</v>
      </c>
      <c r="BD35" s="79">
        <f t="shared" ref="BD35:BF35" si="18">(25%+25%+25%)/3</f>
        <v>0.25</v>
      </c>
      <c r="BE35" s="79">
        <f t="shared" si="18"/>
        <v>0.25</v>
      </c>
      <c r="BF35" s="79">
        <f t="shared" si="18"/>
        <v>0.25</v>
      </c>
      <c r="BG35" s="59"/>
      <c r="BH35" s="59"/>
      <c r="BI35" s="59"/>
      <c r="BJ35" s="59"/>
      <c r="BK35" s="59"/>
      <c r="BL35" s="59"/>
      <c r="BM35" s="61">
        <f>((6957+13377+30109)/(22+32+102))</f>
        <v>323.35256410256409</v>
      </c>
      <c r="BN35" s="76">
        <f>(BO35+BP35+BQ35+BR35)/3</f>
        <v>1</v>
      </c>
      <c r="BO35" s="76">
        <f>(25%+25%+25%)</f>
        <v>0.75</v>
      </c>
      <c r="BP35" s="76">
        <f t="shared" ref="BP35:BR35" si="19">(25%+25%+25%)</f>
        <v>0.75</v>
      </c>
      <c r="BQ35" s="76">
        <f t="shared" si="19"/>
        <v>0.75</v>
      </c>
      <c r="BR35" s="76">
        <f t="shared" si="19"/>
        <v>0.75</v>
      </c>
      <c r="BS35" s="61">
        <f>(29703+22183+18441)/(93+84+104)</f>
        <v>250.27402135231316</v>
      </c>
      <c r="BT35" s="76">
        <f t="shared" ref="BT35:BT39" si="20">BU35+BV35+BW35+BX35</f>
        <v>1</v>
      </c>
      <c r="BU35" s="76">
        <f t="shared" ref="BU35:BX35" si="21">(25%+25%+25%)/3</f>
        <v>0.25</v>
      </c>
      <c r="BV35" s="76">
        <f t="shared" si="21"/>
        <v>0.25</v>
      </c>
      <c r="BW35" s="76">
        <f t="shared" si="21"/>
        <v>0.25</v>
      </c>
      <c r="BX35" s="76">
        <f t="shared" si="21"/>
        <v>0.25</v>
      </c>
      <c r="BY35" s="61">
        <f>(12827+20575+7223)/(74+94+44)</f>
        <v>191.62735849056602</v>
      </c>
      <c r="BZ35" s="75">
        <f t="shared" si="8"/>
        <v>1</v>
      </c>
      <c r="CA35" s="76">
        <f t="shared" ref="CA35:CD35" si="22">(25%+25%+25%)/3</f>
        <v>0.25</v>
      </c>
      <c r="CB35" s="76">
        <f t="shared" si="22"/>
        <v>0.25</v>
      </c>
      <c r="CC35" s="76">
        <f t="shared" si="22"/>
        <v>0.25</v>
      </c>
      <c r="CD35" s="76">
        <f t="shared" si="22"/>
        <v>0.25</v>
      </c>
      <c r="CE35" s="59"/>
      <c r="CF35" s="59"/>
      <c r="CG35" s="59"/>
      <c r="CH35" s="81"/>
      <c r="CI35" s="81"/>
      <c r="CJ35" s="81"/>
      <c r="CK35" s="81"/>
      <c r="CL35" s="76">
        <v>0</v>
      </c>
      <c r="CM35" s="76">
        <f t="shared" ref="CM35" si="23">CL35</f>
        <v>0</v>
      </c>
      <c r="CN35" s="94">
        <v>0</v>
      </c>
      <c r="CO35" s="42"/>
    </row>
    <row r="36" spans="1:93" s="41" customFormat="1" ht="75" customHeight="1" x14ac:dyDescent="0.25">
      <c r="A36" s="115"/>
      <c r="B36" s="113"/>
      <c r="C36" s="113"/>
      <c r="D36" s="113"/>
      <c r="E36" s="115"/>
      <c r="F36" s="119"/>
      <c r="G36" s="120"/>
      <c r="H36" s="113"/>
      <c r="I36" s="113"/>
      <c r="J36" s="110"/>
      <c r="K36" s="92" t="s">
        <v>423</v>
      </c>
      <c r="L36" s="92" t="s">
        <v>244</v>
      </c>
      <c r="M36" s="114"/>
      <c r="N36" s="85" t="s">
        <v>509</v>
      </c>
      <c r="O36" s="29">
        <v>0.125</v>
      </c>
      <c r="P36" s="85" t="s">
        <v>122</v>
      </c>
      <c r="Q36" s="50" t="s">
        <v>84</v>
      </c>
      <c r="R36" s="92" t="s">
        <v>279</v>
      </c>
      <c r="S36" s="85" t="s">
        <v>123</v>
      </c>
      <c r="T36" s="92" t="s">
        <v>85</v>
      </c>
      <c r="U36" s="85" t="s">
        <v>124</v>
      </c>
      <c r="V36" s="92" t="s">
        <v>121</v>
      </c>
      <c r="W36" s="92" t="s">
        <v>125</v>
      </c>
      <c r="X36" s="92" t="s">
        <v>84</v>
      </c>
      <c r="Y36" s="50" t="s">
        <v>84</v>
      </c>
      <c r="Z36" s="50" t="s">
        <v>84</v>
      </c>
      <c r="AA36" s="36" t="s">
        <v>89</v>
      </c>
      <c r="AB36" s="49"/>
      <c r="AC36" s="49"/>
      <c r="AD36" s="73">
        <v>1</v>
      </c>
      <c r="AE36" s="49"/>
      <c r="AF36" s="49"/>
      <c r="AG36" s="73">
        <v>1</v>
      </c>
      <c r="AH36" s="49"/>
      <c r="AI36" s="49"/>
      <c r="AJ36" s="73">
        <v>1</v>
      </c>
      <c r="AK36" s="49"/>
      <c r="AL36" s="49"/>
      <c r="AM36" s="73">
        <v>1</v>
      </c>
      <c r="AN36" s="73">
        <v>1</v>
      </c>
      <c r="AO36" s="57">
        <f>22/33</f>
        <v>0.66666666666666663</v>
      </c>
      <c r="AP36" s="79">
        <v>1</v>
      </c>
      <c r="AQ36" s="79">
        <v>0.25</v>
      </c>
      <c r="AR36" s="79">
        <v>0.25</v>
      </c>
      <c r="AS36" s="79">
        <v>0.25</v>
      </c>
      <c r="AT36" s="79">
        <v>0.25</v>
      </c>
      <c r="AU36" s="57">
        <f>14/16</f>
        <v>0.875</v>
      </c>
      <c r="AV36" s="76">
        <v>1</v>
      </c>
      <c r="AW36" s="76">
        <v>0.25</v>
      </c>
      <c r="AX36" s="76">
        <v>0.25</v>
      </c>
      <c r="AY36" s="76">
        <v>0.25</v>
      </c>
      <c r="AZ36" s="76">
        <v>0.25</v>
      </c>
      <c r="BA36" s="58">
        <v>0.79169999999999996</v>
      </c>
      <c r="BB36" s="75">
        <v>1</v>
      </c>
      <c r="BC36" s="76">
        <v>0.25</v>
      </c>
      <c r="BD36" s="76">
        <v>0.25</v>
      </c>
      <c r="BE36" s="76">
        <v>0.25</v>
      </c>
      <c r="BF36" s="76">
        <v>0.25</v>
      </c>
      <c r="BG36" s="59"/>
      <c r="BH36" s="59"/>
      <c r="BI36" s="59"/>
      <c r="BJ36" s="59"/>
      <c r="BK36" s="59"/>
      <c r="BL36" s="59"/>
      <c r="BM36" s="58">
        <f>22/33</f>
        <v>0.66666666666666663</v>
      </c>
      <c r="BN36" s="79">
        <f>BO36+BP36+BQ36+BR36</f>
        <v>1</v>
      </c>
      <c r="BO36" s="76">
        <v>0.25</v>
      </c>
      <c r="BP36" s="76">
        <v>0.25</v>
      </c>
      <c r="BQ36" s="76">
        <v>0.25</v>
      </c>
      <c r="BR36" s="76">
        <v>0.25</v>
      </c>
      <c r="BS36" s="57">
        <f>14/16</f>
        <v>0.875</v>
      </c>
      <c r="BT36" s="79">
        <f t="shared" si="20"/>
        <v>1</v>
      </c>
      <c r="BU36" s="76">
        <v>0.25</v>
      </c>
      <c r="BV36" s="76">
        <v>0.25</v>
      </c>
      <c r="BW36" s="76">
        <v>0.25</v>
      </c>
      <c r="BX36" s="76">
        <v>0.25</v>
      </c>
      <c r="BY36" s="77">
        <f>19/24</f>
        <v>0.79166666666666663</v>
      </c>
      <c r="BZ36" s="75">
        <f t="shared" si="8"/>
        <v>1</v>
      </c>
      <c r="CA36" s="72">
        <v>0.25</v>
      </c>
      <c r="CB36" s="72">
        <v>0.25</v>
      </c>
      <c r="CC36" s="72">
        <v>0.25</v>
      </c>
      <c r="CD36" s="72">
        <v>0.25</v>
      </c>
      <c r="CE36" s="59"/>
      <c r="CF36" s="59"/>
      <c r="CG36" s="59"/>
      <c r="CH36" s="81"/>
      <c r="CI36" s="81"/>
      <c r="CJ36" s="81"/>
      <c r="CK36" s="81"/>
      <c r="CL36" s="58">
        <f>(BM36+BS36+BY36)/3</f>
        <v>0.77777777777777768</v>
      </c>
      <c r="CM36" s="58">
        <f>CL36/3</f>
        <v>0.25925925925925924</v>
      </c>
      <c r="CN36" s="77">
        <v>7.3033333333333339E-2</v>
      </c>
    </row>
    <row r="37" spans="1:93" s="41" customFormat="1" ht="75" customHeight="1" x14ac:dyDescent="0.25">
      <c r="A37" s="115"/>
      <c r="B37" s="113"/>
      <c r="C37" s="113"/>
      <c r="D37" s="113"/>
      <c r="E37" s="115"/>
      <c r="F37" s="119"/>
      <c r="G37" s="120"/>
      <c r="H37" s="113"/>
      <c r="I37" s="113"/>
      <c r="J37" s="110"/>
      <c r="K37" s="92" t="s">
        <v>423</v>
      </c>
      <c r="L37" s="92" t="s">
        <v>244</v>
      </c>
      <c r="M37" s="114"/>
      <c r="N37" s="85" t="s">
        <v>510</v>
      </c>
      <c r="O37" s="29">
        <v>0.125</v>
      </c>
      <c r="P37" s="83" t="s">
        <v>129</v>
      </c>
      <c r="Q37" s="50" t="s">
        <v>84</v>
      </c>
      <c r="R37" s="92" t="s">
        <v>135</v>
      </c>
      <c r="S37" s="83" t="s">
        <v>136</v>
      </c>
      <c r="T37" s="92" t="s">
        <v>85</v>
      </c>
      <c r="U37" s="83" t="s">
        <v>137</v>
      </c>
      <c r="V37" s="92" t="s">
        <v>121</v>
      </c>
      <c r="W37" s="92" t="s">
        <v>125</v>
      </c>
      <c r="X37" s="92" t="s">
        <v>84</v>
      </c>
      <c r="Y37" s="50" t="s">
        <v>84</v>
      </c>
      <c r="Z37" s="50" t="s">
        <v>84</v>
      </c>
      <c r="AA37" s="36" t="s">
        <v>89</v>
      </c>
      <c r="AB37" s="49"/>
      <c r="AC37" s="49"/>
      <c r="AD37" s="73">
        <v>1</v>
      </c>
      <c r="AE37" s="49"/>
      <c r="AF37" s="49"/>
      <c r="AG37" s="73">
        <v>1</v>
      </c>
      <c r="AH37" s="49"/>
      <c r="AI37" s="49"/>
      <c r="AJ37" s="73">
        <v>1</v>
      </c>
      <c r="AK37" s="49"/>
      <c r="AL37" s="49"/>
      <c r="AM37" s="73">
        <v>1</v>
      </c>
      <c r="AN37" s="73">
        <v>1</v>
      </c>
      <c r="AO37" s="76">
        <v>1</v>
      </c>
      <c r="AP37" s="79">
        <v>1</v>
      </c>
      <c r="AQ37" s="79">
        <v>0.25</v>
      </c>
      <c r="AR37" s="79">
        <v>0.25</v>
      </c>
      <c r="AS37" s="79">
        <v>0.25</v>
      </c>
      <c r="AT37" s="79">
        <v>0.25</v>
      </c>
      <c r="AU37" s="76">
        <v>1</v>
      </c>
      <c r="AV37" s="76">
        <v>1</v>
      </c>
      <c r="AW37" s="76">
        <v>0.25</v>
      </c>
      <c r="AX37" s="76">
        <v>0.25</v>
      </c>
      <c r="AY37" s="76">
        <v>0.25</v>
      </c>
      <c r="AZ37" s="76">
        <v>0.25</v>
      </c>
      <c r="BA37" s="70">
        <v>1</v>
      </c>
      <c r="BB37" s="75">
        <v>1</v>
      </c>
      <c r="BC37" s="76">
        <v>0.25</v>
      </c>
      <c r="BD37" s="76">
        <v>0.25</v>
      </c>
      <c r="BE37" s="76">
        <v>0.25</v>
      </c>
      <c r="BF37" s="76">
        <v>0.25</v>
      </c>
      <c r="BG37" s="59"/>
      <c r="BH37" s="59"/>
      <c r="BI37" s="59"/>
      <c r="BJ37" s="59"/>
      <c r="BK37" s="59"/>
      <c r="BL37" s="59"/>
      <c r="BM37" s="76">
        <f>AO37</f>
        <v>1</v>
      </c>
      <c r="BN37" s="79">
        <f>BO37+BP37+BQ37+BR37</f>
        <v>1</v>
      </c>
      <c r="BO37" s="76">
        <v>0.25</v>
      </c>
      <c r="BP37" s="76">
        <v>0.25</v>
      </c>
      <c r="BQ37" s="76">
        <v>0.25</v>
      </c>
      <c r="BR37" s="76">
        <v>0.25</v>
      </c>
      <c r="BS37" s="79">
        <f>100%</f>
        <v>1</v>
      </c>
      <c r="BT37" s="79">
        <f t="shared" si="20"/>
        <v>1</v>
      </c>
      <c r="BU37" s="76">
        <v>0.25</v>
      </c>
      <c r="BV37" s="76">
        <v>0.25</v>
      </c>
      <c r="BW37" s="76">
        <v>0.25</v>
      </c>
      <c r="BX37" s="76">
        <v>0.25</v>
      </c>
      <c r="BY37" s="76">
        <v>1</v>
      </c>
      <c r="BZ37" s="75">
        <f t="shared" si="8"/>
        <v>1</v>
      </c>
      <c r="CA37" s="72">
        <v>0.25</v>
      </c>
      <c r="CB37" s="72">
        <v>0.25</v>
      </c>
      <c r="CC37" s="72">
        <v>0.25</v>
      </c>
      <c r="CD37" s="72">
        <v>0.25</v>
      </c>
      <c r="CE37" s="59"/>
      <c r="CF37" s="59"/>
      <c r="CG37" s="59"/>
      <c r="CH37" s="81"/>
      <c r="CI37" s="81"/>
      <c r="CJ37" s="81"/>
      <c r="CK37" s="81"/>
      <c r="CL37" s="76">
        <f>(BM37+BS37+BY37)/3</f>
        <v>1</v>
      </c>
      <c r="CM37" s="76">
        <v>0.75</v>
      </c>
      <c r="CN37" s="77">
        <v>9.3900000000000011E-2</v>
      </c>
    </row>
    <row r="38" spans="1:93" s="41" customFormat="1" ht="45" customHeight="1" x14ac:dyDescent="0.25">
      <c r="A38" s="115"/>
      <c r="B38" s="113"/>
      <c r="C38" s="113"/>
      <c r="D38" s="113"/>
      <c r="E38" s="115"/>
      <c r="F38" s="119"/>
      <c r="G38" s="120"/>
      <c r="H38" s="113"/>
      <c r="I38" s="113"/>
      <c r="J38" s="110"/>
      <c r="K38" s="92" t="s">
        <v>423</v>
      </c>
      <c r="L38" s="92" t="s">
        <v>244</v>
      </c>
      <c r="M38" s="114"/>
      <c r="N38" s="85" t="s">
        <v>511</v>
      </c>
      <c r="O38" s="29">
        <v>0.125</v>
      </c>
      <c r="P38" s="83" t="s">
        <v>129</v>
      </c>
      <c r="Q38" s="50" t="s">
        <v>84</v>
      </c>
      <c r="R38" s="92" t="s">
        <v>135</v>
      </c>
      <c r="S38" s="83" t="s">
        <v>138</v>
      </c>
      <c r="T38" s="92" t="s">
        <v>85</v>
      </c>
      <c r="U38" s="83" t="s">
        <v>139</v>
      </c>
      <c r="V38" s="92" t="s">
        <v>121</v>
      </c>
      <c r="W38" s="92" t="s">
        <v>125</v>
      </c>
      <c r="X38" s="92" t="s">
        <v>84</v>
      </c>
      <c r="Y38" s="50" t="s">
        <v>84</v>
      </c>
      <c r="Z38" s="50" t="s">
        <v>84</v>
      </c>
      <c r="AA38" s="36" t="s">
        <v>109</v>
      </c>
      <c r="AB38" s="36"/>
      <c r="AC38" s="36"/>
      <c r="AD38" s="72"/>
      <c r="AE38" s="36"/>
      <c r="AF38" s="36"/>
      <c r="AG38" s="72">
        <v>1</v>
      </c>
      <c r="AH38" s="36"/>
      <c r="AI38" s="36"/>
      <c r="AJ38" s="72"/>
      <c r="AK38" s="36"/>
      <c r="AL38" s="36"/>
      <c r="AM38" s="72">
        <v>1</v>
      </c>
      <c r="AN38" s="72">
        <v>1</v>
      </c>
      <c r="AO38" s="81"/>
      <c r="AP38" s="81"/>
      <c r="AQ38" s="81"/>
      <c r="AR38" s="81"/>
      <c r="AS38" s="81"/>
      <c r="AT38" s="81"/>
      <c r="AU38" s="57">
        <v>0.73780487804878048</v>
      </c>
      <c r="AV38" s="76">
        <v>1</v>
      </c>
      <c r="AW38" s="76">
        <v>0.25</v>
      </c>
      <c r="AX38" s="76">
        <v>0.25</v>
      </c>
      <c r="AY38" s="76">
        <v>0.25</v>
      </c>
      <c r="AZ38" s="76">
        <v>0.25</v>
      </c>
      <c r="BA38" s="81"/>
      <c r="BB38" s="81"/>
      <c r="BC38" s="81"/>
      <c r="BD38" s="81"/>
      <c r="BE38" s="81"/>
      <c r="BF38" s="81"/>
      <c r="BG38" s="59"/>
      <c r="BH38" s="59"/>
      <c r="BI38" s="59"/>
      <c r="BJ38" s="59"/>
      <c r="BK38" s="59"/>
      <c r="BL38" s="59"/>
      <c r="BM38" s="81"/>
      <c r="BN38" s="81"/>
      <c r="BO38" s="81"/>
      <c r="BP38" s="81"/>
      <c r="BQ38" s="81"/>
      <c r="BR38" s="81"/>
      <c r="BS38" s="57">
        <f>121/164</f>
        <v>0.73780487804878048</v>
      </c>
      <c r="BT38" s="79">
        <f t="shared" si="20"/>
        <v>1</v>
      </c>
      <c r="BU38" s="76">
        <v>0.25</v>
      </c>
      <c r="BV38" s="76">
        <v>0.25</v>
      </c>
      <c r="BW38" s="76">
        <v>0.25</v>
      </c>
      <c r="BX38" s="76">
        <v>0.25</v>
      </c>
      <c r="BY38" s="81"/>
      <c r="BZ38" s="81"/>
      <c r="CA38" s="81"/>
      <c r="CB38" s="81"/>
      <c r="CC38" s="81"/>
      <c r="CD38" s="81"/>
      <c r="CE38" s="59"/>
      <c r="CF38" s="59"/>
      <c r="CG38" s="59"/>
      <c r="CH38" s="81"/>
      <c r="CI38" s="81"/>
      <c r="CJ38" s="81"/>
      <c r="CK38" s="81"/>
      <c r="CL38" s="58">
        <f>BS38</f>
        <v>0.73780487804878048</v>
      </c>
      <c r="CM38" s="58">
        <f t="shared" ref="CM38" si="24">CL38/2</f>
        <v>0.36890243902439024</v>
      </c>
      <c r="CN38" s="77">
        <v>4.6186585365853662E-2</v>
      </c>
    </row>
    <row r="39" spans="1:93" s="41" customFormat="1" ht="90" customHeight="1" x14ac:dyDescent="0.25">
      <c r="A39" s="115"/>
      <c r="B39" s="113"/>
      <c r="C39" s="113"/>
      <c r="D39" s="113"/>
      <c r="E39" s="115"/>
      <c r="F39" s="119"/>
      <c r="G39" s="120"/>
      <c r="H39" s="113"/>
      <c r="I39" s="113"/>
      <c r="J39" s="110"/>
      <c r="K39" s="92" t="s">
        <v>423</v>
      </c>
      <c r="L39" s="92" t="s">
        <v>244</v>
      </c>
      <c r="M39" s="114"/>
      <c r="N39" s="85" t="s">
        <v>512</v>
      </c>
      <c r="O39" s="29">
        <v>0.125</v>
      </c>
      <c r="P39" s="85" t="s">
        <v>333</v>
      </c>
      <c r="Q39" s="50" t="s">
        <v>84</v>
      </c>
      <c r="R39" s="92" t="s">
        <v>279</v>
      </c>
      <c r="S39" s="85" t="s">
        <v>334</v>
      </c>
      <c r="T39" s="92" t="s">
        <v>85</v>
      </c>
      <c r="U39" s="85" t="s">
        <v>456</v>
      </c>
      <c r="V39" s="92" t="s">
        <v>121</v>
      </c>
      <c r="W39" s="92" t="s">
        <v>125</v>
      </c>
      <c r="X39" s="92" t="s">
        <v>84</v>
      </c>
      <c r="Y39" s="50" t="s">
        <v>84</v>
      </c>
      <c r="Z39" s="50" t="s">
        <v>84</v>
      </c>
      <c r="AA39" s="36" t="s">
        <v>102</v>
      </c>
      <c r="AB39" s="73">
        <v>1</v>
      </c>
      <c r="AC39" s="73">
        <v>1</v>
      </c>
      <c r="AD39" s="73">
        <v>1</v>
      </c>
      <c r="AE39" s="73">
        <v>1</v>
      </c>
      <c r="AF39" s="73">
        <v>1</v>
      </c>
      <c r="AG39" s="73">
        <v>1</v>
      </c>
      <c r="AH39" s="73">
        <v>1</v>
      </c>
      <c r="AI39" s="73">
        <v>1</v>
      </c>
      <c r="AJ39" s="73">
        <v>1</v>
      </c>
      <c r="AK39" s="73">
        <v>1</v>
      </c>
      <c r="AL39" s="73">
        <v>1</v>
      </c>
      <c r="AM39" s="73">
        <v>1</v>
      </c>
      <c r="AN39" s="73">
        <v>1</v>
      </c>
      <c r="AO39" s="57">
        <f>((197+151+228)/(235+180+295))</f>
        <v>0.81126760563380285</v>
      </c>
      <c r="AP39" s="79">
        <f>(+AQ39+AR39+AS39+AT39)</f>
        <v>1</v>
      </c>
      <c r="AQ39" s="76">
        <f>(25%+25%+25%)/3</f>
        <v>0.25</v>
      </c>
      <c r="AR39" s="76">
        <f t="shared" ref="AR39:AT39" si="25">(25%+25%+25%)/3</f>
        <v>0.25</v>
      </c>
      <c r="AS39" s="76">
        <f t="shared" si="25"/>
        <v>0.25</v>
      </c>
      <c r="AT39" s="76">
        <f t="shared" si="25"/>
        <v>0.25</v>
      </c>
      <c r="AU39" s="57">
        <f>(129+231+259)/(144+259+295)</f>
        <v>0.88681948424068768</v>
      </c>
      <c r="AV39" s="76">
        <v>1</v>
      </c>
      <c r="AW39" s="76">
        <v>0.25</v>
      </c>
      <c r="AX39" s="76">
        <v>0.25</v>
      </c>
      <c r="AY39" s="76">
        <v>0.25</v>
      </c>
      <c r="AZ39" s="76">
        <v>0.25</v>
      </c>
      <c r="BA39" s="77">
        <f>(120+247+185)/(135+287+218)</f>
        <v>0.86250000000000004</v>
      </c>
      <c r="BB39" s="76">
        <v>1</v>
      </c>
      <c r="BC39" s="76">
        <f>(25%+25%+25%)/3</f>
        <v>0.25</v>
      </c>
      <c r="BD39" s="76">
        <f>(25%+25%+25%)/3</f>
        <v>0.25</v>
      </c>
      <c r="BE39" s="76">
        <f>(25%+25%+25%)/3</f>
        <v>0.25</v>
      </c>
      <c r="BF39" s="76">
        <f>(25%+25%+25%)/3</f>
        <v>0.25</v>
      </c>
      <c r="BG39" s="59"/>
      <c r="BH39" s="59"/>
      <c r="BI39" s="59"/>
      <c r="BJ39" s="59"/>
      <c r="BK39" s="59"/>
      <c r="BL39" s="59"/>
      <c r="BM39" s="57">
        <f>((197+151+228)/(235+180+295))</f>
        <v>0.81126760563380285</v>
      </c>
      <c r="BN39" s="79">
        <f>(BO39+BP39+BQ39+BR39)/3</f>
        <v>1</v>
      </c>
      <c r="BO39" s="76">
        <f>(25%+25%+25%)</f>
        <v>0.75</v>
      </c>
      <c r="BP39" s="76">
        <f>(25%+25%+25%)</f>
        <v>0.75</v>
      </c>
      <c r="BQ39" s="76">
        <f>(25%+25%+25%)</f>
        <v>0.75</v>
      </c>
      <c r="BR39" s="76">
        <f>(25%+25%+25%)</f>
        <v>0.75</v>
      </c>
      <c r="BS39" s="57">
        <f>(129+231+259)/(144+259+295)</f>
        <v>0.88681948424068768</v>
      </c>
      <c r="BT39" s="76">
        <f t="shared" si="20"/>
        <v>1</v>
      </c>
      <c r="BU39" s="76">
        <f>(25%+25%+25%)/3</f>
        <v>0.25</v>
      </c>
      <c r="BV39" s="76">
        <f t="shared" ref="BV39:BX39" si="26">(25%+25%+25%)/3</f>
        <v>0.25</v>
      </c>
      <c r="BW39" s="76">
        <f t="shared" si="26"/>
        <v>0.25</v>
      </c>
      <c r="BX39" s="76">
        <f t="shared" si="26"/>
        <v>0.25</v>
      </c>
      <c r="BY39" s="77">
        <f>(120+247+185)/(135+287+218)</f>
        <v>0.86250000000000004</v>
      </c>
      <c r="BZ39" s="75">
        <f t="shared" ref="BZ39:BZ44" si="27">CA39+CB39+CC39+CD39</f>
        <v>1</v>
      </c>
      <c r="CA39" s="76">
        <f t="shared" ref="CA39:CD39" si="28">(25%+25%+25%)/3</f>
        <v>0.25</v>
      </c>
      <c r="CB39" s="76">
        <f t="shared" si="28"/>
        <v>0.25</v>
      </c>
      <c r="CC39" s="76">
        <f t="shared" si="28"/>
        <v>0.25</v>
      </c>
      <c r="CD39" s="76">
        <f t="shared" si="28"/>
        <v>0.25</v>
      </c>
      <c r="CE39" s="59"/>
      <c r="CF39" s="59"/>
      <c r="CG39" s="59"/>
      <c r="CH39" s="81"/>
      <c r="CI39" s="81"/>
      <c r="CJ39" s="81"/>
      <c r="CK39" s="81"/>
      <c r="CL39" s="58">
        <f>(BM39+BS39+BY39)/3</f>
        <v>0.8535290299581636</v>
      </c>
      <c r="CM39" s="58">
        <f>CL39/2</f>
        <v>0.4267645149790818</v>
      </c>
      <c r="CN39" s="77">
        <v>8.0146375913071569E-2</v>
      </c>
    </row>
    <row r="40" spans="1:93" s="41" customFormat="1" ht="75" customHeight="1" x14ac:dyDescent="0.25">
      <c r="A40" s="115"/>
      <c r="B40" s="113"/>
      <c r="C40" s="113"/>
      <c r="D40" s="113"/>
      <c r="E40" s="115"/>
      <c r="F40" s="119"/>
      <c r="G40" s="120"/>
      <c r="H40" s="113"/>
      <c r="I40" s="113"/>
      <c r="J40" s="110"/>
      <c r="K40" s="92" t="s">
        <v>422</v>
      </c>
      <c r="L40" s="92" t="s">
        <v>244</v>
      </c>
      <c r="M40" s="114"/>
      <c r="N40" s="85" t="s">
        <v>513</v>
      </c>
      <c r="O40" s="29">
        <v>0.125</v>
      </c>
      <c r="P40" s="85" t="s">
        <v>335</v>
      </c>
      <c r="Q40" s="92" t="s">
        <v>84</v>
      </c>
      <c r="R40" s="92" t="s">
        <v>84</v>
      </c>
      <c r="S40" s="85" t="s">
        <v>336</v>
      </c>
      <c r="T40" s="92" t="s">
        <v>85</v>
      </c>
      <c r="U40" s="85" t="s">
        <v>457</v>
      </c>
      <c r="V40" s="92" t="s">
        <v>121</v>
      </c>
      <c r="W40" s="92" t="s">
        <v>108</v>
      </c>
      <c r="X40" s="92" t="s">
        <v>84</v>
      </c>
      <c r="Y40" s="92" t="s">
        <v>84</v>
      </c>
      <c r="Z40" s="92" t="s">
        <v>84</v>
      </c>
      <c r="AA40" s="36" t="s">
        <v>102</v>
      </c>
      <c r="AB40" s="73">
        <v>1</v>
      </c>
      <c r="AC40" s="73">
        <v>1</v>
      </c>
      <c r="AD40" s="73">
        <v>1</v>
      </c>
      <c r="AE40" s="73">
        <v>1</v>
      </c>
      <c r="AF40" s="73">
        <v>1</v>
      </c>
      <c r="AG40" s="73">
        <v>1</v>
      </c>
      <c r="AH40" s="73">
        <v>1</v>
      </c>
      <c r="AI40" s="73">
        <v>1</v>
      </c>
      <c r="AJ40" s="73">
        <v>1</v>
      </c>
      <c r="AK40" s="73">
        <v>1</v>
      </c>
      <c r="AL40" s="73">
        <v>1</v>
      </c>
      <c r="AM40" s="73">
        <v>1</v>
      </c>
      <c r="AN40" s="73">
        <v>1</v>
      </c>
      <c r="AO40" s="66">
        <f>((17+15+13)/(30+31+36))</f>
        <v>0.46391752577319589</v>
      </c>
      <c r="AP40" s="76">
        <f>(AQ40+AR40+AS40+AT40)/3</f>
        <v>1</v>
      </c>
      <c r="AQ40" s="76">
        <f t="shared" ref="AQ40:AT40" si="29">(25%+25%+25%)</f>
        <v>0.75</v>
      </c>
      <c r="AR40" s="76">
        <f t="shared" si="29"/>
        <v>0.75</v>
      </c>
      <c r="AS40" s="76">
        <f t="shared" si="29"/>
        <v>0.75</v>
      </c>
      <c r="AT40" s="76">
        <f t="shared" si="29"/>
        <v>0.75</v>
      </c>
      <c r="AU40" s="58">
        <f>(23.07%+41.17%+42.85%)/3</f>
        <v>0.35696666666666665</v>
      </c>
      <c r="AV40" s="76">
        <v>1</v>
      </c>
      <c r="AW40" s="76">
        <f t="shared" ref="AW40:AZ40" si="30">(25%+25%+25%)/3</f>
        <v>0.25</v>
      </c>
      <c r="AX40" s="76">
        <f t="shared" si="30"/>
        <v>0.25</v>
      </c>
      <c r="AY40" s="76">
        <f t="shared" si="30"/>
        <v>0.25</v>
      </c>
      <c r="AZ40" s="76">
        <f t="shared" si="30"/>
        <v>0.25</v>
      </c>
      <c r="BA40" s="58">
        <f>(48.38%+64%+39.13%)/3</f>
        <v>0.50503333333333333</v>
      </c>
      <c r="BB40" s="76">
        <v>1</v>
      </c>
      <c r="BC40" s="79">
        <f t="shared" ref="BC40:BF40" si="31">(25%+25%+25%)/3</f>
        <v>0.25</v>
      </c>
      <c r="BD40" s="79">
        <f t="shared" si="31"/>
        <v>0.25</v>
      </c>
      <c r="BE40" s="79">
        <f t="shared" si="31"/>
        <v>0.25</v>
      </c>
      <c r="BF40" s="79">
        <f t="shared" si="31"/>
        <v>0.25</v>
      </c>
      <c r="BG40" s="59"/>
      <c r="BH40" s="59"/>
      <c r="BI40" s="59"/>
      <c r="BJ40" s="59"/>
      <c r="BK40" s="59"/>
      <c r="BL40" s="59"/>
      <c r="BM40" s="66">
        <f>((17+15+13)/(30+31+36))</f>
        <v>0.46391752577319589</v>
      </c>
      <c r="BN40" s="76">
        <f>(BO40+BP40+BQ40+BR40)/3</f>
        <v>1</v>
      </c>
      <c r="BO40" s="76">
        <f t="shared" ref="BO40:BR40" si="32">(25%+25%+25%)</f>
        <v>0.75</v>
      </c>
      <c r="BP40" s="76">
        <f t="shared" si="32"/>
        <v>0.75</v>
      </c>
      <c r="BQ40" s="76">
        <f t="shared" si="32"/>
        <v>0.75</v>
      </c>
      <c r="BR40" s="76">
        <f t="shared" si="32"/>
        <v>0.75</v>
      </c>
      <c r="BS40" s="57">
        <f>(9+7+9)/(39+17+21)</f>
        <v>0.32467532467532467</v>
      </c>
      <c r="BT40" s="76">
        <f t="shared" ref="BT40" si="33">BU40+BV40+BW40+BX40</f>
        <v>1</v>
      </c>
      <c r="BU40" s="76">
        <f t="shared" ref="BU40:BX40" si="34">(25%+25%+25%)/3</f>
        <v>0.25</v>
      </c>
      <c r="BV40" s="76">
        <f t="shared" si="34"/>
        <v>0.25</v>
      </c>
      <c r="BW40" s="76">
        <f t="shared" si="34"/>
        <v>0.25</v>
      </c>
      <c r="BX40" s="76">
        <f t="shared" si="34"/>
        <v>0.25</v>
      </c>
      <c r="BY40" s="77">
        <f>(15+15+18)/(31+25+46)</f>
        <v>0.47058823529411764</v>
      </c>
      <c r="BZ40" s="75">
        <f t="shared" si="27"/>
        <v>1</v>
      </c>
      <c r="CA40" s="76">
        <f t="shared" ref="CA40:CD40" si="35">(25%+25%+25%)/3</f>
        <v>0.25</v>
      </c>
      <c r="CB40" s="76">
        <f t="shared" si="35"/>
        <v>0.25</v>
      </c>
      <c r="CC40" s="76">
        <f t="shared" si="35"/>
        <v>0.25</v>
      </c>
      <c r="CD40" s="76">
        <f t="shared" si="35"/>
        <v>0.25</v>
      </c>
      <c r="CE40" s="59"/>
      <c r="CF40" s="59"/>
      <c r="CG40" s="59"/>
      <c r="CH40" s="81"/>
      <c r="CI40" s="81"/>
      <c r="CJ40" s="81"/>
      <c r="CK40" s="81"/>
      <c r="CL40" s="58">
        <f>(BM40+BS40+BY40)/3</f>
        <v>0.4197270285808794</v>
      </c>
      <c r="CM40" s="58">
        <f>CL40/2</f>
        <v>0.2098635142904397</v>
      </c>
      <c r="CN40" s="77">
        <v>3.9412367983744583E-2</v>
      </c>
      <c r="CO40" s="42"/>
    </row>
    <row r="41" spans="1:93" s="41" customFormat="1" ht="101.25" customHeight="1" x14ac:dyDescent="0.25">
      <c r="A41" s="115"/>
      <c r="B41" s="113"/>
      <c r="C41" s="113"/>
      <c r="D41" s="113"/>
      <c r="E41" s="115"/>
      <c r="F41" s="119"/>
      <c r="G41" s="120">
        <v>0.33329999999999999</v>
      </c>
      <c r="H41" s="113"/>
      <c r="I41" s="113" t="s">
        <v>359</v>
      </c>
      <c r="J41" s="110" t="s">
        <v>97</v>
      </c>
      <c r="K41" s="92" t="s">
        <v>424</v>
      </c>
      <c r="L41" s="92" t="s">
        <v>244</v>
      </c>
      <c r="M41" s="112">
        <v>1</v>
      </c>
      <c r="N41" s="85" t="s">
        <v>514</v>
      </c>
      <c r="O41" s="88">
        <v>0.125</v>
      </c>
      <c r="P41" s="85" t="s">
        <v>281</v>
      </c>
      <c r="Q41" s="92" t="s">
        <v>84</v>
      </c>
      <c r="R41" s="92" t="s">
        <v>84</v>
      </c>
      <c r="S41" s="85" t="s">
        <v>280</v>
      </c>
      <c r="T41" s="92" t="s">
        <v>85</v>
      </c>
      <c r="U41" s="83" t="s">
        <v>282</v>
      </c>
      <c r="V41" s="92" t="s">
        <v>121</v>
      </c>
      <c r="W41" s="92" t="s">
        <v>476</v>
      </c>
      <c r="X41" s="92" t="s">
        <v>84</v>
      </c>
      <c r="Y41" s="92" t="s">
        <v>84</v>
      </c>
      <c r="Z41" s="92" t="s">
        <v>84</v>
      </c>
      <c r="AA41" s="36" t="s">
        <v>89</v>
      </c>
      <c r="AB41" s="72"/>
      <c r="AC41" s="72"/>
      <c r="AD41" s="73">
        <v>1</v>
      </c>
      <c r="AE41" s="72"/>
      <c r="AF41" s="73"/>
      <c r="AG41" s="73">
        <v>1</v>
      </c>
      <c r="AH41" s="72"/>
      <c r="AI41" s="72"/>
      <c r="AJ41" s="73">
        <v>1</v>
      </c>
      <c r="AK41" s="72"/>
      <c r="AL41" s="72"/>
      <c r="AM41" s="73">
        <v>1</v>
      </c>
      <c r="AN41" s="73">
        <v>1</v>
      </c>
      <c r="AO41" s="43"/>
      <c r="AP41" s="43"/>
      <c r="AQ41" s="43"/>
      <c r="AR41" s="43"/>
      <c r="AS41" s="43"/>
      <c r="AT41" s="43"/>
      <c r="AU41" s="43"/>
      <c r="AV41" s="43"/>
      <c r="AW41" s="43"/>
      <c r="AX41" s="43"/>
      <c r="AY41" s="43"/>
      <c r="AZ41" s="43"/>
      <c r="BA41" s="76">
        <v>1</v>
      </c>
      <c r="BB41" s="76">
        <v>1</v>
      </c>
      <c r="BC41" s="76">
        <v>0.25</v>
      </c>
      <c r="BD41" s="76">
        <v>0.25</v>
      </c>
      <c r="BE41" s="76">
        <v>0.25</v>
      </c>
      <c r="BF41" s="76">
        <v>0.25</v>
      </c>
      <c r="BG41" s="44"/>
      <c r="BH41" s="44"/>
      <c r="BI41" s="44"/>
      <c r="BJ41" s="44"/>
      <c r="BK41" s="44"/>
      <c r="BL41" s="44"/>
      <c r="BM41" s="43"/>
      <c r="BN41" s="43"/>
      <c r="BO41" s="43"/>
      <c r="BP41" s="43"/>
      <c r="BQ41" s="43"/>
      <c r="BR41" s="43"/>
      <c r="BS41" s="43"/>
      <c r="BT41" s="43"/>
      <c r="BU41" s="43"/>
      <c r="BV41" s="43"/>
      <c r="BW41" s="43"/>
      <c r="BX41" s="43"/>
      <c r="BY41" s="73">
        <v>1</v>
      </c>
      <c r="BZ41" s="73">
        <f t="shared" si="27"/>
        <v>1</v>
      </c>
      <c r="CA41" s="76">
        <v>0.25</v>
      </c>
      <c r="CB41" s="76">
        <v>0.25</v>
      </c>
      <c r="CC41" s="76">
        <v>0.25</v>
      </c>
      <c r="CD41" s="76">
        <v>0.25</v>
      </c>
      <c r="CE41" s="44"/>
      <c r="CF41" s="44"/>
      <c r="CG41" s="44"/>
      <c r="CH41" s="43"/>
      <c r="CI41" s="43"/>
      <c r="CJ41" s="43"/>
      <c r="CK41" s="43"/>
      <c r="CL41" s="71">
        <f>BY41</f>
        <v>1</v>
      </c>
      <c r="CM41" s="79">
        <f>CL41/2</f>
        <v>0.5</v>
      </c>
      <c r="CN41" s="174">
        <v>9.3900000000000011E-2</v>
      </c>
    </row>
    <row r="42" spans="1:93" s="41" customFormat="1" ht="79.5" customHeight="1" x14ac:dyDescent="0.25">
      <c r="A42" s="115"/>
      <c r="B42" s="113"/>
      <c r="C42" s="113"/>
      <c r="D42" s="113"/>
      <c r="E42" s="115"/>
      <c r="F42" s="119"/>
      <c r="G42" s="120"/>
      <c r="H42" s="113"/>
      <c r="I42" s="113"/>
      <c r="J42" s="110"/>
      <c r="K42" s="92" t="s">
        <v>424</v>
      </c>
      <c r="L42" s="92" t="s">
        <v>244</v>
      </c>
      <c r="M42" s="112"/>
      <c r="N42" s="85" t="s">
        <v>515</v>
      </c>
      <c r="O42" s="88">
        <v>0.125</v>
      </c>
      <c r="P42" s="85" t="s">
        <v>458</v>
      </c>
      <c r="Q42" s="92" t="s">
        <v>84</v>
      </c>
      <c r="R42" s="92" t="s">
        <v>84</v>
      </c>
      <c r="S42" s="85" t="s">
        <v>459</v>
      </c>
      <c r="T42" s="92" t="s">
        <v>85</v>
      </c>
      <c r="U42" s="85" t="s">
        <v>485</v>
      </c>
      <c r="V42" s="92" t="s">
        <v>121</v>
      </c>
      <c r="W42" s="92" t="s">
        <v>476</v>
      </c>
      <c r="X42" s="92" t="s">
        <v>84</v>
      </c>
      <c r="Y42" s="92" t="s">
        <v>84</v>
      </c>
      <c r="Z42" s="92" t="s">
        <v>84</v>
      </c>
      <c r="AA42" s="36" t="s">
        <v>89</v>
      </c>
      <c r="AB42" s="72"/>
      <c r="AC42" s="72"/>
      <c r="AD42" s="73">
        <v>1</v>
      </c>
      <c r="AE42" s="72"/>
      <c r="AF42" s="72"/>
      <c r="AG42" s="72">
        <v>1</v>
      </c>
      <c r="AH42" s="72"/>
      <c r="AI42" s="72"/>
      <c r="AJ42" s="73">
        <v>1</v>
      </c>
      <c r="AK42" s="72"/>
      <c r="AL42" s="72"/>
      <c r="AM42" s="73">
        <v>1</v>
      </c>
      <c r="AN42" s="73">
        <v>1</v>
      </c>
      <c r="AO42" s="36"/>
      <c r="AP42" s="36"/>
      <c r="AQ42" s="36"/>
      <c r="AR42" s="36"/>
      <c r="AS42" s="36"/>
      <c r="AT42" s="36"/>
      <c r="AU42" s="36"/>
      <c r="AV42" s="36"/>
      <c r="AW42" s="36"/>
      <c r="AX42" s="36"/>
      <c r="AY42" s="36"/>
      <c r="AZ42" s="36"/>
      <c r="BA42" s="76">
        <v>1</v>
      </c>
      <c r="BB42" s="76">
        <v>1</v>
      </c>
      <c r="BC42" s="76">
        <v>0.25</v>
      </c>
      <c r="BD42" s="76">
        <v>0.25</v>
      </c>
      <c r="BE42" s="76">
        <v>0.25</v>
      </c>
      <c r="BF42" s="76">
        <v>0.25</v>
      </c>
      <c r="BG42" s="87"/>
      <c r="BH42" s="87"/>
      <c r="BI42" s="87"/>
      <c r="BJ42" s="87"/>
      <c r="BK42" s="87"/>
      <c r="BL42" s="87"/>
      <c r="BM42" s="36"/>
      <c r="BN42" s="36"/>
      <c r="BO42" s="36"/>
      <c r="BP42" s="36"/>
      <c r="BQ42" s="36"/>
      <c r="BR42" s="36"/>
      <c r="BS42" s="36"/>
      <c r="BT42" s="36"/>
      <c r="BU42" s="36"/>
      <c r="BV42" s="36"/>
      <c r="BW42" s="36"/>
      <c r="BX42" s="36"/>
      <c r="BY42" s="73">
        <f>19/19</f>
        <v>1</v>
      </c>
      <c r="BZ42" s="73">
        <f t="shared" si="27"/>
        <v>0.75</v>
      </c>
      <c r="CA42" s="76">
        <v>0</v>
      </c>
      <c r="CB42" s="76">
        <v>0.25</v>
      </c>
      <c r="CC42" s="76">
        <v>0.25</v>
      </c>
      <c r="CD42" s="76">
        <v>0.25</v>
      </c>
      <c r="CE42" s="87"/>
      <c r="CF42" s="87"/>
      <c r="CG42" s="87"/>
      <c r="CH42" s="36"/>
      <c r="CI42" s="36"/>
      <c r="CJ42" s="36"/>
      <c r="CK42" s="36"/>
      <c r="CL42" s="71">
        <f>BY42</f>
        <v>1</v>
      </c>
      <c r="CM42" s="79">
        <f>CL42/2</f>
        <v>0.5</v>
      </c>
      <c r="CN42" s="95">
        <v>9.3900000000000011E-2</v>
      </c>
      <c r="CO42" s="42"/>
    </row>
    <row r="43" spans="1:93" s="41" customFormat="1" ht="79.5" customHeight="1" x14ac:dyDescent="0.25">
      <c r="A43" s="115"/>
      <c r="B43" s="113"/>
      <c r="C43" s="113"/>
      <c r="D43" s="113"/>
      <c r="E43" s="115"/>
      <c r="F43" s="119"/>
      <c r="G43" s="120"/>
      <c r="H43" s="113"/>
      <c r="I43" s="113"/>
      <c r="J43" s="110"/>
      <c r="K43" s="92" t="s">
        <v>490</v>
      </c>
      <c r="L43" s="92" t="s">
        <v>244</v>
      </c>
      <c r="M43" s="112"/>
      <c r="N43" s="85" t="s">
        <v>516</v>
      </c>
      <c r="O43" s="88">
        <v>0.125</v>
      </c>
      <c r="P43" s="85" t="s">
        <v>337</v>
      </c>
      <c r="Q43" s="92" t="s">
        <v>84</v>
      </c>
      <c r="R43" s="92" t="s">
        <v>84</v>
      </c>
      <c r="S43" s="85" t="s">
        <v>351</v>
      </c>
      <c r="T43" s="92" t="s">
        <v>85</v>
      </c>
      <c r="U43" s="85" t="s">
        <v>284</v>
      </c>
      <c r="V43" s="92" t="s">
        <v>121</v>
      </c>
      <c r="W43" s="92" t="s">
        <v>125</v>
      </c>
      <c r="X43" s="92" t="s">
        <v>84</v>
      </c>
      <c r="Y43" s="92" t="s">
        <v>84</v>
      </c>
      <c r="Z43" s="92" t="s">
        <v>84</v>
      </c>
      <c r="AA43" s="36" t="s">
        <v>89</v>
      </c>
      <c r="AB43" s="49"/>
      <c r="AC43" s="49"/>
      <c r="AD43" s="73">
        <v>1</v>
      </c>
      <c r="AE43" s="49"/>
      <c r="AF43" s="49"/>
      <c r="AG43" s="73">
        <v>1</v>
      </c>
      <c r="AH43" s="49"/>
      <c r="AI43" s="49"/>
      <c r="AJ43" s="73">
        <v>1</v>
      </c>
      <c r="AK43" s="49"/>
      <c r="AL43" s="49"/>
      <c r="AM43" s="73">
        <v>1</v>
      </c>
      <c r="AN43" s="73">
        <v>1</v>
      </c>
      <c r="AO43" s="57">
        <f>32/36</f>
        <v>0.88888888888888884</v>
      </c>
      <c r="AP43" s="79">
        <v>1</v>
      </c>
      <c r="AQ43" s="79">
        <v>0.25</v>
      </c>
      <c r="AR43" s="79">
        <v>0.25</v>
      </c>
      <c r="AS43" s="79">
        <v>0.25</v>
      </c>
      <c r="AT43" s="79">
        <v>0.25</v>
      </c>
      <c r="AU43" s="58">
        <f>15/19</f>
        <v>0.78947368421052633</v>
      </c>
      <c r="AV43" s="76">
        <v>1</v>
      </c>
      <c r="AW43" s="76">
        <v>0.25</v>
      </c>
      <c r="AX43" s="76">
        <v>0.25</v>
      </c>
      <c r="AY43" s="76">
        <v>0.25</v>
      </c>
      <c r="AZ43" s="76">
        <v>0.25</v>
      </c>
      <c r="BA43" s="77">
        <v>0.83870967741935487</v>
      </c>
      <c r="BB43" s="75">
        <v>1</v>
      </c>
      <c r="BC43" s="76">
        <v>0.25</v>
      </c>
      <c r="BD43" s="76">
        <v>0.25</v>
      </c>
      <c r="BE43" s="76">
        <v>0.25</v>
      </c>
      <c r="BF43" s="76">
        <v>0.25</v>
      </c>
      <c r="BG43" s="59"/>
      <c r="BH43" s="59"/>
      <c r="BI43" s="59"/>
      <c r="BJ43" s="59"/>
      <c r="BK43" s="59"/>
      <c r="BL43" s="59"/>
      <c r="BM43" s="57">
        <f>32/36</f>
        <v>0.88888888888888884</v>
      </c>
      <c r="BN43" s="79">
        <f>BO43+BP43+BQ43+BR43</f>
        <v>1</v>
      </c>
      <c r="BO43" s="76">
        <v>0.25</v>
      </c>
      <c r="BP43" s="76">
        <v>0.25</v>
      </c>
      <c r="BQ43" s="76">
        <v>0.25</v>
      </c>
      <c r="BR43" s="76">
        <v>0.25</v>
      </c>
      <c r="BS43" s="57">
        <f>15/19</f>
        <v>0.78947368421052633</v>
      </c>
      <c r="BT43" s="79">
        <f t="shared" ref="BT43" si="36">BU43+BV43+BW43+BX43</f>
        <v>1</v>
      </c>
      <c r="BU43" s="76">
        <v>0.25</v>
      </c>
      <c r="BV43" s="76">
        <v>0.25</v>
      </c>
      <c r="BW43" s="76">
        <v>0.25</v>
      </c>
      <c r="BX43" s="76">
        <v>0.25</v>
      </c>
      <c r="BY43" s="77">
        <f>26/31</f>
        <v>0.83870967741935487</v>
      </c>
      <c r="BZ43" s="75">
        <f t="shared" si="27"/>
        <v>1</v>
      </c>
      <c r="CA43" s="72">
        <v>0.25</v>
      </c>
      <c r="CB43" s="72">
        <v>0.25</v>
      </c>
      <c r="CC43" s="72">
        <v>0.25</v>
      </c>
      <c r="CD43" s="72">
        <v>0.25</v>
      </c>
      <c r="CE43" s="59"/>
      <c r="CF43" s="59"/>
      <c r="CG43" s="59"/>
      <c r="CH43" s="81"/>
      <c r="CI43" s="81"/>
      <c r="CJ43" s="81"/>
      <c r="CK43" s="81"/>
      <c r="CL43" s="58">
        <f>(BM43+BS43+BY43)/3</f>
        <v>0.83902408350625668</v>
      </c>
      <c r="CM43" s="58">
        <f>CL43/3</f>
        <v>0.27967469450208554</v>
      </c>
      <c r="CN43" s="77">
        <v>7.8784361441237516E-2</v>
      </c>
      <c r="CO43" s="42"/>
    </row>
    <row r="44" spans="1:93" s="41" customFormat="1" ht="79.5" customHeight="1" x14ac:dyDescent="0.25">
      <c r="A44" s="115"/>
      <c r="B44" s="113"/>
      <c r="C44" s="113"/>
      <c r="D44" s="113"/>
      <c r="E44" s="115"/>
      <c r="F44" s="119"/>
      <c r="G44" s="120"/>
      <c r="H44" s="113"/>
      <c r="I44" s="113"/>
      <c r="J44" s="110"/>
      <c r="K44" s="92" t="s">
        <v>490</v>
      </c>
      <c r="L44" s="92" t="s">
        <v>244</v>
      </c>
      <c r="M44" s="112"/>
      <c r="N44" s="85" t="s">
        <v>517</v>
      </c>
      <c r="O44" s="88">
        <v>0.125</v>
      </c>
      <c r="P44" s="85" t="s">
        <v>338</v>
      </c>
      <c r="Q44" s="92" t="s">
        <v>84</v>
      </c>
      <c r="R44" s="92" t="s">
        <v>84</v>
      </c>
      <c r="S44" s="85" t="s">
        <v>339</v>
      </c>
      <c r="T44" s="92" t="s">
        <v>85</v>
      </c>
      <c r="U44" s="85" t="s">
        <v>464</v>
      </c>
      <c r="V44" s="92" t="s">
        <v>87</v>
      </c>
      <c r="W44" s="92" t="s">
        <v>125</v>
      </c>
      <c r="X44" s="92" t="s">
        <v>84</v>
      </c>
      <c r="Y44" s="92" t="s">
        <v>84</v>
      </c>
      <c r="Z44" s="92" t="s">
        <v>84</v>
      </c>
      <c r="AA44" s="36" t="s">
        <v>89</v>
      </c>
      <c r="AB44" s="52"/>
      <c r="AC44" s="52"/>
      <c r="AD44" s="73">
        <v>1</v>
      </c>
      <c r="AE44" s="52"/>
      <c r="AF44" s="52"/>
      <c r="AG44" s="73">
        <v>1</v>
      </c>
      <c r="AH44" s="52"/>
      <c r="AI44" s="52"/>
      <c r="AJ44" s="73">
        <v>1</v>
      </c>
      <c r="AK44" s="52"/>
      <c r="AL44" s="52"/>
      <c r="AM44" s="73">
        <v>1</v>
      </c>
      <c r="AN44" s="73">
        <v>1</v>
      </c>
      <c r="AO44" s="36"/>
      <c r="AP44" s="36"/>
      <c r="AQ44" s="36"/>
      <c r="AR44" s="36"/>
      <c r="AS44" s="36"/>
      <c r="AT44" s="36"/>
      <c r="AU44" s="36"/>
      <c r="AV44" s="36"/>
      <c r="AW44" s="36"/>
      <c r="AX44" s="36"/>
      <c r="AY44" s="36"/>
      <c r="AZ44" s="36"/>
      <c r="BA44" s="75">
        <v>1</v>
      </c>
      <c r="BB44" s="75">
        <v>1</v>
      </c>
      <c r="BC44" s="76">
        <v>0.25</v>
      </c>
      <c r="BD44" s="76">
        <v>0.25</v>
      </c>
      <c r="BE44" s="76">
        <v>0.25</v>
      </c>
      <c r="BF44" s="76">
        <v>0.25</v>
      </c>
      <c r="BG44" s="87"/>
      <c r="BH44" s="87"/>
      <c r="BI44" s="87"/>
      <c r="BJ44" s="87"/>
      <c r="BK44" s="87"/>
      <c r="BL44" s="87"/>
      <c r="BM44" s="36"/>
      <c r="BN44" s="36"/>
      <c r="BO44" s="36"/>
      <c r="BP44" s="36"/>
      <c r="BQ44" s="36"/>
      <c r="BR44" s="36"/>
      <c r="BS44" s="36"/>
      <c r="BT44" s="36"/>
      <c r="BU44" s="36"/>
      <c r="BV44" s="36"/>
      <c r="BW44" s="36"/>
      <c r="BX44" s="36"/>
      <c r="BY44" s="73">
        <f>640/640</f>
        <v>1</v>
      </c>
      <c r="BZ44" s="73">
        <f t="shared" si="27"/>
        <v>1</v>
      </c>
      <c r="CA44" s="72">
        <v>0.25</v>
      </c>
      <c r="CB44" s="72">
        <v>0.25</v>
      </c>
      <c r="CC44" s="72">
        <v>0.25</v>
      </c>
      <c r="CD44" s="72">
        <v>0.25</v>
      </c>
      <c r="CE44" s="87"/>
      <c r="CF44" s="87"/>
      <c r="CG44" s="87"/>
      <c r="CH44" s="36"/>
      <c r="CI44" s="36"/>
      <c r="CJ44" s="36"/>
      <c r="CK44" s="36"/>
      <c r="CL44" s="72">
        <f>BY44</f>
        <v>1</v>
      </c>
      <c r="CM44" s="73">
        <f>CL44/2</f>
        <v>0.5</v>
      </c>
      <c r="CN44" s="95">
        <v>9.3900000000000011E-2</v>
      </c>
      <c r="CO44" s="42"/>
    </row>
    <row r="45" spans="1:93" s="41" customFormat="1" ht="79.5" customHeight="1" x14ac:dyDescent="0.25">
      <c r="A45" s="115"/>
      <c r="B45" s="113"/>
      <c r="C45" s="113"/>
      <c r="D45" s="113"/>
      <c r="E45" s="115"/>
      <c r="F45" s="119"/>
      <c r="G45" s="120"/>
      <c r="H45" s="113"/>
      <c r="I45" s="113"/>
      <c r="J45" s="110"/>
      <c r="K45" s="92" t="s">
        <v>491</v>
      </c>
      <c r="L45" s="92" t="s">
        <v>244</v>
      </c>
      <c r="M45" s="112"/>
      <c r="N45" s="85" t="s">
        <v>518</v>
      </c>
      <c r="O45" s="88">
        <v>0.125</v>
      </c>
      <c r="P45" s="85" t="s">
        <v>340</v>
      </c>
      <c r="Q45" s="92" t="s">
        <v>84</v>
      </c>
      <c r="R45" s="92" t="s">
        <v>84</v>
      </c>
      <c r="S45" s="85" t="s">
        <v>341</v>
      </c>
      <c r="T45" s="92" t="s">
        <v>85</v>
      </c>
      <c r="U45" s="85" t="s">
        <v>479</v>
      </c>
      <c r="V45" s="92" t="s">
        <v>87</v>
      </c>
      <c r="W45" s="92" t="s">
        <v>108</v>
      </c>
      <c r="X45" s="92" t="s">
        <v>84</v>
      </c>
      <c r="Y45" s="92" t="s">
        <v>84</v>
      </c>
      <c r="Z45" s="92" t="s">
        <v>84</v>
      </c>
      <c r="AA45" s="36" t="s">
        <v>89</v>
      </c>
      <c r="AB45" s="52"/>
      <c r="AC45" s="52"/>
      <c r="AD45" s="73">
        <v>1</v>
      </c>
      <c r="AE45" s="52"/>
      <c r="AF45" s="52"/>
      <c r="AG45" s="73">
        <v>1</v>
      </c>
      <c r="AH45" s="52"/>
      <c r="AI45" s="52"/>
      <c r="AJ45" s="73">
        <v>1</v>
      </c>
      <c r="AK45" s="52"/>
      <c r="AL45" s="52"/>
      <c r="AM45" s="73">
        <v>1</v>
      </c>
      <c r="AN45" s="73">
        <v>1</v>
      </c>
      <c r="AO45" s="36"/>
      <c r="AP45" s="36"/>
      <c r="AQ45" s="36"/>
      <c r="AR45" s="36"/>
      <c r="AS45" s="36"/>
      <c r="AT45" s="36"/>
      <c r="AU45" s="36"/>
      <c r="AV45" s="36"/>
      <c r="AW45" s="36"/>
      <c r="AX45" s="36"/>
      <c r="AY45" s="36"/>
      <c r="AZ45" s="36"/>
      <c r="BA45" s="76">
        <v>1</v>
      </c>
      <c r="BB45" s="76">
        <v>1</v>
      </c>
      <c r="BC45" s="76">
        <v>0.25</v>
      </c>
      <c r="BD45" s="76">
        <v>0.25</v>
      </c>
      <c r="BE45" s="76">
        <v>0.25</v>
      </c>
      <c r="BF45" s="76">
        <v>0.25</v>
      </c>
      <c r="BG45" s="87"/>
      <c r="BH45" s="87"/>
      <c r="BI45" s="87"/>
      <c r="BJ45" s="87"/>
      <c r="BK45" s="87"/>
      <c r="BL45" s="87"/>
      <c r="BM45" s="36"/>
      <c r="BN45" s="36"/>
      <c r="BO45" s="36"/>
      <c r="BP45" s="36"/>
      <c r="BQ45" s="36"/>
      <c r="BR45" s="36"/>
      <c r="BS45" s="36"/>
      <c r="BT45" s="36"/>
      <c r="BU45" s="36"/>
      <c r="BV45" s="36"/>
      <c r="BW45" s="36"/>
      <c r="BX45" s="36"/>
      <c r="BY45" s="73">
        <f>56/56</f>
        <v>1</v>
      </c>
      <c r="BZ45" s="73">
        <f>CA45+CB45+CC45+CD45</f>
        <v>1</v>
      </c>
      <c r="CA45" s="76">
        <v>0.25</v>
      </c>
      <c r="CB45" s="76">
        <v>0.25</v>
      </c>
      <c r="CC45" s="76">
        <v>0.25</v>
      </c>
      <c r="CD45" s="76">
        <v>0.25</v>
      </c>
      <c r="CE45" s="87"/>
      <c r="CF45" s="87"/>
      <c r="CG45" s="87"/>
      <c r="CH45" s="36"/>
      <c r="CI45" s="36"/>
      <c r="CJ45" s="36"/>
      <c r="CK45" s="36"/>
      <c r="CL45" s="72">
        <f>BY45</f>
        <v>1</v>
      </c>
      <c r="CM45" s="73">
        <f>CL45/2</f>
        <v>0.5</v>
      </c>
      <c r="CN45" s="95">
        <v>9.3900000000000011E-2</v>
      </c>
      <c r="CO45" s="42"/>
    </row>
    <row r="46" spans="1:93" s="41" customFormat="1" ht="79.5" customHeight="1" x14ac:dyDescent="0.25">
      <c r="A46" s="115"/>
      <c r="B46" s="113"/>
      <c r="C46" s="113"/>
      <c r="D46" s="113"/>
      <c r="E46" s="115"/>
      <c r="F46" s="119"/>
      <c r="G46" s="120"/>
      <c r="H46" s="113"/>
      <c r="I46" s="113"/>
      <c r="J46" s="110"/>
      <c r="K46" s="92" t="s">
        <v>489</v>
      </c>
      <c r="L46" s="92" t="s">
        <v>107</v>
      </c>
      <c r="M46" s="112"/>
      <c r="N46" s="85" t="s">
        <v>519</v>
      </c>
      <c r="O46" s="88">
        <v>0.125</v>
      </c>
      <c r="P46" s="85" t="s">
        <v>492</v>
      </c>
      <c r="Q46" s="92" t="s">
        <v>84</v>
      </c>
      <c r="R46" s="92" t="s">
        <v>84</v>
      </c>
      <c r="S46" s="85" t="s">
        <v>492</v>
      </c>
      <c r="T46" s="92" t="s">
        <v>85</v>
      </c>
      <c r="U46" s="85" t="s">
        <v>493</v>
      </c>
      <c r="V46" s="92" t="s">
        <v>87</v>
      </c>
      <c r="W46" s="92" t="s">
        <v>494</v>
      </c>
      <c r="X46" s="92" t="s">
        <v>84</v>
      </c>
      <c r="Y46" s="92" t="s">
        <v>84</v>
      </c>
      <c r="Z46" s="92" t="s">
        <v>84</v>
      </c>
      <c r="AA46" s="36" t="s">
        <v>110</v>
      </c>
      <c r="AB46" s="72"/>
      <c r="AC46" s="72"/>
      <c r="AD46" s="73"/>
      <c r="AE46" s="72"/>
      <c r="AF46" s="72"/>
      <c r="AG46" s="72"/>
      <c r="AH46" s="72"/>
      <c r="AI46" s="72"/>
      <c r="AJ46" s="73"/>
      <c r="AK46" s="72"/>
      <c r="AL46" s="72"/>
      <c r="AM46" s="73">
        <v>1</v>
      </c>
      <c r="AN46" s="73">
        <v>1</v>
      </c>
      <c r="AO46" s="36"/>
      <c r="AP46" s="36"/>
      <c r="AQ46" s="36"/>
      <c r="AR46" s="36"/>
      <c r="AS46" s="36"/>
      <c r="AT46" s="36"/>
      <c r="AU46" s="36"/>
      <c r="AV46" s="36"/>
      <c r="AW46" s="36"/>
      <c r="AX46" s="36"/>
      <c r="AY46" s="36"/>
      <c r="AZ46" s="36"/>
      <c r="BA46" s="81"/>
      <c r="BB46" s="76"/>
      <c r="BC46" s="81"/>
      <c r="BD46" s="81"/>
      <c r="BE46" s="81"/>
      <c r="BF46" s="81"/>
      <c r="BG46" s="87"/>
      <c r="BH46" s="68"/>
      <c r="BI46" s="68"/>
      <c r="BJ46" s="68"/>
      <c r="BK46" s="68"/>
      <c r="BL46" s="68"/>
      <c r="BM46" s="36"/>
      <c r="BN46" s="36"/>
      <c r="BO46" s="36"/>
      <c r="BP46" s="36"/>
      <c r="BQ46" s="36"/>
      <c r="BR46" s="36"/>
      <c r="BS46" s="36"/>
      <c r="BT46" s="36"/>
      <c r="BU46" s="36"/>
      <c r="BV46" s="36"/>
      <c r="BW46" s="36"/>
      <c r="BX46" s="36"/>
      <c r="BY46" s="36"/>
      <c r="BZ46" s="36"/>
      <c r="CA46" s="36"/>
      <c r="CB46" s="36"/>
      <c r="CC46" s="36"/>
      <c r="CD46" s="36"/>
      <c r="CE46" s="87"/>
      <c r="CF46" s="87"/>
      <c r="CG46" s="87"/>
      <c r="CH46" s="36"/>
      <c r="CI46" s="36"/>
      <c r="CJ46" s="36"/>
      <c r="CK46" s="36"/>
      <c r="CL46" s="87"/>
      <c r="CM46" s="87"/>
      <c r="CN46" s="78">
        <v>0</v>
      </c>
      <c r="CO46" s="42"/>
    </row>
    <row r="47" spans="1:93" s="51" customFormat="1" ht="36.75" customHeight="1" x14ac:dyDescent="0.25">
      <c r="A47" s="115"/>
      <c r="B47" s="113"/>
      <c r="C47" s="113"/>
      <c r="D47" s="113"/>
      <c r="E47" s="115"/>
      <c r="F47" s="119"/>
      <c r="G47" s="120"/>
      <c r="H47" s="113"/>
      <c r="I47" s="113"/>
      <c r="J47" s="110"/>
      <c r="K47" s="92" t="s">
        <v>425</v>
      </c>
      <c r="L47" s="92" t="s">
        <v>107</v>
      </c>
      <c r="M47" s="112"/>
      <c r="N47" s="85" t="s">
        <v>520</v>
      </c>
      <c r="O47" s="88">
        <v>0.125</v>
      </c>
      <c r="P47" s="85" t="s">
        <v>260</v>
      </c>
      <c r="Q47" s="92" t="s">
        <v>84</v>
      </c>
      <c r="R47" s="92" t="s">
        <v>84</v>
      </c>
      <c r="S47" s="85" t="s">
        <v>275</v>
      </c>
      <c r="T47" s="92" t="s">
        <v>100</v>
      </c>
      <c r="U47" s="85" t="s">
        <v>275</v>
      </c>
      <c r="V47" s="92" t="s">
        <v>25</v>
      </c>
      <c r="W47" s="92" t="s">
        <v>147</v>
      </c>
      <c r="X47" s="92" t="s">
        <v>84</v>
      </c>
      <c r="Y47" s="92" t="s">
        <v>84</v>
      </c>
      <c r="Z47" s="92" t="s">
        <v>84</v>
      </c>
      <c r="AA47" s="36" t="s">
        <v>110</v>
      </c>
      <c r="AB47" s="72"/>
      <c r="AC47" s="72"/>
      <c r="AD47" s="72"/>
      <c r="AE47" s="72"/>
      <c r="AF47" s="72"/>
      <c r="AG47" s="49"/>
      <c r="AH47" s="72"/>
      <c r="AI47" s="72"/>
      <c r="AJ47" s="72"/>
      <c r="AK47" s="72"/>
      <c r="AL47" s="72"/>
      <c r="AM47" s="49">
        <v>1</v>
      </c>
      <c r="AN47" s="49">
        <v>1</v>
      </c>
      <c r="AO47" s="36"/>
      <c r="AP47" s="36"/>
      <c r="AQ47" s="36"/>
      <c r="AR47" s="36"/>
      <c r="AS47" s="36"/>
      <c r="AT47" s="36"/>
      <c r="AU47" s="36"/>
      <c r="AV47" s="36"/>
      <c r="AW47" s="36"/>
      <c r="AX47" s="36"/>
      <c r="AY47" s="36"/>
      <c r="AZ47" s="36"/>
      <c r="BA47" s="81"/>
      <c r="BB47" s="76"/>
      <c r="BC47" s="81"/>
      <c r="BD47" s="81"/>
      <c r="BE47" s="81"/>
      <c r="BF47" s="81"/>
      <c r="BG47" s="87"/>
      <c r="BH47" s="87"/>
      <c r="BI47" s="87"/>
      <c r="BJ47" s="87"/>
      <c r="BK47" s="87"/>
      <c r="BL47" s="87"/>
      <c r="BM47" s="36"/>
      <c r="BN47" s="36"/>
      <c r="BO47" s="36"/>
      <c r="BP47" s="36"/>
      <c r="BQ47" s="36"/>
      <c r="BR47" s="36"/>
      <c r="BS47" s="36"/>
      <c r="BT47" s="36"/>
      <c r="BU47" s="36"/>
      <c r="BV47" s="36"/>
      <c r="BW47" s="36"/>
      <c r="BX47" s="36"/>
      <c r="BY47" s="36"/>
      <c r="BZ47" s="36"/>
      <c r="CA47" s="36"/>
      <c r="CB47" s="36"/>
      <c r="CC47" s="36"/>
      <c r="CD47" s="36"/>
      <c r="CE47" s="87"/>
      <c r="CF47" s="87"/>
      <c r="CG47" s="87"/>
      <c r="CH47" s="36"/>
      <c r="CI47" s="36"/>
      <c r="CJ47" s="36"/>
      <c r="CK47" s="36"/>
      <c r="CL47" s="87"/>
      <c r="CM47" s="87"/>
      <c r="CN47" s="78">
        <v>0</v>
      </c>
      <c r="CO47" s="42"/>
    </row>
    <row r="48" spans="1:93" s="41" customFormat="1" ht="36.75" customHeight="1" x14ac:dyDescent="0.25">
      <c r="A48" s="115"/>
      <c r="B48" s="113"/>
      <c r="C48" s="113"/>
      <c r="D48" s="113"/>
      <c r="E48" s="115"/>
      <c r="F48" s="119"/>
      <c r="G48" s="120"/>
      <c r="H48" s="113"/>
      <c r="I48" s="113"/>
      <c r="J48" s="110"/>
      <c r="K48" s="92" t="s">
        <v>426</v>
      </c>
      <c r="L48" s="92" t="s">
        <v>244</v>
      </c>
      <c r="M48" s="112"/>
      <c r="N48" s="85" t="s">
        <v>521</v>
      </c>
      <c r="O48" s="88">
        <v>0.125</v>
      </c>
      <c r="P48" s="85" t="s">
        <v>350</v>
      </c>
      <c r="Q48" s="92" t="s">
        <v>84</v>
      </c>
      <c r="R48" s="92" t="s">
        <v>84</v>
      </c>
      <c r="S48" s="85" t="s">
        <v>350</v>
      </c>
      <c r="T48" s="92" t="s">
        <v>100</v>
      </c>
      <c r="U48" s="85" t="s">
        <v>283</v>
      </c>
      <c r="V48" s="92" t="s">
        <v>25</v>
      </c>
      <c r="W48" s="92" t="s">
        <v>167</v>
      </c>
      <c r="X48" s="92" t="s">
        <v>84</v>
      </c>
      <c r="Y48" s="92" t="s">
        <v>84</v>
      </c>
      <c r="Z48" s="92" t="s">
        <v>84</v>
      </c>
      <c r="AA48" s="36" t="s">
        <v>110</v>
      </c>
      <c r="AB48" s="72"/>
      <c r="AC48" s="72"/>
      <c r="AD48" s="72"/>
      <c r="AE48" s="72"/>
      <c r="AF48" s="72"/>
      <c r="AG48" s="49"/>
      <c r="AH48" s="72"/>
      <c r="AI48" s="72"/>
      <c r="AJ48" s="72"/>
      <c r="AK48" s="72"/>
      <c r="AL48" s="72"/>
      <c r="AM48" s="49">
        <v>1</v>
      </c>
      <c r="AN48" s="49">
        <v>1</v>
      </c>
      <c r="AO48" s="43"/>
      <c r="AP48" s="43"/>
      <c r="AQ48" s="43"/>
      <c r="AR48" s="43"/>
      <c r="AS48" s="43"/>
      <c r="AT48" s="43"/>
      <c r="AU48" s="43"/>
      <c r="AV48" s="43"/>
      <c r="AW48" s="43"/>
      <c r="AX48" s="43"/>
      <c r="AY48" s="43"/>
      <c r="AZ48" s="43"/>
      <c r="BA48" s="81"/>
      <c r="BB48" s="76"/>
      <c r="BC48" s="81"/>
      <c r="BD48" s="81"/>
      <c r="BE48" s="81"/>
      <c r="BF48" s="81"/>
      <c r="BG48" s="44"/>
      <c r="BH48" s="44"/>
      <c r="BI48" s="44"/>
      <c r="BJ48" s="44"/>
      <c r="BK48" s="44"/>
      <c r="BL48" s="44"/>
      <c r="BM48" s="43"/>
      <c r="BN48" s="43"/>
      <c r="BO48" s="43"/>
      <c r="BP48" s="43"/>
      <c r="BQ48" s="43"/>
      <c r="BR48" s="43"/>
      <c r="BS48" s="43"/>
      <c r="BT48" s="43"/>
      <c r="BU48" s="43"/>
      <c r="BV48" s="43"/>
      <c r="BW48" s="43"/>
      <c r="BX48" s="43"/>
      <c r="BY48" s="43"/>
      <c r="BZ48" s="43"/>
      <c r="CA48" s="43"/>
      <c r="CB48" s="43"/>
      <c r="CC48" s="43"/>
      <c r="CD48" s="43"/>
      <c r="CE48" s="44"/>
      <c r="CF48" s="44"/>
      <c r="CG48" s="44"/>
      <c r="CH48" s="43"/>
      <c r="CI48" s="43"/>
      <c r="CJ48" s="43"/>
      <c r="CK48" s="43"/>
      <c r="CL48" s="44"/>
      <c r="CM48" s="44"/>
      <c r="CN48" s="97">
        <v>0</v>
      </c>
    </row>
    <row r="49" spans="1:92" s="41" customFormat="1" ht="69" customHeight="1" x14ac:dyDescent="0.25">
      <c r="A49" s="115"/>
      <c r="B49" s="113"/>
      <c r="C49" s="113"/>
      <c r="D49" s="113"/>
      <c r="E49" s="115"/>
      <c r="F49" s="119"/>
      <c r="G49" s="116">
        <v>0.33329999999999999</v>
      </c>
      <c r="H49" s="158"/>
      <c r="I49" s="113" t="s">
        <v>360</v>
      </c>
      <c r="J49" s="110" t="s">
        <v>97</v>
      </c>
      <c r="K49" s="91" t="s">
        <v>427</v>
      </c>
      <c r="L49" s="91" t="s">
        <v>244</v>
      </c>
      <c r="M49" s="112">
        <v>1</v>
      </c>
      <c r="N49" s="85" t="s">
        <v>373</v>
      </c>
      <c r="O49" s="82">
        <v>0.5</v>
      </c>
      <c r="P49" s="83" t="s">
        <v>287</v>
      </c>
      <c r="Q49" s="92" t="s">
        <v>84</v>
      </c>
      <c r="R49" s="92" t="s">
        <v>84</v>
      </c>
      <c r="S49" s="85" t="s">
        <v>288</v>
      </c>
      <c r="T49" s="92" t="s">
        <v>85</v>
      </c>
      <c r="U49" s="85" t="s">
        <v>289</v>
      </c>
      <c r="V49" s="92" t="s">
        <v>87</v>
      </c>
      <c r="W49" s="92" t="s">
        <v>162</v>
      </c>
      <c r="X49" s="92" t="s">
        <v>84</v>
      </c>
      <c r="Y49" s="92" t="s">
        <v>84</v>
      </c>
      <c r="Z49" s="92" t="s">
        <v>84</v>
      </c>
      <c r="AA49" s="36" t="s">
        <v>89</v>
      </c>
      <c r="AB49" s="72"/>
      <c r="AC49" s="72"/>
      <c r="AD49" s="73">
        <v>1</v>
      </c>
      <c r="AE49" s="72"/>
      <c r="AF49" s="72"/>
      <c r="AG49" s="72">
        <v>1</v>
      </c>
      <c r="AH49" s="72"/>
      <c r="AI49" s="72"/>
      <c r="AJ49" s="73">
        <v>1</v>
      </c>
      <c r="AK49" s="72"/>
      <c r="AL49" s="72"/>
      <c r="AM49" s="72">
        <v>1</v>
      </c>
      <c r="AN49" s="72">
        <v>1</v>
      </c>
      <c r="AO49" s="37"/>
      <c r="AP49" s="37"/>
      <c r="AQ49" s="37"/>
      <c r="AR49" s="37"/>
      <c r="AS49" s="37"/>
      <c r="AT49" s="37"/>
      <c r="AU49" s="37"/>
      <c r="AV49" s="37"/>
      <c r="AW49" s="37"/>
      <c r="AX49" s="37"/>
      <c r="AY49" s="37"/>
      <c r="AZ49" s="37"/>
      <c r="BA49" s="72">
        <v>1</v>
      </c>
      <c r="BB49" s="72">
        <v>0.75</v>
      </c>
      <c r="BC49" s="63">
        <v>0.25</v>
      </c>
      <c r="BD49" s="63">
        <v>0.25</v>
      </c>
      <c r="BE49" s="63">
        <v>0</v>
      </c>
      <c r="BF49" s="63">
        <v>0.25</v>
      </c>
      <c r="BG49" s="38"/>
      <c r="BH49" s="38"/>
      <c r="BI49" s="38"/>
      <c r="BJ49" s="38"/>
      <c r="BK49" s="38"/>
      <c r="BL49" s="38"/>
      <c r="BM49" s="37"/>
      <c r="BN49" s="37"/>
      <c r="BO49" s="37"/>
      <c r="BP49" s="37"/>
      <c r="BQ49" s="37"/>
      <c r="BR49" s="37"/>
      <c r="BS49" s="37"/>
      <c r="BT49" s="37"/>
      <c r="BU49" s="37"/>
      <c r="BV49" s="37"/>
      <c r="BW49" s="37"/>
      <c r="BX49" s="37"/>
      <c r="BY49" s="72">
        <v>1</v>
      </c>
      <c r="BZ49" s="73">
        <v>0.75</v>
      </c>
      <c r="CA49" s="63">
        <v>0.25</v>
      </c>
      <c r="CB49" s="63">
        <v>0.25</v>
      </c>
      <c r="CC49" s="63">
        <v>0</v>
      </c>
      <c r="CD49" s="63">
        <v>0.25</v>
      </c>
      <c r="CE49" s="38"/>
      <c r="CF49" s="38"/>
      <c r="CG49" s="38"/>
      <c r="CH49" s="37"/>
      <c r="CI49" s="37"/>
      <c r="CJ49" s="37"/>
      <c r="CK49" s="37"/>
      <c r="CL49" s="175">
        <f>BY49</f>
        <v>1</v>
      </c>
      <c r="CM49" s="176">
        <f>CL49/2</f>
        <v>0.5</v>
      </c>
      <c r="CN49" s="179">
        <v>0.25</v>
      </c>
    </row>
    <row r="50" spans="1:92" s="41" customFormat="1" ht="60" x14ac:dyDescent="0.25">
      <c r="A50" s="115"/>
      <c r="B50" s="113"/>
      <c r="C50" s="113"/>
      <c r="D50" s="113"/>
      <c r="E50" s="115"/>
      <c r="F50" s="119"/>
      <c r="G50" s="116"/>
      <c r="H50" s="158"/>
      <c r="I50" s="113"/>
      <c r="J50" s="110"/>
      <c r="K50" s="91" t="s">
        <v>427</v>
      </c>
      <c r="L50" s="91" t="s">
        <v>244</v>
      </c>
      <c r="M50" s="112"/>
      <c r="N50" s="85" t="s">
        <v>374</v>
      </c>
      <c r="O50" s="82">
        <v>0.5</v>
      </c>
      <c r="P50" s="83" t="s">
        <v>290</v>
      </c>
      <c r="Q50" s="92" t="s">
        <v>84</v>
      </c>
      <c r="R50" s="92" t="s">
        <v>84</v>
      </c>
      <c r="S50" s="85" t="s">
        <v>291</v>
      </c>
      <c r="T50" s="92" t="s">
        <v>85</v>
      </c>
      <c r="U50" s="85" t="s">
        <v>292</v>
      </c>
      <c r="V50" s="92" t="s">
        <v>87</v>
      </c>
      <c r="W50" s="92" t="s">
        <v>162</v>
      </c>
      <c r="X50" s="92" t="s">
        <v>84</v>
      </c>
      <c r="Y50" s="92" t="s">
        <v>84</v>
      </c>
      <c r="Z50" s="92" t="s">
        <v>84</v>
      </c>
      <c r="AA50" s="36" t="s">
        <v>89</v>
      </c>
      <c r="AB50" s="72"/>
      <c r="AC50" s="72"/>
      <c r="AD50" s="73">
        <v>1</v>
      </c>
      <c r="AE50" s="72"/>
      <c r="AF50" s="72"/>
      <c r="AG50" s="72">
        <v>1</v>
      </c>
      <c r="AH50" s="72"/>
      <c r="AI50" s="72"/>
      <c r="AJ50" s="73">
        <v>1</v>
      </c>
      <c r="AK50" s="72"/>
      <c r="AL50" s="72"/>
      <c r="AM50" s="72">
        <v>1</v>
      </c>
      <c r="AN50" s="72">
        <v>1</v>
      </c>
      <c r="AO50" s="37"/>
      <c r="AP50" s="37"/>
      <c r="AQ50" s="37"/>
      <c r="AR50" s="37"/>
      <c r="AS50" s="37"/>
      <c r="AT50" s="37"/>
      <c r="AU50" s="37"/>
      <c r="AV50" s="37"/>
      <c r="AW50" s="37"/>
      <c r="AX50" s="37"/>
      <c r="AY50" s="37"/>
      <c r="AZ50" s="37"/>
      <c r="BA50" s="63">
        <v>1</v>
      </c>
      <c r="BB50" s="63">
        <v>0.75</v>
      </c>
      <c r="BC50" s="63">
        <v>0.25</v>
      </c>
      <c r="BD50" s="63">
        <v>0.25</v>
      </c>
      <c r="BE50" s="63">
        <v>0</v>
      </c>
      <c r="BF50" s="63">
        <v>0.25</v>
      </c>
      <c r="BG50" s="38"/>
      <c r="BH50" s="38"/>
      <c r="BI50" s="38"/>
      <c r="BJ50" s="38"/>
      <c r="BK50" s="38"/>
      <c r="BL50" s="38"/>
      <c r="BM50" s="37"/>
      <c r="BN50" s="37"/>
      <c r="BO50" s="37"/>
      <c r="BP50" s="37"/>
      <c r="BQ50" s="37"/>
      <c r="BR50" s="37"/>
      <c r="BS50" s="37"/>
      <c r="BT50" s="37"/>
      <c r="BU50" s="37"/>
      <c r="BV50" s="37"/>
      <c r="BW50" s="37"/>
      <c r="BX50" s="37"/>
      <c r="BY50" s="72">
        <v>1</v>
      </c>
      <c r="BZ50" s="73">
        <v>0.75</v>
      </c>
      <c r="CA50" s="63">
        <v>0.25</v>
      </c>
      <c r="CB50" s="63">
        <v>0.25</v>
      </c>
      <c r="CC50" s="63">
        <v>0</v>
      </c>
      <c r="CD50" s="63">
        <v>0.25</v>
      </c>
      <c r="CE50" s="38"/>
      <c r="CF50" s="38"/>
      <c r="CG50" s="38"/>
      <c r="CH50" s="37"/>
      <c r="CI50" s="37"/>
      <c r="CJ50" s="37"/>
      <c r="CK50" s="37"/>
      <c r="CL50" s="175">
        <f>BY50</f>
        <v>1</v>
      </c>
      <c r="CM50" s="176">
        <f>CL50/2</f>
        <v>0.5</v>
      </c>
      <c r="CN50" s="179">
        <v>0.25</v>
      </c>
    </row>
    <row r="51" spans="1:92" s="42" customFormat="1" ht="66.75" customHeight="1" x14ac:dyDescent="0.25">
      <c r="A51" s="113" t="s">
        <v>130</v>
      </c>
      <c r="B51" s="113" t="s">
        <v>112</v>
      </c>
      <c r="C51" s="113" t="s">
        <v>131</v>
      </c>
      <c r="D51" s="113" t="s">
        <v>132</v>
      </c>
      <c r="E51" s="115" t="s">
        <v>93</v>
      </c>
      <c r="F51" s="119" t="s">
        <v>133</v>
      </c>
      <c r="G51" s="82">
        <v>0.5</v>
      </c>
      <c r="H51" s="113" t="s">
        <v>95</v>
      </c>
      <c r="I51" s="83" t="s">
        <v>361</v>
      </c>
      <c r="J51" s="92" t="s">
        <v>134</v>
      </c>
      <c r="K51" s="92" t="s">
        <v>428</v>
      </c>
      <c r="L51" s="92" t="s">
        <v>244</v>
      </c>
      <c r="M51" s="82">
        <v>1</v>
      </c>
      <c r="N51" s="85" t="s">
        <v>380</v>
      </c>
      <c r="O51" s="82">
        <v>1</v>
      </c>
      <c r="P51" s="83" t="s">
        <v>261</v>
      </c>
      <c r="Q51" s="92" t="s">
        <v>84</v>
      </c>
      <c r="R51" s="92" t="s">
        <v>84</v>
      </c>
      <c r="S51" s="83" t="s">
        <v>262</v>
      </c>
      <c r="T51" s="92" t="s">
        <v>100</v>
      </c>
      <c r="U51" s="83" t="s">
        <v>262</v>
      </c>
      <c r="V51" s="92" t="s">
        <v>25</v>
      </c>
      <c r="W51" s="92" t="s">
        <v>88</v>
      </c>
      <c r="X51" s="92" t="s">
        <v>84</v>
      </c>
      <c r="Y51" s="92" t="s">
        <v>84</v>
      </c>
      <c r="Z51" s="92" t="s">
        <v>84</v>
      </c>
      <c r="AA51" s="36" t="s">
        <v>109</v>
      </c>
      <c r="AB51" s="36"/>
      <c r="AC51" s="36"/>
      <c r="AD51" s="36"/>
      <c r="AE51" s="36"/>
      <c r="AF51" s="36"/>
      <c r="AG51" s="49">
        <v>1</v>
      </c>
      <c r="AH51" s="36"/>
      <c r="AI51" s="36"/>
      <c r="AJ51" s="36"/>
      <c r="AK51" s="36"/>
      <c r="AL51" s="36"/>
      <c r="AM51" s="49">
        <v>1</v>
      </c>
      <c r="AN51" s="49">
        <v>2</v>
      </c>
      <c r="AO51" s="81"/>
      <c r="AP51" s="81"/>
      <c r="AQ51" s="81"/>
      <c r="AR51" s="81"/>
      <c r="AS51" s="81"/>
      <c r="AT51" s="81"/>
      <c r="AU51" s="81">
        <v>1</v>
      </c>
      <c r="AV51" s="76">
        <v>1</v>
      </c>
      <c r="AW51" s="76">
        <v>0.25</v>
      </c>
      <c r="AX51" s="76">
        <v>0.25</v>
      </c>
      <c r="AY51" s="76">
        <v>0.25</v>
      </c>
      <c r="AZ51" s="76">
        <v>0.25</v>
      </c>
      <c r="BA51" s="81"/>
      <c r="BB51" s="76"/>
      <c r="BC51" s="81"/>
      <c r="BD51" s="81"/>
      <c r="BE51" s="81"/>
      <c r="BF51" s="81"/>
      <c r="BG51" s="59"/>
      <c r="BH51" s="59"/>
      <c r="BI51" s="59"/>
      <c r="BJ51" s="59"/>
      <c r="BK51" s="59"/>
      <c r="BL51" s="59"/>
      <c r="BM51" s="81"/>
      <c r="BN51" s="81"/>
      <c r="BO51" s="81"/>
      <c r="BP51" s="81"/>
      <c r="BQ51" s="81"/>
      <c r="BR51" s="81"/>
      <c r="BS51" s="81">
        <v>1</v>
      </c>
      <c r="BT51" s="79">
        <f t="shared" ref="BT51" si="37">BU51+BV51+BW51+BX51</f>
        <v>1</v>
      </c>
      <c r="BU51" s="76">
        <v>0.25</v>
      </c>
      <c r="BV51" s="76">
        <v>0.25</v>
      </c>
      <c r="BW51" s="76">
        <v>0.25</v>
      </c>
      <c r="BX51" s="76">
        <v>0.25</v>
      </c>
      <c r="BY51" s="81"/>
      <c r="BZ51" s="81"/>
      <c r="CA51" s="81"/>
      <c r="CB51" s="81"/>
      <c r="CC51" s="81"/>
      <c r="CD51" s="81"/>
      <c r="CE51" s="59"/>
      <c r="CF51" s="59"/>
      <c r="CG51" s="59"/>
      <c r="CH51" s="81"/>
      <c r="CI51" s="81"/>
      <c r="CJ51" s="81"/>
      <c r="CK51" s="81"/>
      <c r="CL51" s="76">
        <v>1</v>
      </c>
      <c r="CM51" s="76">
        <f t="shared" ref="CM51" si="38">CL51/2</f>
        <v>0.5</v>
      </c>
      <c r="CN51" s="70">
        <v>0.5</v>
      </c>
    </row>
    <row r="52" spans="1:92" s="42" customFormat="1" ht="85.5" customHeight="1" x14ac:dyDescent="0.25">
      <c r="A52" s="144"/>
      <c r="B52" s="144"/>
      <c r="C52" s="144"/>
      <c r="D52" s="144"/>
      <c r="E52" s="115"/>
      <c r="F52" s="119"/>
      <c r="G52" s="111">
        <v>0.5</v>
      </c>
      <c r="H52" s="113"/>
      <c r="I52" s="113" t="s">
        <v>362</v>
      </c>
      <c r="J52" s="109" t="s">
        <v>97</v>
      </c>
      <c r="K52" s="92" t="s">
        <v>429</v>
      </c>
      <c r="L52" s="92" t="s">
        <v>244</v>
      </c>
      <c r="M52" s="111">
        <v>1</v>
      </c>
      <c r="N52" s="85" t="s">
        <v>375</v>
      </c>
      <c r="O52" s="88">
        <v>0.33329999999999999</v>
      </c>
      <c r="P52" s="83" t="s">
        <v>141</v>
      </c>
      <c r="Q52" s="92" t="s">
        <v>84</v>
      </c>
      <c r="R52" s="92" t="s">
        <v>84</v>
      </c>
      <c r="S52" s="83" t="s">
        <v>140</v>
      </c>
      <c r="T52" s="92" t="s">
        <v>85</v>
      </c>
      <c r="U52" s="83" t="s">
        <v>142</v>
      </c>
      <c r="V52" s="92" t="s">
        <v>121</v>
      </c>
      <c r="W52" s="92" t="s">
        <v>125</v>
      </c>
      <c r="X52" s="92" t="s">
        <v>84</v>
      </c>
      <c r="Y52" s="92" t="s">
        <v>84</v>
      </c>
      <c r="Z52" s="92" t="s">
        <v>84</v>
      </c>
      <c r="AA52" s="36" t="s">
        <v>109</v>
      </c>
      <c r="AB52" s="36"/>
      <c r="AC52" s="36"/>
      <c r="AD52" s="72"/>
      <c r="AE52" s="36"/>
      <c r="AF52" s="36"/>
      <c r="AG52" s="72">
        <v>1</v>
      </c>
      <c r="AH52" s="36"/>
      <c r="AI52" s="36"/>
      <c r="AJ52" s="72"/>
      <c r="AK52" s="36"/>
      <c r="AL52" s="36"/>
      <c r="AM52" s="72">
        <v>1</v>
      </c>
      <c r="AN52" s="72">
        <v>1</v>
      </c>
      <c r="AO52" s="57"/>
      <c r="AP52" s="37"/>
      <c r="AQ52" s="37"/>
      <c r="AR52" s="37"/>
      <c r="AS52" s="37"/>
      <c r="AT52" s="37"/>
      <c r="AU52" s="79">
        <f>1/1</f>
        <v>1</v>
      </c>
      <c r="AV52" s="71">
        <v>1</v>
      </c>
      <c r="AW52" s="71">
        <v>0.25</v>
      </c>
      <c r="AX52" s="71">
        <v>0.25</v>
      </c>
      <c r="AY52" s="71">
        <v>0.25</v>
      </c>
      <c r="AZ52" s="71">
        <v>0.25</v>
      </c>
      <c r="BA52" s="81"/>
      <c r="BB52" s="76"/>
      <c r="BC52" s="81"/>
      <c r="BD52" s="81"/>
      <c r="BE52" s="81"/>
      <c r="BF52" s="81"/>
      <c r="BG52" s="38"/>
      <c r="BH52" s="38"/>
      <c r="BI52" s="38"/>
      <c r="BJ52" s="38"/>
      <c r="BK52" s="38"/>
      <c r="BL52" s="38"/>
      <c r="BM52" s="37"/>
      <c r="BN52" s="37"/>
      <c r="BO52" s="37"/>
      <c r="BP52" s="37"/>
      <c r="BQ52" s="37"/>
      <c r="BR52" s="37"/>
      <c r="BS52" s="79">
        <f>1/1</f>
        <v>1</v>
      </c>
      <c r="BT52" s="79">
        <f t="shared" ref="BT52" si="39">BU52+BV52+BW52+BX52</f>
        <v>1</v>
      </c>
      <c r="BU52" s="71">
        <v>0.25</v>
      </c>
      <c r="BV52" s="71">
        <v>0.25</v>
      </c>
      <c r="BW52" s="71">
        <v>0.25</v>
      </c>
      <c r="BX52" s="71">
        <v>0.25</v>
      </c>
      <c r="BY52" s="37"/>
      <c r="BZ52" s="37"/>
      <c r="CA52" s="37"/>
      <c r="CB52" s="37"/>
      <c r="CC52" s="37"/>
      <c r="CD52" s="37"/>
      <c r="CE52" s="38"/>
      <c r="CF52" s="38"/>
      <c r="CG52" s="38"/>
      <c r="CH52" s="37"/>
      <c r="CI52" s="37"/>
      <c r="CJ52" s="37"/>
      <c r="CK52" s="37"/>
      <c r="CL52" s="71">
        <v>1</v>
      </c>
      <c r="CM52" s="71">
        <f t="shared" ref="CM52" si="40">CL52/2</f>
        <v>0.5</v>
      </c>
      <c r="CN52" s="57">
        <v>0.1666</v>
      </c>
    </row>
    <row r="53" spans="1:92" s="42" customFormat="1" ht="49.5" customHeight="1" x14ac:dyDescent="0.25">
      <c r="A53" s="144"/>
      <c r="B53" s="144"/>
      <c r="C53" s="144"/>
      <c r="D53" s="144"/>
      <c r="E53" s="115"/>
      <c r="F53" s="119"/>
      <c r="G53" s="111"/>
      <c r="H53" s="113"/>
      <c r="I53" s="113"/>
      <c r="J53" s="109"/>
      <c r="K53" s="92" t="s">
        <v>430</v>
      </c>
      <c r="L53" s="92" t="s">
        <v>107</v>
      </c>
      <c r="M53" s="111"/>
      <c r="N53" s="83" t="s">
        <v>376</v>
      </c>
      <c r="O53" s="88">
        <v>0.33329999999999999</v>
      </c>
      <c r="P53" s="83" t="s">
        <v>143</v>
      </c>
      <c r="Q53" s="92" t="s">
        <v>84</v>
      </c>
      <c r="R53" s="92" t="s">
        <v>84</v>
      </c>
      <c r="S53" s="83" t="s">
        <v>263</v>
      </c>
      <c r="T53" s="92" t="s">
        <v>100</v>
      </c>
      <c r="U53" s="83" t="s">
        <v>263</v>
      </c>
      <c r="V53" s="92" t="s">
        <v>25</v>
      </c>
      <c r="W53" s="92" t="s">
        <v>144</v>
      </c>
      <c r="X53" s="92" t="s">
        <v>84</v>
      </c>
      <c r="Y53" s="92" t="s">
        <v>84</v>
      </c>
      <c r="Z53" s="92" t="s">
        <v>84</v>
      </c>
      <c r="AA53" s="36" t="s">
        <v>110</v>
      </c>
      <c r="AB53" s="36"/>
      <c r="AC53" s="36"/>
      <c r="AD53" s="36"/>
      <c r="AE53" s="36"/>
      <c r="AF53" s="36"/>
      <c r="AG53" s="73"/>
      <c r="AH53" s="36"/>
      <c r="AI53" s="36"/>
      <c r="AJ53" s="36"/>
      <c r="AK53" s="36"/>
      <c r="AL53" s="36"/>
      <c r="AM53" s="49">
        <v>1</v>
      </c>
      <c r="AN53" s="49">
        <v>1</v>
      </c>
      <c r="AO53" s="36"/>
      <c r="AP53" s="36"/>
      <c r="AQ53" s="36"/>
      <c r="AR53" s="36"/>
      <c r="AS53" s="36"/>
      <c r="AT53" s="36"/>
      <c r="AU53" s="36"/>
      <c r="AV53" s="36"/>
      <c r="AW53" s="36"/>
      <c r="AX53" s="36"/>
      <c r="AY53" s="36"/>
      <c r="AZ53" s="36"/>
      <c r="BA53" s="36"/>
      <c r="BB53" s="36"/>
      <c r="BC53" s="36"/>
      <c r="BD53" s="36"/>
      <c r="BE53" s="36"/>
      <c r="BF53" s="36"/>
      <c r="BG53" s="87"/>
      <c r="BH53" s="87"/>
      <c r="BI53" s="87"/>
      <c r="BJ53" s="87"/>
      <c r="BK53" s="87"/>
      <c r="BL53" s="87"/>
      <c r="BM53" s="36"/>
      <c r="BN53" s="36"/>
      <c r="BO53" s="36"/>
      <c r="BP53" s="36"/>
      <c r="BQ53" s="36"/>
      <c r="BR53" s="36"/>
      <c r="BS53" s="36"/>
      <c r="BT53" s="36"/>
      <c r="BU53" s="36"/>
      <c r="BV53" s="36"/>
      <c r="BW53" s="36"/>
      <c r="BX53" s="36"/>
      <c r="BY53" s="36"/>
      <c r="BZ53" s="36"/>
      <c r="CA53" s="36"/>
      <c r="CB53" s="36"/>
      <c r="CC53" s="36"/>
      <c r="CD53" s="36"/>
      <c r="CE53" s="87"/>
      <c r="CF53" s="87"/>
      <c r="CG53" s="87"/>
      <c r="CH53" s="36"/>
      <c r="CI53" s="36"/>
      <c r="CJ53" s="36"/>
      <c r="CK53" s="36"/>
      <c r="CL53" s="71">
        <f>(BM53+BS53)/2</f>
        <v>0</v>
      </c>
      <c r="CM53" s="71">
        <f t="shared" ref="CM53:CM54" si="41">CL53</f>
        <v>0</v>
      </c>
      <c r="CN53" s="78">
        <v>0</v>
      </c>
    </row>
    <row r="54" spans="1:92" s="42" customFormat="1" ht="50.25" customHeight="1" x14ac:dyDescent="0.25">
      <c r="A54" s="144"/>
      <c r="B54" s="144"/>
      <c r="C54" s="144"/>
      <c r="D54" s="144"/>
      <c r="E54" s="115"/>
      <c r="F54" s="119"/>
      <c r="G54" s="111"/>
      <c r="H54" s="113"/>
      <c r="I54" s="113"/>
      <c r="J54" s="109"/>
      <c r="K54" s="92" t="s">
        <v>431</v>
      </c>
      <c r="L54" s="92" t="s">
        <v>244</v>
      </c>
      <c r="M54" s="111"/>
      <c r="N54" s="83" t="s">
        <v>377</v>
      </c>
      <c r="O54" s="88">
        <v>0.33329999999999999</v>
      </c>
      <c r="P54" s="83" t="s">
        <v>145</v>
      </c>
      <c r="Q54" s="92" t="s">
        <v>84</v>
      </c>
      <c r="R54" s="92" t="s">
        <v>84</v>
      </c>
      <c r="S54" s="83" t="s">
        <v>146</v>
      </c>
      <c r="T54" s="92" t="s">
        <v>100</v>
      </c>
      <c r="U54" s="83" t="s">
        <v>146</v>
      </c>
      <c r="V54" s="92" t="s">
        <v>25</v>
      </c>
      <c r="W54" s="92" t="s">
        <v>147</v>
      </c>
      <c r="X54" s="92" t="s">
        <v>84</v>
      </c>
      <c r="Y54" s="92" t="s">
        <v>84</v>
      </c>
      <c r="Z54" s="92" t="s">
        <v>84</v>
      </c>
      <c r="AA54" s="36" t="s">
        <v>110</v>
      </c>
      <c r="AB54" s="36"/>
      <c r="AC54" s="36"/>
      <c r="AD54" s="36"/>
      <c r="AE54" s="36"/>
      <c r="AF54" s="36"/>
      <c r="AG54" s="73"/>
      <c r="AH54" s="36"/>
      <c r="AI54" s="36"/>
      <c r="AJ54" s="36"/>
      <c r="AK54" s="36"/>
      <c r="AL54" s="36"/>
      <c r="AM54" s="49">
        <v>1</v>
      </c>
      <c r="AN54" s="49">
        <v>1</v>
      </c>
      <c r="AO54" s="37"/>
      <c r="AP54" s="37"/>
      <c r="AQ54" s="37"/>
      <c r="AR54" s="37"/>
      <c r="AS54" s="37"/>
      <c r="AT54" s="37"/>
      <c r="AU54" s="37"/>
      <c r="AV54" s="71"/>
      <c r="AW54" s="71"/>
      <c r="AX54" s="71"/>
      <c r="AY54" s="71"/>
      <c r="AZ54" s="71"/>
      <c r="BA54" s="37"/>
      <c r="BB54" s="37"/>
      <c r="BC54" s="37"/>
      <c r="BD54" s="37"/>
      <c r="BE54" s="37"/>
      <c r="BF54" s="37"/>
      <c r="BG54" s="38"/>
      <c r="BH54" s="38"/>
      <c r="BI54" s="38"/>
      <c r="BJ54" s="38"/>
      <c r="BK54" s="38"/>
      <c r="BL54" s="38"/>
      <c r="BM54" s="37"/>
      <c r="BN54" s="37"/>
      <c r="BO54" s="37"/>
      <c r="BP54" s="37"/>
      <c r="BQ54" s="37"/>
      <c r="BR54" s="37"/>
      <c r="BS54" s="37"/>
      <c r="BT54" s="37"/>
      <c r="BU54" s="37"/>
      <c r="BV54" s="37"/>
      <c r="BW54" s="37"/>
      <c r="BX54" s="37"/>
      <c r="BY54" s="37"/>
      <c r="BZ54" s="37"/>
      <c r="CA54" s="37"/>
      <c r="CB54" s="37"/>
      <c r="CC54" s="37"/>
      <c r="CD54" s="37"/>
      <c r="CE54" s="38"/>
      <c r="CF54" s="38"/>
      <c r="CG54" s="38"/>
      <c r="CH54" s="37"/>
      <c r="CI54" s="37"/>
      <c r="CJ54" s="37"/>
      <c r="CK54" s="37"/>
      <c r="CL54" s="71">
        <f>(BM54+BS54)/2</f>
        <v>0</v>
      </c>
      <c r="CM54" s="71">
        <f t="shared" si="41"/>
        <v>0</v>
      </c>
      <c r="CN54" s="94">
        <v>0</v>
      </c>
    </row>
    <row r="55" spans="1:92" s="39" customFormat="1" ht="40.5" customHeight="1" x14ac:dyDescent="0.25">
      <c r="A55" s="115" t="s">
        <v>475</v>
      </c>
      <c r="B55" s="115" t="s">
        <v>148</v>
      </c>
      <c r="C55" s="115" t="s">
        <v>149</v>
      </c>
      <c r="D55" s="115" t="s">
        <v>150</v>
      </c>
      <c r="E55" s="115"/>
      <c r="F55" s="119" t="s">
        <v>151</v>
      </c>
      <c r="G55" s="111">
        <v>0.1</v>
      </c>
      <c r="H55" s="113" t="s">
        <v>95</v>
      </c>
      <c r="I55" s="115" t="s">
        <v>363</v>
      </c>
      <c r="J55" s="110" t="s">
        <v>97</v>
      </c>
      <c r="K55" s="89" t="s">
        <v>432</v>
      </c>
      <c r="L55" s="89" t="s">
        <v>107</v>
      </c>
      <c r="M55" s="114">
        <v>1</v>
      </c>
      <c r="N55" s="84" t="s">
        <v>381</v>
      </c>
      <c r="O55" s="82">
        <v>0.5</v>
      </c>
      <c r="P55" s="84" t="s">
        <v>152</v>
      </c>
      <c r="Q55" s="89" t="s">
        <v>84</v>
      </c>
      <c r="R55" s="89" t="s">
        <v>84</v>
      </c>
      <c r="S55" s="84" t="s">
        <v>153</v>
      </c>
      <c r="T55" s="92" t="s">
        <v>85</v>
      </c>
      <c r="U55" s="84" t="s">
        <v>154</v>
      </c>
      <c r="V55" s="89" t="s">
        <v>87</v>
      </c>
      <c r="W55" s="92" t="s">
        <v>119</v>
      </c>
      <c r="X55" s="92" t="s">
        <v>84</v>
      </c>
      <c r="Y55" s="92" t="s">
        <v>84</v>
      </c>
      <c r="Z55" s="92" t="s">
        <v>84</v>
      </c>
      <c r="AA55" s="37" t="s">
        <v>102</v>
      </c>
      <c r="AB55" s="73">
        <v>1</v>
      </c>
      <c r="AC55" s="73">
        <v>1</v>
      </c>
      <c r="AD55" s="73">
        <v>1</v>
      </c>
      <c r="AE55" s="73">
        <v>1</v>
      </c>
      <c r="AF55" s="73">
        <v>1</v>
      </c>
      <c r="AG55" s="73">
        <v>1</v>
      </c>
      <c r="AH55" s="73">
        <v>1</v>
      </c>
      <c r="AI55" s="73">
        <v>1</v>
      </c>
      <c r="AJ55" s="73">
        <v>1</v>
      </c>
      <c r="AK55" s="73">
        <v>1</v>
      </c>
      <c r="AL55" s="73">
        <v>1</v>
      </c>
      <c r="AM55" s="73">
        <v>1</v>
      </c>
      <c r="AN55" s="72">
        <v>1</v>
      </c>
      <c r="AO55" s="57">
        <f>(12+43)/(14+70)</f>
        <v>0.65476190476190477</v>
      </c>
      <c r="AP55" s="76">
        <v>1</v>
      </c>
      <c r="AQ55" s="76">
        <f>(25%+25%+25%)</f>
        <v>0.75</v>
      </c>
      <c r="AR55" s="76">
        <f t="shared" ref="AR55:AT55" si="42">(25%+25%+25%)</f>
        <v>0.75</v>
      </c>
      <c r="AS55" s="76">
        <f t="shared" si="42"/>
        <v>0.75</v>
      </c>
      <c r="AT55" s="76">
        <f t="shared" si="42"/>
        <v>0.75</v>
      </c>
      <c r="AU55" s="57">
        <f>(36+35+50)/(47+39+55)</f>
        <v>0.85815602836879434</v>
      </c>
      <c r="AV55" s="76">
        <v>1</v>
      </c>
      <c r="AW55" s="76">
        <f>(25%+25%+25%)/3</f>
        <v>0.25</v>
      </c>
      <c r="AX55" s="76">
        <f t="shared" ref="AX55:AZ55" si="43">(25%+25%+25%)/3</f>
        <v>0.25</v>
      </c>
      <c r="AY55" s="76">
        <f t="shared" si="43"/>
        <v>0.25</v>
      </c>
      <c r="AZ55" s="76">
        <f t="shared" si="43"/>
        <v>0.25</v>
      </c>
      <c r="BA55" s="77">
        <f>(56+60+46)/(60+64+49)</f>
        <v>0.93641618497109824</v>
      </c>
      <c r="BB55" s="76">
        <v>1</v>
      </c>
      <c r="BC55" s="79">
        <f t="shared" ref="BC55:BF55" si="44">(25%+25%+25%)/3</f>
        <v>0.25</v>
      </c>
      <c r="BD55" s="79">
        <f t="shared" si="44"/>
        <v>0.25</v>
      </c>
      <c r="BE55" s="79">
        <f t="shared" si="44"/>
        <v>0.25</v>
      </c>
      <c r="BF55" s="79">
        <f t="shared" si="44"/>
        <v>0.25</v>
      </c>
      <c r="BG55" s="59"/>
      <c r="BH55" s="59"/>
      <c r="BI55" s="59"/>
      <c r="BJ55" s="59"/>
      <c r="BK55" s="59"/>
      <c r="BL55" s="59"/>
      <c r="BM55" s="57">
        <f>(12+43)/(14+70)</f>
        <v>0.65476190476190477</v>
      </c>
      <c r="BN55" s="79">
        <f>(BO55+BP55+BQ55+BR55)/3</f>
        <v>1</v>
      </c>
      <c r="BO55" s="76">
        <f t="shared" ref="BO55:BR55" si="45">(25%+25%+25%)</f>
        <v>0.75</v>
      </c>
      <c r="BP55" s="76">
        <f t="shared" si="45"/>
        <v>0.75</v>
      </c>
      <c r="BQ55" s="76">
        <f t="shared" si="45"/>
        <v>0.75</v>
      </c>
      <c r="BR55" s="76">
        <f t="shared" si="45"/>
        <v>0.75</v>
      </c>
      <c r="BS55" s="57">
        <f>(36+35+50)/(47+39+55)</f>
        <v>0.85815602836879434</v>
      </c>
      <c r="BT55" s="79">
        <f>BU55+BV55+BW55+BX55</f>
        <v>1</v>
      </c>
      <c r="BU55" s="79">
        <f t="shared" ref="BU55:BX55" si="46">(25%+25%+25%)/3</f>
        <v>0.25</v>
      </c>
      <c r="BV55" s="79">
        <f t="shared" si="46"/>
        <v>0.25</v>
      </c>
      <c r="BW55" s="79">
        <f t="shared" si="46"/>
        <v>0.25</v>
      </c>
      <c r="BX55" s="79">
        <f t="shared" si="46"/>
        <v>0.25</v>
      </c>
      <c r="BY55" s="77">
        <f>(56+60+46)/(60+64+49)</f>
        <v>0.93641618497109824</v>
      </c>
      <c r="BZ55" s="76">
        <f>CA55+CB55+CC55+CD55</f>
        <v>1</v>
      </c>
      <c r="CA55" s="79">
        <f t="shared" ref="CA55:CD55" si="47">(25%+25%+25%)/3</f>
        <v>0.25</v>
      </c>
      <c r="CB55" s="79">
        <f t="shared" si="47"/>
        <v>0.25</v>
      </c>
      <c r="CC55" s="79">
        <f t="shared" si="47"/>
        <v>0.25</v>
      </c>
      <c r="CD55" s="79">
        <f t="shared" si="47"/>
        <v>0.25</v>
      </c>
      <c r="CE55" s="59"/>
      <c r="CF55" s="59"/>
      <c r="CG55" s="59"/>
      <c r="CH55" s="79"/>
      <c r="CI55" s="79"/>
      <c r="CJ55" s="79"/>
      <c r="CK55" s="79"/>
      <c r="CL55" s="58">
        <f>(BM55+BS55+BY55)/3</f>
        <v>0.81644470603393249</v>
      </c>
      <c r="CM55" s="58">
        <f>CL55/2</f>
        <v>0.40822235301696624</v>
      </c>
      <c r="CN55" s="77">
        <v>0.3061667647627247</v>
      </c>
    </row>
    <row r="56" spans="1:92" s="39" customFormat="1" ht="75" customHeight="1" x14ac:dyDescent="0.25">
      <c r="A56" s="115"/>
      <c r="B56" s="115"/>
      <c r="C56" s="115"/>
      <c r="D56" s="115"/>
      <c r="E56" s="115"/>
      <c r="F56" s="119"/>
      <c r="G56" s="111"/>
      <c r="H56" s="113"/>
      <c r="I56" s="115"/>
      <c r="J56" s="110"/>
      <c r="K56" s="89" t="s">
        <v>432</v>
      </c>
      <c r="L56" s="89" t="s">
        <v>107</v>
      </c>
      <c r="M56" s="114"/>
      <c r="N56" s="84" t="s">
        <v>382</v>
      </c>
      <c r="O56" s="82">
        <v>0.5</v>
      </c>
      <c r="P56" s="84" t="s">
        <v>155</v>
      </c>
      <c r="Q56" s="89" t="s">
        <v>84</v>
      </c>
      <c r="R56" s="89" t="s">
        <v>84</v>
      </c>
      <c r="S56" s="84" t="s">
        <v>156</v>
      </c>
      <c r="T56" s="92" t="s">
        <v>85</v>
      </c>
      <c r="U56" s="84" t="s">
        <v>157</v>
      </c>
      <c r="V56" s="89" t="s">
        <v>87</v>
      </c>
      <c r="W56" s="92" t="s">
        <v>119</v>
      </c>
      <c r="X56" s="92" t="s">
        <v>84</v>
      </c>
      <c r="Y56" s="92" t="s">
        <v>84</v>
      </c>
      <c r="Z56" s="92" t="s">
        <v>84</v>
      </c>
      <c r="AA56" s="37" t="s">
        <v>89</v>
      </c>
      <c r="AB56" s="73"/>
      <c r="AC56" s="73"/>
      <c r="AD56" s="73">
        <v>1</v>
      </c>
      <c r="AE56" s="73"/>
      <c r="AF56" s="73"/>
      <c r="AG56" s="73">
        <v>1</v>
      </c>
      <c r="AH56" s="73"/>
      <c r="AI56" s="73"/>
      <c r="AJ56" s="73">
        <v>1</v>
      </c>
      <c r="AK56" s="73"/>
      <c r="AL56" s="73"/>
      <c r="AM56" s="73">
        <v>1</v>
      </c>
      <c r="AN56" s="72">
        <v>1</v>
      </c>
      <c r="AO56" s="58">
        <v>0.95450000000000002</v>
      </c>
      <c r="AP56" s="76">
        <v>1</v>
      </c>
      <c r="AQ56" s="76">
        <v>0.25</v>
      </c>
      <c r="AR56" s="76">
        <v>0.25</v>
      </c>
      <c r="AS56" s="76">
        <v>0.25</v>
      </c>
      <c r="AT56" s="76">
        <v>0.25</v>
      </c>
      <c r="AU56" s="57">
        <f>15.4/18</f>
        <v>0.85555555555555562</v>
      </c>
      <c r="AV56" s="76">
        <v>1</v>
      </c>
      <c r="AW56" s="76">
        <v>0.25</v>
      </c>
      <c r="AX56" s="76">
        <v>0.25</v>
      </c>
      <c r="AY56" s="76">
        <v>0.25</v>
      </c>
      <c r="AZ56" s="76">
        <v>0.25</v>
      </c>
      <c r="BA56" s="77">
        <f>10.6/11</f>
        <v>0.96363636363636362</v>
      </c>
      <c r="BB56" s="76">
        <v>1</v>
      </c>
      <c r="BC56" s="76">
        <v>0.25</v>
      </c>
      <c r="BD56" s="76">
        <v>0.25</v>
      </c>
      <c r="BE56" s="76">
        <v>0.25</v>
      </c>
      <c r="BF56" s="76">
        <v>0.25</v>
      </c>
      <c r="BG56" s="59"/>
      <c r="BH56" s="59"/>
      <c r="BI56" s="59"/>
      <c r="BJ56" s="59"/>
      <c r="BK56" s="59"/>
      <c r="BL56" s="59"/>
      <c r="BM56" s="57">
        <f>10.5/11</f>
        <v>0.95454545454545459</v>
      </c>
      <c r="BN56" s="76">
        <f>BO56+BP56+BQ56+BR56</f>
        <v>1</v>
      </c>
      <c r="BO56" s="76">
        <v>0.25</v>
      </c>
      <c r="BP56" s="76">
        <v>0.25</v>
      </c>
      <c r="BQ56" s="76">
        <v>0.25</v>
      </c>
      <c r="BR56" s="76">
        <v>0.25</v>
      </c>
      <c r="BS56" s="57">
        <f>15.4/18</f>
        <v>0.85555555555555562</v>
      </c>
      <c r="BT56" s="79">
        <f>BU56+BV56+BW56+BX56</f>
        <v>1</v>
      </c>
      <c r="BU56" s="76">
        <v>0.25</v>
      </c>
      <c r="BV56" s="76">
        <v>0.25</v>
      </c>
      <c r="BW56" s="76">
        <v>0.25</v>
      </c>
      <c r="BX56" s="76">
        <v>0.25</v>
      </c>
      <c r="BY56" s="77">
        <f>10.6/11</f>
        <v>0.96363636363636362</v>
      </c>
      <c r="BZ56" s="75">
        <f>CA56+CB56+CC56+CD56</f>
        <v>1</v>
      </c>
      <c r="CA56" s="76">
        <v>0.25</v>
      </c>
      <c r="CB56" s="76">
        <v>0.25</v>
      </c>
      <c r="CC56" s="76">
        <v>0.25</v>
      </c>
      <c r="CD56" s="76">
        <v>0.25</v>
      </c>
      <c r="CE56" s="59"/>
      <c r="CF56" s="59"/>
      <c r="CG56" s="59"/>
      <c r="CH56" s="81"/>
      <c r="CI56" s="81"/>
      <c r="CJ56" s="81"/>
      <c r="CK56" s="81"/>
      <c r="CL56" s="58">
        <f>(BM56+BS56+BY56)/3</f>
        <v>0.92457912457912472</v>
      </c>
      <c r="CM56" s="58">
        <f>CL56/100%</f>
        <v>0.92457912457912472</v>
      </c>
      <c r="CN56" s="77">
        <v>0.34671717171717176</v>
      </c>
    </row>
    <row r="57" spans="1:92" s="39" customFormat="1" ht="30" x14ac:dyDescent="0.25">
      <c r="A57" s="115"/>
      <c r="B57" s="115"/>
      <c r="C57" s="115"/>
      <c r="D57" s="115"/>
      <c r="E57" s="115"/>
      <c r="F57" s="119"/>
      <c r="G57" s="111">
        <v>0.1</v>
      </c>
      <c r="H57" s="113"/>
      <c r="I57" s="115" t="s">
        <v>364</v>
      </c>
      <c r="J57" s="110" t="s">
        <v>97</v>
      </c>
      <c r="K57" s="89" t="s">
        <v>433</v>
      </c>
      <c r="L57" s="89" t="s">
        <v>107</v>
      </c>
      <c r="M57" s="114">
        <v>1</v>
      </c>
      <c r="N57" s="84" t="s">
        <v>383</v>
      </c>
      <c r="O57" s="88">
        <v>0.33329999999999999</v>
      </c>
      <c r="P57" s="84" t="s">
        <v>231</v>
      </c>
      <c r="Q57" s="89" t="s">
        <v>84</v>
      </c>
      <c r="R57" s="89" t="s">
        <v>84</v>
      </c>
      <c r="S57" s="84" t="s">
        <v>232</v>
      </c>
      <c r="T57" s="92" t="s">
        <v>100</v>
      </c>
      <c r="U57" s="84" t="s">
        <v>232</v>
      </c>
      <c r="V57" s="89" t="s">
        <v>25</v>
      </c>
      <c r="W57" s="89" t="s">
        <v>144</v>
      </c>
      <c r="X57" s="92" t="s">
        <v>84</v>
      </c>
      <c r="Y57" s="92" t="s">
        <v>84</v>
      </c>
      <c r="Z57" s="92" t="s">
        <v>84</v>
      </c>
      <c r="AA57" s="37" t="s">
        <v>110</v>
      </c>
      <c r="AB57" s="73"/>
      <c r="AC57" s="73"/>
      <c r="AD57" s="73"/>
      <c r="AE57" s="73"/>
      <c r="AF57" s="73"/>
      <c r="AG57" s="73"/>
      <c r="AH57" s="73"/>
      <c r="AI57" s="73"/>
      <c r="AJ57" s="73"/>
      <c r="AK57" s="73"/>
      <c r="AL57" s="73"/>
      <c r="AM57" s="49">
        <v>1</v>
      </c>
      <c r="AN57" s="49">
        <v>1</v>
      </c>
      <c r="AO57" s="37"/>
      <c r="AP57" s="37"/>
      <c r="AQ57" s="37"/>
      <c r="AR57" s="37"/>
      <c r="AS57" s="37"/>
      <c r="AT57" s="37"/>
      <c r="AU57" s="37"/>
      <c r="AV57" s="37"/>
      <c r="AW57" s="37"/>
      <c r="AX57" s="37"/>
      <c r="AY57" s="37"/>
      <c r="AZ57" s="37"/>
      <c r="BA57" s="37"/>
      <c r="BB57" s="37"/>
      <c r="BC57" s="37"/>
      <c r="BD57" s="37"/>
      <c r="BE57" s="37"/>
      <c r="BF57" s="37"/>
      <c r="BG57" s="38"/>
      <c r="BH57" s="38"/>
      <c r="BI57" s="38"/>
      <c r="BJ57" s="38"/>
      <c r="BK57" s="38"/>
      <c r="BL57" s="38"/>
      <c r="BM57" s="37"/>
      <c r="BN57" s="37"/>
      <c r="BO57" s="37"/>
      <c r="BP57" s="37"/>
      <c r="BQ57" s="37"/>
      <c r="BR57" s="37"/>
      <c r="BS57" s="37"/>
      <c r="BT57" s="37"/>
      <c r="BU57" s="37"/>
      <c r="BV57" s="37"/>
      <c r="BW57" s="37"/>
      <c r="BX57" s="37"/>
      <c r="BY57" s="37"/>
      <c r="BZ57" s="37"/>
      <c r="CA57" s="37"/>
      <c r="CB57" s="37"/>
      <c r="CC57" s="37"/>
      <c r="CD57" s="37"/>
      <c r="CE57" s="38"/>
      <c r="CF57" s="38"/>
      <c r="CG57" s="38"/>
      <c r="CH57" s="37"/>
      <c r="CI57" s="37"/>
      <c r="CJ57" s="37"/>
      <c r="CK57" s="37"/>
      <c r="CL57" s="71">
        <f>(BM57+BS57)/2</f>
        <v>0</v>
      </c>
      <c r="CM57" s="71">
        <f t="shared" ref="CM57:CM59" si="48">CL57</f>
        <v>0</v>
      </c>
      <c r="CN57" s="94">
        <v>0</v>
      </c>
    </row>
    <row r="58" spans="1:92" s="39" customFormat="1" ht="30" x14ac:dyDescent="0.25">
      <c r="A58" s="115"/>
      <c r="B58" s="115"/>
      <c r="C58" s="115"/>
      <c r="D58" s="115"/>
      <c r="E58" s="115"/>
      <c r="F58" s="119"/>
      <c r="G58" s="111"/>
      <c r="H58" s="113"/>
      <c r="I58" s="115"/>
      <c r="J58" s="110"/>
      <c r="K58" s="89" t="s">
        <v>434</v>
      </c>
      <c r="L58" s="89" t="s">
        <v>107</v>
      </c>
      <c r="M58" s="114"/>
      <c r="N58" s="84" t="s">
        <v>484</v>
      </c>
      <c r="O58" s="88">
        <v>0.33329999999999999</v>
      </c>
      <c r="P58" s="84" t="s">
        <v>233</v>
      </c>
      <c r="Q58" s="89" t="s">
        <v>84</v>
      </c>
      <c r="R58" s="89" t="s">
        <v>84</v>
      </c>
      <c r="S58" s="84" t="s">
        <v>234</v>
      </c>
      <c r="T58" s="92" t="s">
        <v>100</v>
      </c>
      <c r="U58" s="84" t="s">
        <v>234</v>
      </c>
      <c r="V58" s="89" t="s">
        <v>25</v>
      </c>
      <c r="W58" s="92" t="s">
        <v>476</v>
      </c>
      <c r="X58" s="92" t="s">
        <v>84</v>
      </c>
      <c r="Y58" s="92" t="s">
        <v>84</v>
      </c>
      <c r="Z58" s="92" t="s">
        <v>84</v>
      </c>
      <c r="AA58" s="37" t="s">
        <v>110</v>
      </c>
      <c r="AB58" s="73"/>
      <c r="AC58" s="73"/>
      <c r="AD58" s="73"/>
      <c r="AE58" s="73"/>
      <c r="AF58" s="73"/>
      <c r="AG58" s="73"/>
      <c r="AH58" s="73"/>
      <c r="AI58" s="73"/>
      <c r="AJ58" s="73"/>
      <c r="AK58" s="73"/>
      <c r="AL58" s="73"/>
      <c r="AM58" s="49">
        <v>1</v>
      </c>
      <c r="AN58" s="49">
        <v>1</v>
      </c>
      <c r="AO58" s="37"/>
      <c r="AP58" s="37"/>
      <c r="AQ58" s="37"/>
      <c r="AR58" s="37"/>
      <c r="AS58" s="37"/>
      <c r="AT58" s="37"/>
      <c r="AU58" s="37"/>
      <c r="AV58" s="37"/>
      <c r="AW58" s="37"/>
      <c r="AX58" s="37"/>
      <c r="AY58" s="37"/>
      <c r="AZ58" s="37"/>
      <c r="BA58" s="37"/>
      <c r="BB58" s="37"/>
      <c r="BC58" s="37"/>
      <c r="BD58" s="37"/>
      <c r="BE58" s="37"/>
      <c r="BF58" s="37"/>
      <c r="BG58" s="38"/>
      <c r="BH58" s="38"/>
      <c r="BI58" s="38"/>
      <c r="BJ58" s="38"/>
      <c r="BK58" s="38"/>
      <c r="BL58" s="38"/>
      <c r="BM58" s="37"/>
      <c r="BN58" s="37"/>
      <c r="BO58" s="37"/>
      <c r="BP58" s="37"/>
      <c r="BQ58" s="37"/>
      <c r="BR58" s="37"/>
      <c r="BS58" s="37"/>
      <c r="BT58" s="37"/>
      <c r="BU58" s="37"/>
      <c r="BV58" s="37"/>
      <c r="BW58" s="37"/>
      <c r="BX58" s="37"/>
      <c r="BY58" s="37"/>
      <c r="BZ58" s="37"/>
      <c r="CA58" s="37"/>
      <c r="CB58" s="37"/>
      <c r="CC58" s="37"/>
      <c r="CD58" s="37"/>
      <c r="CE58" s="38"/>
      <c r="CF58" s="38"/>
      <c r="CG58" s="38"/>
      <c r="CH58" s="37"/>
      <c r="CI58" s="37"/>
      <c r="CJ58" s="37"/>
      <c r="CK58" s="37"/>
      <c r="CL58" s="76">
        <f>(BM58+BS58)/2</f>
        <v>0</v>
      </c>
      <c r="CM58" s="76">
        <f t="shared" si="48"/>
        <v>0</v>
      </c>
      <c r="CN58" s="94">
        <v>0</v>
      </c>
    </row>
    <row r="59" spans="1:92" s="39" customFormat="1" ht="30" x14ac:dyDescent="0.25">
      <c r="A59" s="115"/>
      <c r="B59" s="115"/>
      <c r="C59" s="115"/>
      <c r="D59" s="115"/>
      <c r="E59" s="115"/>
      <c r="F59" s="119"/>
      <c r="G59" s="111"/>
      <c r="H59" s="113"/>
      <c r="I59" s="115"/>
      <c r="J59" s="110"/>
      <c r="K59" s="89" t="s">
        <v>434</v>
      </c>
      <c r="L59" s="89" t="s">
        <v>107</v>
      </c>
      <c r="M59" s="114"/>
      <c r="N59" s="84" t="s">
        <v>483</v>
      </c>
      <c r="O59" s="88">
        <v>0.33329999999999999</v>
      </c>
      <c r="P59" s="84" t="s">
        <v>235</v>
      </c>
      <c r="Q59" s="89" t="s">
        <v>84</v>
      </c>
      <c r="R59" s="89" t="s">
        <v>84</v>
      </c>
      <c r="S59" s="84" t="s">
        <v>236</v>
      </c>
      <c r="T59" s="92" t="s">
        <v>100</v>
      </c>
      <c r="U59" s="84" t="s">
        <v>236</v>
      </c>
      <c r="V59" s="89" t="s">
        <v>25</v>
      </c>
      <c r="W59" s="92" t="s">
        <v>476</v>
      </c>
      <c r="X59" s="92" t="s">
        <v>84</v>
      </c>
      <c r="Y59" s="92" t="s">
        <v>84</v>
      </c>
      <c r="Z59" s="92" t="s">
        <v>84</v>
      </c>
      <c r="AA59" s="37" t="s">
        <v>110</v>
      </c>
      <c r="AB59" s="73"/>
      <c r="AC59" s="73"/>
      <c r="AD59" s="73"/>
      <c r="AE59" s="73"/>
      <c r="AF59" s="73"/>
      <c r="AG59" s="73"/>
      <c r="AH59" s="73"/>
      <c r="AI59" s="73"/>
      <c r="AJ59" s="73"/>
      <c r="AK59" s="73"/>
      <c r="AL59" s="73"/>
      <c r="AM59" s="49">
        <v>1</v>
      </c>
      <c r="AN59" s="49">
        <v>1</v>
      </c>
      <c r="AO59" s="37"/>
      <c r="AP59" s="37"/>
      <c r="AQ59" s="37"/>
      <c r="AR59" s="37"/>
      <c r="AS59" s="37"/>
      <c r="AT59" s="37"/>
      <c r="AU59" s="37"/>
      <c r="AV59" s="37"/>
      <c r="AW59" s="37"/>
      <c r="AX59" s="37"/>
      <c r="AY59" s="37"/>
      <c r="AZ59" s="37"/>
      <c r="BA59" s="37"/>
      <c r="BB59" s="37"/>
      <c r="BC59" s="37"/>
      <c r="BD59" s="37"/>
      <c r="BE59" s="37"/>
      <c r="BF59" s="37"/>
      <c r="BG59" s="38"/>
      <c r="BH59" s="38"/>
      <c r="BI59" s="38"/>
      <c r="BJ59" s="38"/>
      <c r="BK59" s="38"/>
      <c r="BL59" s="38"/>
      <c r="BM59" s="37"/>
      <c r="BN59" s="37"/>
      <c r="BO59" s="37"/>
      <c r="BP59" s="37"/>
      <c r="BQ59" s="37"/>
      <c r="BR59" s="37"/>
      <c r="BS59" s="37"/>
      <c r="BT59" s="37"/>
      <c r="BU59" s="37"/>
      <c r="BV59" s="37"/>
      <c r="BW59" s="37"/>
      <c r="BX59" s="37"/>
      <c r="BY59" s="37"/>
      <c r="BZ59" s="37"/>
      <c r="CA59" s="37"/>
      <c r="CB59" s="37"/>
      <c r="CC59" s="37"/>
      <c r="CD59" s="37"/>
      <c r="CE59" s="38"/>
      <c r="CF59" s="38"/>
      <c r="CG59" s="38"/>
      <c r="CH59" s="37"/>
      <c r="CI59" s="37"/>
      <c r="CJ59" s="37"/>
      <c r="CK59" s="37"/>
      <c r="CL59" s="76">
        <f>(BM59+BS59)/2</f>
        <v>0</v>
      </c>
      <c r="CM59" s="76">
        <f t="shared" si="48"/>
        <v>0</v>
      </c>
      <c r="CN59" s="94">
        <v>0</v>
      </c>
    </row>
    <row r="60" spans="1:92" s="39" customFormat="1" ht="36.75" customHeight="1" x14ac:dyDescent="0.25">
      <c r="A60" s="115"/>
      <c r="B60" s="115"/>
      <c r="C60" s="115"/>
      <c r="D60" s="115"/>
      <c r="E60" s="115"/>
      <c r="F60" s="119"/>
      <c r="G60" s="82">
        <v>0.1</v>
      </c>
      <c r="H60" s="113"/>
      <c r="I60" s="84" t="s">
        <v>365</v>
      </c>
      <c r="J60" s="89" t="s">
        <v>158</v>
      </c>
      <c r="K60" s="89" t="s">
        <v>435</v>
      </c>
      <c r="L60" s="92" t="s">
        <v>244</v>
      </c>
      <c r="M60" s="86">
        <v>1</v>
      </c>
      <c r="N60" s="84" t="s">
        <v>384</v>
      </c>
      <c r="O60" s="86">
        <v>1</v>
      </c>
      <c r="P60" s="84" t="s">
        <v>159</v>
      </c>
      <c r="Q60" s="89" t="s">
        <v>84</v>
      </c>
      <c r="R60" s="89" t="s">
        <v>84</v>
      </c>
      <c r="S60" s="84" t="s">
        <v>158</v>
      </c>
      <c r="T60" s="92" t="s">
        <v>85</v>
      </c>
      <c r="U60" s="84" t="s">
        <v>160</v>
      </c>
      <c r="V60" s="89" t="s">
        <v>121</v>
      </c>
      <c r="W60" s="89" t="s">
        <v>147</v>
      </c>
      <c r="X60" s="92" t="s">
        <v>84</v>
      </c>
      <c r="Y60" s="92" t="s">
        <v>84</v>
      </c>
      <c r="Z60" s="92" t="s">
        <v>84</v>
      </c>
      <c r="AA60" s="37" t="s">
        <v>102</v>
      </c>
      <c r="AB60" s="73">
        <v>1</v>
      </c>
      <c r="AC60" s="73">
        <v>1</v>
      </c>
      <c r="AD60" s="73">
        <v>1</v>
      </c>
      <c r="AE60" s="73">
        <v>1</v>
      </c>
      <c r="AF60" s="73">
        <v>1</v>
      </c>
      <c r="AG60" s="73">
        <v>1</v>
      </c>
      <c r="AH60" s="73">
        <v>1</v>
      </c>
      <c r="AI60" s="73">
        <v>1</v>
      </c>
      <c r="AJ60" s="73">
        <v>1</v>
      </c>
      <c r="AK60" s="73">
        <v>1</v>
      </c>
      <c r="AL60" s="73">
        <v>1</v>
      </c>
      <c r="AM60" s="73">
        <v>1</v>
      </c>
      <c r="AN60" s="73">
        <v>1</v>
      </c>
      <c r="AO60" s="58">
        <f>((1057+1704+1808)/(1090+1801+1866))</f>
        <v>0.96047929367248264</v>
      </c>
      <c r="AP60" s="76">
        <f>(AQ60+AR60+AS60+AT60)/3</f>
        <v>1</v>
      </c>
      <c r="AQ60" s="76">
        <f>(25%+25%+25%)</f>
        <v>0.75</v>
      </c>
      <c r="AR60" s="76">
        <f>(25%+25%+25%)</f>
        <v>0.75</v>
      </c>
      <c r="AS60" s="76">
        <f>(25%+25%+25%)</f>
        <v>0.75</v>
      </c>
      <c r="AT60" s="76">
        <f>(25%+25%+25%)</f>
        <v>0.75</v>
      </c>
      <c r="AU60" s="58">
        <f>(93.8%+95.6%+96.36%)/3</f>
        <v>0.95253333333333323</v>
      </c>
      <c r="AV60" s="76">
        <v>1</v>
      </c>
      <c r="AW60" s="79">
        <f>(25%+25%+25%)/3</f>
        <v>0.25</v>
      </c>
      <c r="AX60" s="79">
        <f t="shared" ref="AX60:AZ60" si="49">(25%+25%+25%)/3</f>
        <v>0.25</v>
      </c>
      <c r="AY60" s="79">
        <f t="shared" si="49"/>
        <v>0.25</v>
      </c>
      <c r="AZ60" s="79">
        <f t="shared" si="49"/>
        <v>0.25</v>
      </c>
      <c r="BA60" s="56">
        <f>(98.22%+98.99%+98.97%)/3</f>
        <v>0.98726666666666674</v>
      </c>
      <c r="BB60" s="71">
        <v>1</v>
      </c>
      <c r="BC60" s="71">
        <f>(25%+25%+25%)/3</f>
        <v>0.25</v>
      </c>
      <c r="BD60" s="71">
        <f t="shared" ref="BD60:BF60" si="50">(25%+25%+25%)/3</f>
        <v>0.25</v>
      </c>
      <c r="BE60" s="71">
        <f t="shared" si="50"/>
        <v>0.25</v>
      </c>
      <c r="BF60" s="71">
        <f t="shared" si="50"/>
        <v>0.25</v>
      </c>
      <c r="BG60" s="59"/>
      <c r="BH60" s="59"/>
      <c r="BI60" s="59"/>
      <c r="BJ60" s="59"/>
      <c r="BK60" s="59"/>
      <c r="BL60" s="59"/>
      <c r="BM60" s="57">
        <f>((1057+1704+1808)/(1090+1801+1866))</f>
        <v>0.96047929367248264</v>
      </c>
      <c r="BN60" s="79">
        <f>(BO60+BP60+BQ60+BR60)/3</f>
        <v>1</v>
      </c>
      <c r="BO60" s="76">
        <f t="shared" ref="BO60:BR60" si="51">(25%+25%+25%)</f>
        <v>0.75</v>
      </c>
      <c r="BP60" s="76">
        <f t="shared" si="51"/>
        <v>0.75</v>
      </c>
      <c r="BQ60" s="76">
        <f>(25%+25%+25%)</f>
        <v>0.75</v>
      </c>
      <c r="BR60" s="76">
        <f t="shared" si="51"/>
        <v>0.75</v>
      </c>
      <c r="BS60" s="57">
        <f>(1726+1717+1852)/(1840+1796+1922)</f>
        <v>0.95268082043900681</v>
      </c>
      <c r="BT60" s="79">
        <f>BU60+BV60+BW60+BX60</f>
        <v>1</v>
      </c>
      <c r="BU60" s="79">
        <f t="shared" ref="BU60:BX60" si="52">(25%+25%+25%)/3</f>
        <v>0.25</v>
      </c>
      <c r="BV60" s="79">
        <f t="shared" si="52"/>
        <v>0.25</v>
      </c>
      <c r="BW60" s="79">
        <f t="shared" si="52"/>
        <v>0.25</v>
      </c>
      <c r="BX60" s="79">
        <f t="shared" si="52"/>
        <v>0.25</v>
      </c>
      <c r="BY60" s="77">
        <f>(1819+1764+1637)/(1852+1782+1654)</f>
        <v>0.98714069591527986</v>
      </c>
      <c r="BZ60" s="76">
        <f>CA60+CB60+CC60+CD60</f>
        <v>1</v>
      </c>
      <c r="CA60" s="71">
        <f t="shared" ref="CA60:CD60" si="53">(25%+25%+25%)/3</f>
        <v>0.25</v>
      </c>
      <c r="CB60" s="71">
        <f t="shared" si="53"/>
        <v>0.25</v>
      </c>
      <c r="CC60" s="71">
        <f t="shared" si="53"/>
        <v>0.25</v>
      </c>
      <c r="CD60" s="71">
        <f t="shared" si="53"/>
        <v>0.25</v>
      </c>
      <c r="CE60" s="59"/>
      <c r="CF60" s="59"/>
      <c r="CG60" s="59"/>
      <c r="CH60" s="79"/>
      <c r="CI60" s="79"/>
      <c r="CJ60" s="79"/>
      <c r="CK60" s="79"/>
      <c r="CL60" s="58">
        <f>(BM60+BS60+BY60)/3</f>
        <v>0.96676693667558977</v>
      </c>
      <c r="CM60" s="58">
        <f>CL60/3</f>
        <v>0.32225564555852992</v>
      </c>
      <c r="CN60" s="77">
        <v>0.72507520250669233</v>
      </c>
    </row>
    <row r="61" spans="1:92" s="39" customFormat="1" ht="39.75" customHeight="1" x14ac:dyDescent="0.25">
      <c r="A61" s="115"/>
      <c r="B61" s="115"/>
      <c r="C61" s="115"/>
      <c r="D61" s="115"/>
      <c r="E61" s="115"/>
      <c r="F61" s="119"/>
      <c r="G61" s="82">
        <v>0.1</v>
      </c>
      <c r="H61" s="113"/>
      <c r="I61" s="84" t="s">
        <v>366</v>
      </c>
      <c r="J61" s="89" t="s">
        <v>161</v>
      </c>
      <c r="K61" s="89" t="s">
        <v>436</v>
      </c>
      <c r="L61" s="89" t="s">
        <v>107</v>
      </c>
      <c r="M61" s="86">
        <v>1</v>
      </c>
      <c r="N61" s="84" t="s">
        <v>472</v>
      </c>
      <c r="O61" s="86">
        <v>1</v>
      </c>
      <c r="P61" s="84" t="s">
        <v>473</v>
      </c>
      <c r="Q61" s="89" t="s">
        <v>84</v>
      </c>
      <c r="R61" s="89" t="s">
        <v>84</v>
      </c>
      <c r="S61" s="84" t="s">
        <v>474</v>
      </c>
      <c r="T61" s="92" t="s">
        <v>100</v>
      </c>
      <c r="U61" s="84" t="s">
        <v>474</v>
      </c>
      <c r="V61" s="89" t="s">
        <v>25</v>
      </c>
      <c r="W61" s="89" t="s">
        <v>162</v>
      </c>
      <c r="X61" s="92" t="s">
        <v>84</v>
      </c>
      <c r="Y61" s="92" t="s">
        <v>84</v>
      </c>
      <c r="Z61" s="92" t="s">
        <v>84</v>
      </c>
      <c r="AA61" s="37" t="s">
        <v>89</v>
      </c>
      <c r="AB61" s="72"/>
      <c r="AC61" s="72"/>
      <c r="AD61" s="45">
        <v>1</v>
      </c>
      <c r="AE61" s="72"/>
      <c r="AF61" s="72"/>
      <c r="AG61" s="45">
        <v>1</v>
      </c>
      <c r="AH61" s="72"/>
      <c r="AI61" s="72"/>
      <c r="AJ61" s="45">
        <v>1</v>
      </c>
      <c r="AK61" s="72"/>
      <c r="AL61" s="72"/>
      <c r="AM61" s="45">
        <v>1</v>
      </c>
      <c r="AN61" s="45">
        <v>4</v>
      </c>
      <c r="AO61" s="79" t="s">
        <v>497</v>
      </c>
      <c r="AP61" s="79">
        <f>SUM(AQ61:AT61)</f>
        <v>0.5</v>
      </c>
      <c r="AQ61" s="79">
        <v>0.25</v>
      </c>
      <c r="AR61" s="79">
        <v>0.25</v>
      </c>
      <c r="AS61" s="79">
        <v>0</v>
      </c>
      <c r="AT61" s="79">
        <v>0</v>
      </c>
      <c r="AU61" s="81">
        <v>1</v>
      </c>
      <c r="AV61" s="79">
        <f>AW61+AX61+AY61+AZ61</f>
        <v>0.75</v>
      </c>
      <c r="AW61" s="76">
        <v>0.25</v>
      </c>
      <c r="AX61" s="76">
        <v>0.25</v>
      </c>
      <c r="AY61" s="76">
        <v>0</v>
      </c>
      <c r="AZ61" s="76">
        <v>0.25</v>
      </c>
      <c r="BA61" s="81">
        <v>1</v>
      </c>
      <c r="BB61" s="76">
        <v>1</v>
      </c>
      <c r="BC61" s="76">
        <v>0.25</v>
      </c>
      <c r="BD61" s="76">
        <v>0.25</v>
      </c>
      <c r="BE61" s="76">
        <v>0.25</v>
      </c>
      <c r="BF61" s="76">
        <v>0.25</v>
      </c>
      <c r="BG61" s="59"/>
      <c r="BH61" s="59"/>
      <c r="BI61" s="59"/>
      <c r="BJ61" s="59"/>
      <c r="BK61" s="59"/>
      <c r="BL61" s="59"/>
      <c r="BM61" s="57">
        <f>322/347</f>
        <v>0.9279538904899135</v>
      </c>
      <c r="BN61" s="76">
        <f>BO61+BP61+BQ61+BR61</f>
        <v>1</v>
      </c>
      <c r="BO61" s="76">
        <v>0.25</v>
      </c>
      <c r="BP61" s="76">
        <v>0.25</v>
      </c>
      <c r="BQ61" s="76">
        <v>0.25</v>
      </c>
      <c r="BR61" s="76">
        <v>0.25</v>
      </c>
      <c r="BS61" s="81">
        <v>1</v>
      </c>
      <c r="BT61" s="79">
        <f>BU61+BV61+BW61+BX61</f>
        <v>0.75</v>
      </c>
      <c r="BU61" s="76">
        <v>0.25</v>
      </c>
      <c r="BV61" s="76">
        <v>0.25</v>
      </c>
      <c r="BW61" s="76">
        <v>0</v>
      </c>
      <c r="BX61" s="76">
        <v>0.25</v>
      </c>
      <c r="BY61" s="81">
        <v>1</v>
      </c>
      <c r="BZ61" s="73">
        <f>CA61+CB61+CC61+CD61</f>
        <v>0.75</v>
      </c>
      <c r="CA61" s="76">
        <v>0</v>
      </c>
      <c r="CB61" s="76">
        <v>0.25</v>
      </c>
      <c r="CC61" s="76">
        <v>0.25</v>
      </c>
      <c r="CD61" s="76">
        <v>0.25</v>
      </c>
      <c r="CE61" s="59"/>
      <c r="CF61" s="59"/>
      <c r="CG61" s="59"/>
      <c r="CH61" s="81"/>
      <c r="CI61" s="81"/>
      <c r="CJ61" s="81"/>
      <c r="CK61" s="81"/>
      <c r="CL61" s="58">
        <f>(BM61+100%+100%)/3</f>
        <v>0.9759846301633045</v>
      </c>
      <c r="CM61" s="56">
        <f>CL61/3</f>
        <v>0.32532821005443485</v>
      </c>
      <c r="CN61" s="77">
        <v>0.73198847262247835</v>
      </c>
    </row>
    <row r="62" spans="1:92" s="39" customFormat="1" ht="68.25" customHeight="1" x14ac:dyDescent="0.25">
      <c r="A62" s="115"/>
      <c r="B62" s="115"/>
      <c r="C62" s="115"/>
      <c r="D62" s="115"/>
      <c r="E62" s="115"/>
      <c r="F62" s="119"/>
      <c r="G62" s="82">
        <v>0.1</v>
      </c>
      <c r="H62" s="113"/>
      <c r="I62" s="30" t="s">
        <v>367</v>
      </c>
      <c r="J62" s="92" t="s">
        <v>163</v>
      </c>
      <c r="K62" s="89" t="s">
        <v>437</v>
      </c>
      <c r="L62" s="89" t="s">
        <v>164</v>
      </c>
      <c r="M62" s="86">
        <v>1</v>
      </c>
      <c r="N62" s="84" t="s">
        <v>385</v>
      </c>
      <c r="O62" s="82">
        <v>1</v>
      </c>
      <c r="P62" s="83" t="s">
        <v>165</v>
      </c>
      <c r="Q62" s="89" t="s">
        <v>84</v>
      </c>
      <c r="R62" s="89" t="s">
        <v>84</v>
      </c>
      <c r="S62" s="83" t="s">
        <v>163</v>
      </c>
      <c r="T62" s="91" t="s">
        <v>85</v>
      </c>
      <c r="U62" s="83" t="s">
        <v>166</v>
      </c>
      <c r="V62" s="92" t="s">
        <v>121</v>
      </c>
      <c r="W62" s="92" t="s">
        <v>167</v>
      </c>
      <c r="X62" s="92" t="s">
        <v>84</v>
      </c>
      <c r="Y62" s="92" t="s">
        <v>84</v>
      </c>
      <c r="Z62" s="92" t="s">
        <v>84</v>
      </c>
      <c r="AA62" s="37" t="s">
        <v>89</v>
      </c>
      <c r="AB62" s="36"/>
      <c r="AC62" s="36"/>
      <c r="AD62" s="72">
        <v>0.15</v>
      </c>
      <c r="AE62" s="36"/>
      <c r="AF62" s="36"/>
      <c r="AG62" s="72">
        <v>0.2</v>
      </c>
      <c r="AH62" s="36"/>
      <c r="AI62" s="36"/>
      <c r="AJ62" s="72">
        <v>0.2</v>
      </c>
      <c r="AK62" s="36"/>
      <c r="AL62" s="36"/>
      <c r="AM62" s="72">
        <v>0.25</v>
      </c>
      <c r="AN62" s="72">
        <v>0.25</v>
      </c>
      <c r="AO62" s="67">
        <f>1/1*1</f>
        <v>1</v>
      </c>
      <c r="AP62" s="79">
        <f>+AQ62+AR62+AS62+AT62</f>
        <v>1</v>
      </c>
      <c r="AQ62" s="79">
        <v>0.25</v>
      </c>
      <c r="AR62" s="79">
        <v>0.25</v>
      </c>
      <c r="AS62" s="79">
        <v>0.25</v>
      </c>
      <c r="AT62" s="79">
        <v>0.25</v>
      </c>
      <c r="AU62" s="79">
        <f>5/5</f>
        <v>1</v>
      </c>
      <c r="AV62" s="79">
        <v>1</v>
      </c>
      <c r="AW62" s="79">
        <v>0.25</v>
      </c>
      <c r="AX62" s="79">
        <v>0.25</v>
      </c>
      <c r="AY62" s="79">
        <v>0.25</v>
      </c>
      <c r="AZ62" s="79">
        <v>0.25</v>
      </c>
      <c r="BA62" s="75">
        <f>4/4</f>
        <v>1</v>
      </c>
      <c r="BB62" s="75">
        <v>1</v>
      </c>
      <c r="BC62" s="76">
        <v>0.25</v>
      </c>
      <c r="BD62" s="76">
        <v>0.25</v>
      </c>
      <c r="BE62" s="76">
        <v>0.25</v>
      </c>
      <c r="BF62" s="76">
        <v>0.25</v>
      </c>
      <c r="BG62" s="59"/>
      <c r="BH62" s="59"/>
      <c r="BI62" s="59"/>
      <c r="BJ62" s="59"/>
      <c r="BK62" s="59"/>
      <c r="BL62" s="59"/>
      <c r="BM62" s="79">
        <f>1/1</f>
        <v>1</v>
      </c>
      <c r="BN62" s="79">
        <f>BO62+BP62+BQ62+BR62</f>
        <v>1</v>
      </c>
      <c r="BO62" s="79">
        <v>0.25</v>
      </c>
      <c r="BP62" s="79">
        <v>0.25</v>
      </c>
      <c r="BQ62" s="79">
        <v>0.25</v>
      </c>
      <c r="BR62" s="79">
        <v>0.25</v>
      </c>
      <c r="BS62" s="79">
        <f>5/5</f>
        <v>1</v>
      </c>
      <c r="BT62" s="79">
        <f>BU62+BV62+BW62+BX62</f>
        <v>1</v>
      </c>
      <c r="BU62" s="79">
        <v>0.25</v>
      </c>
      <c r="BV62" s="79">
        <v>0.25</v>
      </c>
      <c r="BW62" s="79">
        <v>0.25</v>
      </c>
      <c r="BX62" s="79">
        <v>0.25</v>
      </c>
      <c r="BY62" s="75">
        <f>4/4</f>
        <v>1</v>
      </c>
      <c r="BZ62" s="75">
        <f>CA62+CB62+CC62+CD62</f>
        <v>1</v>
      </c>
      <c r="CA62" s="76">
        <v>0.25</v>
      </c>
      <c r="CB62" s="76">
        <v>0.25</v>
      </c>
      <c r="CC62" s="76">
        <v>0.25</v>
      </c>
      <c r="CD62" s="76">
        <v>0.25</v>
      </c>
      <c r="CE62" s="59"/>
      <c r="CF62" s="59"/>
      <c r="CG62" s="59"/>
      <c r="CH62" s="81"/>
      <c r="CI62" s="81"/>
      <c r="CJ62" s="81"/>
      <c r="CK62" s="81"/>
      <c r="CL62" s="76">
        <f>(BM62+BS62)/2</f>
        <v>1</v>
      </c>
      <c r="CM62" s="76">
        <v>0.75</v>
      </c>
      <c r="CN62" s="70">
        <v>0.75</v>
      </c>
    </row>
    <row r="63" spans="1:92" s="39" customFormat="1" ht="42.75" customHeight="1" x14ac:dyDescent="0.25">
      <c r="A63" s="115"/>
      <c r="B63" s="115"/>
      <c r="C63" s="115"/>
      <c r="D63" s="115"/>
      <c r="E63" s="115"/>
      <c r="F63" s="119"/>
      <c r="G63" s="111">
        <v>0.1</v>
      </c>
      <c r="H63" s="113"/>
      <c r="I63" s="115" t="s">
        <v>368</v>
      </c>
      <c r="J63" s="117" t="s">
        <v>410</v>
      </c>
      <c r="K63" s="89" t="s">
        <v>173</v>
      </c>
      <c r="L63" s="89" t="s">
        <v>107</v>
      </c>
      <c r="M63" s="114">
        <v>1</v>
      </c>
      <c r="N63" s="84" t="s">
        <v>386</v>
      </c>
      <c r="O63" s="90">
        <v>0.5</v>
      </c>
      <c r="P63" s="84" t="s">
        <v>169</v>
      </c>
      <c r="Q63" s="89" t="s">
        <v>84</v>
      </c>
      <c r="R63" s="89" t="s">
        <v>84</v>
      </c>
      <c r="S63" s="30" t="s">
        <v>170</v>
      </c>
      <c r="T63" s="92" t="s">
        <v>100</v>
      </c>
      <c r="U63" s="30" t="s">
        <v>171</v>
      </c>
      <c r="V63" s="91" t="s">
        <v>25</v>
      </c>
      <c r="W63" s="89" t="s">
        <v>144</v>
      </c>
      <c r="X63" s="92" t="s">
        <v>84</v>
      </c>
      <c r="Y63" s="92" t="s">
        <v>84</v>
      </c>
      <c r="Z63" s="92" t="s">
        <v>84</v>
      </c>
      <c r="AA63" s="37" t="s">
        <v>110</v>
      </c>
      <c r="AB63" s="45"/>
      <c r="AC63" s="45"/>
      <c r="AD63" s="45"/>
      <c r="AE63" s="45"/>
      <c r="AF63" s="45"/>
      <c r="AG63" s="45">
        <v>1</v>
      </c>
      <c r="AH63" s="45"/>
      <c r="AI63" s="45"/>
      <c r="AJ63" s="45"/>
      <c r="AK63" s="45"/>
      <c r="AL63" s="45"/>
      <c r="AM63" s="45"/>
      <c r="AN63" s="36">
        <v>1</v>
      </c>
      <c r="AO63" s="37"/>
      <c r="AP63" s="37"/>
      <c r="AQ63" s="37"/>
      <c r="AR63" s="37"/>
      <c r="AS63" s="37"/>
      <c r="AT63" s="37"/>
      <c r="AU63" s="37">
        <v>1</v>
      </c>
      <c r="AV63" s="79">
        <v>1</v>
      </c>
      <c r="AW63" s="79">
        <v>0.25</v>
      </c>
      <c r="AX63" s="79">
        <v>0.25</v>
      </c>
      <c r="AY63" s="79">
        <v>0.25</v>
      </c>
      <c r="AZ63" s="79">
        <v>0.25</v>
      </c>
      <c r="BA63" s="37"/>
      <c r="BB63" s="37"/>
      <c r="BC63" s="37"/>
      <c r="BD63" s="37"/>
      <c r="BE63" s="37"/>
      <c r="BF63" s="37"/>
      <c r="BG63" s="38"/>
      <c r="BH63" s="38"/>
      <c r="BI63" s="38"/>
      <c r="BJ63" s="38"/>
      <c r="BK63" s="38"/>
      <c r="BL63" s="38"/>
      <c r="BM63" s="37"/>
      <c r="BN63" s="37"/>
      <c r="BO63" s="37"/>
      <c r="BP63" s="37"/>
      <c r="BQ63" s="37"/>
      <c r="BR63" s="37"/>
      <c r="BS63" s="37">
        <v>1</v>
      </c>
      <c r="BT63" s="79">
        <f>BU63+BV63+BW63+BX63</f>
        <v>1</v>
      </c>
      <c r="BU63" s="71">
        <v>0.25</v>
      </c>
      <c r="BV63" s="71">
        <v>0.25</v>
      </c>
      <c r="BW63" s="71">
        <v>0.25</v>
      </c>
      <c r="BX63" s="71">
        <v>0.25</v>
      </c>
      <c r="BY63" s="37"/>
      <c r="BZ63" s="37"/>
      <c r="CA63" s="37"/>
      <c r="CB63" s="37"/>
      <c r="CC63" s="37"/>
      <c r="CD63" s="37"/>
      <c r="CE63" s="38"/>
      <c r="CF63" s="38"/>
      <c r="CG63" s="38"/>
      <c r="CH63" s="37"/>
      <c r="CI63" s="37"/>
      <c r="CJ63" s="37"/>
      <c r="CK63" s="37"/>
      <c r="CL63" s="71">
        <v>1</v>
      </c>
      <c r="CM63" s="71">
        <v>1</v>
      </c>
      <c r="CN63" s="94">
        <v>0.5</v>
      </c>
    </row>
    <row r="64" spans="1:92" s="39" customFormat="1" ht="56.25" customHeight="1" x14ac:dyDescent="0.25">
      <c r="A64" s="115"/>
      <c r="B64" s="115"/>
      <c r="C64" s="115"/>
      <c r="D64" s="115"/>
      <c r="E64" s="115"/>
      <c r="F64" s="119"/>
      <c r="G64" s="111"/>
      <c r="H64" s="113"/>
      <c r="I64" s="115"/>
      <c r="J64" s="117"/>
      <c r="K64" s="89" t="s">
        <v>438</v>
      </c>
      <c r="L64" s="89" t="s">
        <v>107</v>
      </c>
      <c r="M64" s="114"/>
      <c r="N64" s="84" t="s">
        <v>387</v>
      </c>
      <c r="O64" s="90">
        <v>0.5</v>
      </c>
      <c r="P64" s="84" t="s">
        <v>189</v>
      </c>
      <c r="Q64" s="89" t="s">
        <v>84</v>
      </c>
      <c r="R64" s="89" t="s">
        <v>84</v>
      </c>
      <c r="S64" s="30" t="s">
        <v>498</v>
      </c>
      <c r="T64" s="92" t="s">
        <v>100</v>
      </c>
      <c r="U64" s="30" t="s">
        <v>172</v>
      </c>
      <c r="V64" s="91" t="s">
        <v>25</v>
      </c>
      <c r="W64" s="89" t="s">
        <v>162</v>
      </c>
      <c r="X64" s="92" t="s">
        <v>84</v>
      </c>
      <c r="Y64" s="92" t="s">
        <v>84</v>
      </c>
      <c r="Z64" s="92" t="s">
        <v>84</v>
      </c>
      <c r="AA64" s="37" t="s">
        <v>109</v>
      </c>
      <c r="AB64" s="73"/>
      <c r="AC64" s="73"/>
      <c r="AD64" s="73"/>
      <c r="AE64" s="73"/>
      <c r="AF64" s="73"/>
      <c r="AG64" s="45">
        <v>1</v>
      </c>
      <c r="AH64" s="73"/>
      <c r="AI64" s="73"/>
      <c r="AJ64" s="73"/>
      <c r="AK64" s="73"/>
      <c r="AL64" s="73"/>
      <c r="AM64" s="45">
        <v>1</v>
      </c>
      <c r="AN64" s="36">
        <v>2</v>
      </c>
      <c r="AO64" s="81"/>
      <c r="AP64" s="79"/>
      <c r="AQ64" s="79"/>
      <c r="AR64" s="79"/>
      <c r="AS64" s="79"/>
      <c r="AT64" s="79"/>
      <c r="AU64" s="62">
        <v>1</v>
      </c>
      <c r="AV64" s="79">
        <v>1</v>
      </c>
      <c r="AW64" s="79">
        <v>0.25</v>
      </c>
      <c r="AX64" s="79">
        <v>0.25</v>
      </c>
      <c r="AY64" s="79">
        <v>0.25</v>
      </c>
      <c r="AZ64" s="79">
        <v>0</v>
      </c>
      <c r="BA64" s="81"/>
      <c r="BB64" s="81"/>
      <c r="BC64" s="81"/>
      <c r="BD64" s="81"/>
      <c r="BE64" s="81"/>
      <c r="BF64" s="81"/>
      <c r="BG64" s="59"/>
      <c r="BH64" s="59"/>
      <c r="BI64" s="59"/>
      <c r="BJ64" s="59"/>
      <c r="BK64" s="59"/>
      <c r="BL64" s="59"/>
      <c r="BM64" s="80"/>
      <c r="BN64" s="79"/>
      <c r="BO64" s="76"/>
      <c r="BP64" s="76"/>
      <c r="BQ64" s="76"/>
      <c r="BR64" s="76"/>
      <c r="BS64" s="62">
        <v>1</v>
      </c>
      <c r="BT64" s="79">
        <f>BU64+BV64+BW64+BX64</f>
        <v>0.75</v>
      </c>
      <c r="BU64" s="76">
        <v>0.25</v>
      </c>
      <c r="BV64" s="76">
        <v>0.25</v>
      </c>
      <c r="BW64" s="76">
        <v>0</v>
      </c>
      <c r="BX64" s="76">
        <v>0.25</v>
      </c>
      <c r="BY64" s="81"/>
      <c r="BZ64" s="81"/>
      <c r="CA64" s="79"/>
      <c r="CB64" s="79"/>
      <c r="CC64" s="79"/>
      <c r="CD64" s="79"/>
      <c r="CE64" s="59"/>
      <c r="CF64" s="59"/>
      <c r="CG64" s="59"/>
      <c r="CH64" s="79"/>
      <c r="CI64" s="79"/>
      <c r="CJ64" s="79"/>
      <c r="CK64" s="79"/>
      <c r="CL64" s="76">
        <v>1</v>
      </c>
      <c r="CM64" s="76">
        <f>CL64/2</f>
        <v>0.5</v>
      </c>
      <c r="CN64" s="70">
        <v>0.25</v>
      </c>
    </row>
    <row r="65" spans="1:92" s="39" customFormat="1" ht="84" customHeight="1" x14ac:dyDescent="0.25">
      <c r="A65" s="115"/>
      <c r="B65" s="115"/>
      <c r="C65" s="115"/>
      <c r="D65" s="115"/>
      <c r="E65" s="115"/>
      <c r="F65" s="119"/>
      <c r="G65" s="111">
        <v>0.1</v>
      </c>
      <c r="H65" s="113"/>
      <c r="I65" s="115" t="s">
        <v>369</v>
      </c>
      <c r="J65" s="110" t="s">
        <v>97</v>
      </c>
      <c r="K65" s="89" t="s">
        <v>184</v>
      </c>
      <c r="L65" s="89" t="s">
        <v>107</v>
      </c>
      <c r="M65" s="114">
        <v>1</v>
      </c>
      <c r="N65" s="84" t="s">
        <v>388</v>
      </c>
      <c r="O65" s="29">
        <v>0.33329999999999999</v>
      </c>
      <c r="P65" s="84" t="s">
        <v>174</v>
      </c>
      <c r="Q65" s="89" t="s">
        <v>84</v>
      </c>
      <c r="R65" s="89" t="s">
        <v>84</v>
      </c>
      <c r="S65" s="84" t="s">
        <v>175</v>
      </c>
      <c r="T65" s="92" t="s">
        <v>100</v>
      </c>
      <c r="U65" s="84" t="s">
        <v>176</v>
      </c>
      <c r="V65" s="91" t="s">
        <v>25</v>
      </c>
      <c r="W65" s="92" t="s">
        <v>144</v>
      </c>
      <c r="X65" s="92" t="s">
        <v>84</v>
      </c>
      <c r="Y65" s="92" t="s">
        <v>84</v>
      </c>
      <c r="Z65" s="92" t="s">
        <v>84</v>
      </c>
      <c r="AA65" s="37" t="s">
        <v>110</v>
      </c>
      <c r="AB65" s="36"/>
      <c r="AC65" s="36"/>
      <c r="AD65" s="45">
        <v>1</v>
      </c>
      <c r="AE65" s="36"/>
      <c r="AF65" s="36"/>
      <c r="AG65" s="72"/>
      <c r="AH65" s="72"/>
      <c r="AI65" s="72"/>
      <c r="AJ65" s="72"/>
      <c r="AK65" s="72"/>
      <c r="AL65" s="72"/>
      <c r="AM65" s="72"/>
      <c r="AN65" s="45">
        <v>1</v>
      </c>
      <c r="AO65" s="81">
        <v>1</v>
      </c>
      <c r="AP65" s="76">
        <v>1</v>
      </c>
      <c r="AQ65" s="76">
        <v>0.25</v>
      </c>
      <c r="AR65" s="76">
        <v>0.25</v>
      </c>
      <c r="AS65" s="76">
        <v>0.25</v>
      </c>
      <c r="AT65" s="76">
        <v>0.25</v>
      </c>
      <c r="AU65" s="81"/>
      <c r="AV65" s="81"/>
      <c r="AW65" s="81"/>
      <c r="AX65" s="81"/>
      <c r="AY65" s="81"/>
      <c r="AZ65" s="81"/>
      <c r="BA65" s="81"/>
      <c r="BB65" s="81"/>
      <c r="BC65" s="81"/>
      <c r="BD65" s="81"/>
      <c r="BE65" s="81"/>
      <c r="BF65" s="81"/>
      <c r="BG65" s="59"/>
      <c r="BH65" s="59"/>
      <c r="BI65" s="59"/>
      <c r="BJ65" s="59"/>
      <c r="BK65" s="59"/>
      <c r="BL65" s="59"/>
      <c r="BM65" s="79">
        <f>1/1</f>
        <v>1</v>
      </c>
      <c r="BN65" s="76">
        <f>BO65+BP65+BQ65+BR65</f>
        <v>0.75</v>
      </c>
      <c r="BO65" s="76">
        <v>0.25</v>
      </c>
      <c r="BP65" s="76">
        <v>0.25</v>
      </c>
      <c r="BQ65" s="76">
        <v>0.25</v>
      </c>
      <c r="BR65" s="76">
        <v>0</v>
      </c>
      <c r="BS65" s="81"/>
      <c r="BT65" s="81"/>
      <c r="BU65" s="81"/>
      <c r="BV65" s="81"/>
      <c r="BW65" s="81"/>
      <c r="BX65" s="81"/>
      <c r="BY65" s="81"/>
      <c r="BZ65" s="81"/>
      <c r="CA65" s="81"/>
      <c r="CB65" s="81"/>
      <c r="CC65" s="81"/>
      <c r="CD65" s="81"/>
      <c r="CE65" s="59"/>
      <c r="CF65" s="59"/>
      <c r="CG65" s="59"/>
      <c r="CH65" s="81"/>
      <c r="CI65" s="81"/>
      <c r="CJ65" s="81"/>
      <c r="CK65" s="81"/>
      <c r="CL65" s="76">
        <v>1</v>
      </c>
      <c r="CM65" s="76">
        <f t="shared" ref="CM65:CM66" si="54">CL65</f>
        <v>1</v>
      </c>
      <c r="CN65" s="77">
        <v>0.33329999999999999</v>
      </c>
    </row>
    <row r="66" spans="1:92" s="39" customFormat="1" ht="54.75" customHeight="1" x14ac:dyDescent="0.25">
      <c r="A66" s="115"/>
      <c r="B66" s="115"/>
      <c r="C66" s="115"/>
      <c r="D66" s="115"/>
      <c r="E66" s="115"/>
      <c r="F66" s="119"/>
      <c r="G66" s="111"/>
      <c r="H66" s="113"/>
      <c r="I66" s="115"/>
      <c r="J66" s="110"/>
      <c r="K66" s="89" t="s">
        <v>199</v>
      </c>
      <c r="L66" s="89" t="s">
        <v>107</v>
      </c>
      <c r="M66" s="114"/>
      <c r="N66" s="84" t="s">
        <v>389</v>
      </c>
      <c r="O66" s="29">
        <v>0.33329999999999999</v>
      </c>
      <c r="P66" s="84" t="s">
        <v>177</v>
      </c>
      <c r="Q66" s="89" t="s">
        <v>84</v>
      </c>
      <c r="R66" s="89" t="s">
        <v>84</v>
      </c>
      <c r="S66" s="84" t="s">
        <v>178</v>
      </c>
      <c r="T66" s="92" t="s">
        <v>100</v>
      </c>
      <c r="U66" s="84" t="s">
        <v>178</v>
      </c>
      <c r="V66" s="91" t="s">
        <v>25</v>
      </c>
      <c r="W66" s="92" t="s">
        <v>179</v>
      </c>
      <c r="X66" s="92" t="s">
        <v>84</v>
      </c>
      <c r="Y66" s="92" t="s">
        <v>84</v>
      </c>
      <c r="Z66" s="92" t="s">
        <v>84</v>
      </c>
      <c r="AA66" s="37" t="s">
        <v>110</v>
      </c>
      <c r="AB66" s="36"/>
      <c r="AC66" s="36"/>
      <c r="AD66" s="45">
        <v>1</v>
      </c>
      <c r="AE66" s="36"/>
      <c r="AF66" s="36"/>
      <c r="AG66" s="72"/>
      <c r="AH66" s="72"/>
      <c r="AI66" s="72"/>
      <c r="AJ66" s="72"/>
      <c r="AK66" s="72"/>
      <c r="AL66" s="72"/>
      <c r="AM66" s="72"/>
      <c r="AN66" s="45">
        <v>1</v>
      </c>
      <c r="AO66" s="81">
        <v>1</v>
      </c>
      <c r="AP66" s="76">
        <v>1</v>
      </c>
      <c r="AQ66" s="76">
        <v>0.25</v>
      </c>
      <c r="AR66" s="76">
        <v>0.25</v>
      </c>
      <c r="AS66" s="76">
        <v>0.25</v>
      </c>
      <c r="AT66" s="76">
        <v>0.25</v>
      </c>
      <c r="AU66" s="81"/>
      <c r="AV66" s="81"/>
      <c r="AW66" s="81"/>
      <c r="AX66" s="81"/>
      <c r="AY66" s="81"/>
      <c r="AZ66" s="81"/>
      <c r="BA66" s="81"/>
      <c r="BB66" s="81"/>
      <c r="BC66" s="81"/>
      <c r="BD66" s="81"/>
      <c r="BE66" s="81"/>
      <c r="BF66" s="81"/>
      <c r="BG66" s="59"/>
      <c r="BH66" s="59"/>
      <c r="BI66" s="59"/>
      <c r="BJ66" s="59"/>
      <c r="BK66" s="59"/>
      <c r="BL66" s="59"/>
      <c r="BM66" s="81">
        <v>1</v>
      </c>
      <c r="BN66" s="76">
        <f>BO66+BP66+BQ66+BR66</f>
        <v>1</v>
      </c>
      <c r="BO66" s="76">
        <v>0.25</v>
      </c>
      <c r="BP66" s="76">
        <v>0.25</v>
      </c>
      <c r="BQ66" s="76">
        <v>0.25</v>
      </c>
      <c r="BR66" s="76">
        <v>0.25</v>
      </c>
      <c r="BS66" s="81"/>
      <c r="BT66" s="81"/>
      <c r="BU66" s="81"/>
      <c r="BV66" s="81"/>
      <c r="BW66" s="81"/>
      <c r="BX66" s="81"/>
      <c r="BY66" s="81"/>
      <c r="BZ66" s="81"/>
      <c r="CA66" s="81"/>
      <c r="CB66" s="81"/>
      <c r="CC66" s="81"/>
      <c r="CD66" s="81"/>
      <c r="CE66" s="59"/>
      <c r="CF66" s="59"/>
      <c r="CG66" s="59"/>
      <c r="CH66" s="81"/>
      <c r="CI66" s="81"/>
      <c r="CJ66" s="81"/>
      <c r="CK66" s="81"/>
      <c r="CL66" s="76">
        <v>1</v>
      </c>
      <c r="CM66" s="76">
        <f t="shared" si="54"/>
        <v>1</v>
      </c>
      <c r="CN66" s="77">
        <v>0.33329999999999999</v>
      </c>
    </row>
    <row r="67" spans="1:92" s="39" customFormat="1" ht="58.5" customHeight="1" x14ac:dyDescent="0.25">
      <c r="A67" s="115"/>
      <c r="B67" s="115"/>
      <c r="C67" s="115"/>
      <c r="D67" s="115"/>
      <c r="E67" s="115"/>
      <c r="F67" s="119"/>
      <c r="G67" s="111"/>
      <c r="H67" s="113"/>
      <c r="I67" s="115"/>
      <c r="J67" s="110"/>
      <c r="K67" s="89" t="s">
        <v>439</v>
      </c>
      <c r="L67" s="89" t="s">
        <v>107</v>
      </c>
      <c r="M67" s="114"/>
      <c r="N67" s="84" t="s">
        <v>390</v>
      </c>
      <c r="O67" s="29">
        <v>0.33329999999999999</v>
      </c>
      <c r="P67" s="84" t="s">
        <v>180</v>
      </c>
      <c r="Q67" s="89" t="s">
        <v>84</v>
      </c>
      <c r="R67" s="89" t="s">
        <v>84</v>
      </c>
      <c r="S67" s="84" t="s">
        <v>181</v>
      </c>
      <c r="T67" s="92" t="s">
        <v>100</v>
      </c>
      <c r="U67" s="84" t="s">
        <v>181</v>
      </c>
      <c r="V67" s="91" t="s">
        <v>25</v>
      </c>
      <c r="W67" s="92" t="s">
        <v>182</v>
      </c>
      <c r="X67" s="92" t="s">
        <v>84</v>
      </c>
      <c r="Y67" s="92" t="s">
        <v>84</v>
      </c>
      <c r="Z67" s="92" t="s">
        <v>84</v>
      </c>
      <c r="AA67" s="37" t="s">
        <v>110</v>
      </c>
      <c r="AB67" s="36"/>
      <c r="AC67" s="36"/>
      <c r="AD67" s="45">
        <v>1</v>
      </c>
      <c r="AE67" s="36"/>
      <c r="AF67" s="36"/>
      <c r="AG67" s="72"/>
      <c r="AH67" s="72"/>
      <c r="AI67" s="72"/>
      <c r="AJ67" s="72"/>
      <c r="AK67" s="72"/>
      <c r="AL67" s="72"/>
      <c r="AM67" s="72"/>
      <c r="AN67" s="45">
        <v>1</v>
      </c>
      <c r="AO67" s="81">
        <v>1</v>
      </c>
      <c r="AP67" s="76">
        <v>1</v>
      </c>
      <c r="AQ67" s="76">
        <v>0.25</v>
      </c>
      <c r="AR67" s="76">
        <v>0.25</v>
      </c>
      <c r="AS67" s="76">
        <v>0.25</v>
      </c>
      <c r="AT67" s="76">
        <v>0.25</v>
      </c>
      <c r="AU67" s="81"/>
      <c r="AV67" s="81"/>
      <c r="AW67" s="81"/>
      <c r="AX67" s="81"/>
      <c r="AY67" s="81"/>
      <c r="AZ67" s="81"/>
      <c r="BA67" s="81"/>
      <c r="BB67" s="81"/>
      <c r="BC67" s="81"/>
      <c r="BD67" s="81"/>
      <c r="BE67" s="81"/>
      <c r="BF67" s="81"/>
      <c r="BG67" s="59"/>
      <c r="BH67" s="59"/>
      <c r="BI67" s="59"/>
      <c r="BJ67" s="59"/>
      <c r="BK67" s="59"/>
      <c r="BL67" s="59"/>
      <c r="BM67" s="81">
        <v>1</v>
      </c>
      <c r="BN67" s="76">
        <f>BO67+BP67+BQ67+BR67</f>
        <v>0.5</v>
      </c>
      <c r="BO67" s="76">
        <v>0</v>
      </c>
      <c r="BP67" s="76">
        <v>0</v>
      </c>
      <c r="BQ67" s="76">
        <v>0.25</v>
      </c>
      <c r="BR67" s="76">
        <v>0.25</v>
      </c>
      <c r="BS67" s="81"/>
      <c r="BT67" s="81"/>
      <c r="BU67" s="81"/>
      <c r="BV67" s="81"/>
      <c r="BW67" s="81"/>
      <c r="BX67" s="81"/>
      <c r="BY67" s="81"/>
      <c r="BZ67" s="81"/>
      <c r="CA67" s="81"/>
      <c r="CB67" s="81"/>
      <c r="CC67" s="81"/>
      <c r="CD67" s="81"/>
      <c r="CE67" s="59"/>
      <c r="CF67" s="59"/>
      <c r="CG67" s="59"/>
      <c r="CH67" s="81"/>
      <c r="CI67" s="81"/>
      <c r="CJ67" s="81"/>
      <c r="CK67" s="81"/>
      <c r="CL67" s="76">
        <v>1</v>
      </c>
      <c r="CM67" s="76">
        <f t="shared" ref="CM67" si="55">CL67</f>
        <v>1</v>
      </c>
      <c r="CN67" s="77">
        <v>0.33329999999999999</v>
      </c>
    </row>
    <row r="68" spans="1:92" s="39" customFormat="1" ht="30" x14ac:dyDescent="0.25">
      <c r="A68" s="115"/>
      <c r="B68" s="115"/>
      <c r="C68" s="115"/>
      <c r="D68" s="115"/>
      <c r="E68" s="115"/>
      <c r="F68" s="119"/>
      <c r="G68" s="111">
        <v>0.1</v>
      </c>
      <c r="H68" s="113"/>
      <c r="I68" s="113" t="s">
        <v>370</v>
      </c>
      <c r="J68" s="109" t="s">
        <v>183</v>
      </c>
      <c r="K68" s="92" t="s">
        <v>440</v>
      </c>
      <c r="L68" s="89" t="s">
        <v>107</v>
      </c>
      <c r="M68" s="111">
        <v>1</v>
      </c>
      <c r="N68" s="84" t="s">
        <v>391</v>
      </c>
      <c r="O68" s="88">
        <v>6.6600000000000006E-2</v>
      </c>
      <c r="P68" s="83" t="s">
        <v>185</v>
      </c>
      <c r="Q68" s="89" t="s">
        <v>84</v>
      </c>
      <c r="R68" s="89" t="s">
        <v>84</v>
      </c>
      <c r="S68" s="83" t="s">
        <v>186</v>
      </c>
      <c r="T68" s="92" t="s">
        <v>100</v>
      </c>
      <c r="U68" s="83" t="s">
        <v>186</v>
      </c>
      <c r="V68" s="91" t="s">
        <v>25</v>
      </c>
      <c r="W68" s="92" t="s">
        <v>144</v>
      </c>
      <c r="X68" s="92" t="s">
        <v>84</v>
      </c>
      <c r="Y68" s="92" t="s">
        <v>84</v>
      </c>
      <c r="Z68" s="92" t="s">
        <v>84</v>
      </c>
      <c r="AA68" s="37" t="s">
        <v>110</v>
      </c>
      <c r="AB68" s="36"/>
      <c r="AC68" s="36"/>
      <c r="AD68" s="72"/>
      <c r="AE68" s="36"/>
      <c r="AF68" s="36"/>
      <c r="AG68" s="72"/>
      <c r="AH68" s="36"/>
      <c r="AI68" s="36"/>
      <c r="AJ68" s="72"/>
      <c r="AK68" s="36"/>
      <c r="AL68" s="36"/>
      <c r="AM68" s="45">
        <v>1</v>
      </c>
      <c r="AN68" s="45">
        <v>1</v>
      </c>
      <c r="AO68" s="37"/>
      <c r="AP68" s="37"/>
      <c r="AQ68" s="37"/>
      <c r="AR68" s="37"/>
      <c r="AS68" s="37"/>
      <c r="AT68" s="37"/>
      <c r="AU68" s="37"/>
      <c r="AV68" s="37"/>
      <c r="AW68" s="37"/>
      <c r="AX68" s="37"/>
      <c r="AY68" s="37"/>
      <c r="AZ68" s="37"/>
      <c r="BA68" s="37"/>
      <c r="BB68" s="37"/>
      <c r="BC68" s="37"/>
      <c r="BD68" s="37"/>
      <c r="BE68" s="37"/>
      <c r="BF68" s="37"/>
      <c r="BG68" s="38"/>
      <c r="BH68" s="38"/>
      <c r="BI68" s="38"/>
      <c r="BJ68" s="38"/>
      <c r="BK68" s="38"/>
      <c r="BL68" s="38"/>
      <c r="BM68" s="37"/>
      <c r="BN68" s="37"/>
      <c r="BO68" s="37"/>
      <c r="BP68" s="37"/>
      <c r="BQ68" s="37"/>
      <c r="BR68" s="37"/>
      <c r="BS68" s="37"/>
      <c r="BT68" s="37"/>
      <c r="BU68" s="37"/>
      <c r="BV68" s="37"/>
      <c r="BW68" s="37"/>
      <c r="BX68" s="37"/>
      <c r="BY68" s="37"/>
      <c r="BZ68" s="37"/>
      <c r="CA68" s="37"/>
      <c r="CB68" s="37"/>
      <c r="CC68" s="37"/>
      <c r="CD68" s="37"/>
      <c r="CE68" s="38"/>
      <c r="CF68" s="38"/>
      <c r="CG68" s="38"/>
      <c r="CH68" s="37"/>
      <c r="CI68" s="37"/>
      <c r="CJ68" s="37"/>
      <c r="CK68" s="37"/>
      <c r="CL68" s="71">
        <f>(BM68+BS68)/2</f>
        <v>0</v>
      </c>
      <c r="CM68" s="71">
        <f t="shared" ref="CM68" si="56">CL68</f>
        <v>0</v>
      </c>
      <c r="CN68" s="94">
        <v>0</v>
      </c>
    </row>
    <row r="69" spans="1:92" s="39" customFormat="1" ht="98.25" customHeight="1" x14ac:dyDescent="0.25">
      <c r="A69" s="115"/>
      <c r="B69" s="115"/>
      <c r="C69" s="115"/>
      <c r="D69" s="115"/>
      <c r="E69" s="115"/>
      <c r="F69" s="119"/>
      <c r="G69" s="111"/>
      <c r="H69" s="113"/>
      <c r="I69" s="113"/>
      <c r="J69" s="109"/>
      <c r="K69" s="92" t="s">
        <v>440</v>
      </c>
      <c r="L69" s="89" t="s">
        <v>107</v>
      </c>
      <c r="M69" s="111"/>
      <c r="N69" s="84" t="s">
        <v>392</v>
      </c>
      <c r="O69" s="88">
        <v>6.6600000000000006E-2</v>
      </c>
      <c r="P69" s="83" t="s">
        <v>237</v>
      </c>
      <c r="Q69" s="89" t="s">
        <v>84</v>
      </c>
      <c r="R69" s="89" t="s">
        <v>84</v>
      </c>
      <c r="S69" s="83" t="s">
        <v>238</v>
      </c>
      <c r="T69" s="91" t="s">
        <v>85</v>
      </c>
      <c r="U69" s="55" t="s">
        <v>495</v>
      </c>
      <c r="V69" s="91" t="s">
        <v>121</v>
      </c>
      <c r="W69" s="92" t="s">
        <v>144</v>
      </c>
      <c r="X69" s="92" t="s">
        <v>241</v>
      </c>
      <c r="Y69" s="92" t="s">
        <v>84</v>
      </c>
      <c r="Z69" s="92" t="s">
        <v>84</v>
      </c>
      <c r="AA69" s="37" t="s">
        <v>89</v>
      </c>
      <c r="AB69" s="36"/>
      <c r="AC69" s="36"/>
      <c r="AD69" s="72">
        <v>1</v>
      </c>
      <c r="AE69" s="36"/>
      <c r="AF69" s="36"/>
      <c r="AG69" s="72">
        <v>1</v>
      </c>
      <c r="AH69" s="36"/>
      <c r="AI69" s="36"/>
      <c r="AJ69" s="72">
        <v>1</v>
      </c>
      <c r="AK69" s="36"/>
      <c r="AL69" s="36"/>
      <c r="AM69" s="72">
        <v>1</v>
      </c>
      <c r="AN69" s="72">
        <v>1</v>
      </c>
      <c r="AO69" s="57">
        <v>0.72119999999999995</v>
      </c>
      <c r="AP69" s="71">
        <v>1</v>
      </c>
      <c r="AQ69" s="71">
        <v>0.25</v>
      </c>
      <c r="AR69" s="71">
        <v>0.25</v>
      </c>
      <c r="AS69" s="71">
        <v>0.25</v>
      </c>
      <c r="AT69" s="71">
        <v>0.25</v>
      </c>
      <c r="AU69" s="57">
        <f>(1557.96/2000)</f>
        <v>0.77898000000000001</v>
      </c>
      <c r="AV69" s="76">
        <v>1</v>
      </c>
      <c r="AW69" s="76">
        <v>0.25</v>
      </c>
      <c r="AX69" s="76">
        <v>0.25</v>
      </c>
      <c r="AY69" s="76">
        <v>0.25</v>
      </c>
      <c r="AZ69" s="76">
        <v>0.25</v>
      </c>
      <c r="BA69" s="77">
        <f>(1505.32/1800)</f>
        <v>0.83628888888888886</v>
      </c>
      <c r="BB69" s="76">
        <v>1</v>
      </c>
      <c r="BC69" s="76">
        <v>0.25</v>
      </c>
      <c r="BD69" s="76">
        <v>0.25</v>
      </c>
      <c r="BE69" s="76">
        <v>0.25</v>
      </c>
      <c r="BF69" s="76">
        <v>0.25</v>
      </c>
      <c r="BG69" s="38"/>
      <c r="BH69" s="38"/>
      <c r="BI69" s="38"/>
      <c r="BJ69" s="38"/>
      <c r="BK69" s="38"/>
      <c r="BL69" s="38"/>
      <c r="BM69" s="57">
        <f>1081.78/(15*100)</f>
        <v>0.72118666666666664</v>
      </c>
      <c r="BN69" s="79">
        <f>BO69+BP69+BQ69+BR69</f>
        <v>0.5</v>
      </c>
      <c r="BO69" s="71">
        <v>0.25</v>
      </c>
      <c r="BP69" s="71">
        <v>0.25</v>
      </c>
      <c r="BQ69" s="71">
        <v>0</v>
      </c>
      <c r="BR69" s="71">
        <v>0</v>
      </c>
      <c r="BS69" s="57">
        <f>1557.96/2000</f>
        <v>0.77898000000000001</v>
      </c>
      <c r="BT69" s="79">
        <f>BU69+BV69+BW69+BX69</f>
        <v>1</v>
      </c>
      <c r="BU69" s="71">
        <v>0.25</v>
      </c>
      <c r="BV69" s="71">
        <v>0.25</v>
      </c>
      <c r="BW69" s="71">
        <v>0.25</v>
      </c>
      <c r="BX69" s="72">
        <v>0.25</v>
      </c>
      <c r="BY69" s="57">
        <f>(1505.32/1800)</f>
        <v>0.83628888888888886</v>
      </c>
      <c r="BZ69" s="79">
        <f>CA69+CB69+CC69+CD69</f>
        <v>1</v>
      </c>
      <c r="CA69" s="76">
        <v>0.25</v>
      </c>
      <c r="CB69" s="76">
        <v>0.25</v>
      </c>
      <c r="CC69" s="76">
        <v>0.25</v>
      </c>
      <c r="CD69" s="76">
        <v>0.25</v>
      </c>
      <c r="CE69" s="38"/>
      <c r="CF69" s="38"/>
      <c r="CG69" s="38"/>
      <c r="CH69" s="37"/>
      <c r="CI69" s="37"/>
      <c r="CJ69" s="37"/>
      <c r="CK69" s="37"/>
      <c r="CL69" s="56">
        <f>(BM69+BS69)/2</f>
        <v>0.75008333333333332</v>
      </c>
      <c r="CM69" s="56">
        <f>CL69/2</f>
        <v>0.37504166666666666</v>
      </c>
      <c r="CN69" s="57">
        <v>3.7579174999999999E-2</v>
      </c>
    </row>
    <row r="70" spans="1:92" s="39" customFormat="1" ht="39" customHeight="1" x14ac:dyDescent="0.25">
      <c r="A70" s="115"/>
      <c r="B70" s="115"/>
      <c r="C70" s="115"/>
      <c r="D70" s="115"/>
      <c r="E70" s="115"/>
      <c r="F70" s="119"/>
      <c r="G70" s="111"/>
      <c r="H70" s="113"/>
      <c r="I70" s="113"/>
      <c r="J70" s="109"/>
      <c r="K70" s="92" t="s">
        <v>440</v>
      </c>
      <c r="L70" s="89" t="s">
        <v>107</v>
      </c>
      <c r="M70" s="111"/>
      <c r="N70" s="84" t="s">
        <v>393</v>
      </c>
      <c r="O70" s="88">
        <v>6.6600000000000006E-2</v>
      </c>
      <c r="P70" s="83" t="s">
        <v>239</v>
      </c>
      <c r="Q70" s="89" t="s">
        <v>84</v>
      </c>
      <c r="R70" s="89" t="s">
        <v>84</v>
      </c>
      <c r="S70" s="83" t="s">
        <v>240</v>
      </c>
      <c r="T70" s="92" t="s">
        <v>100</v>
      </c>
      <c r="U70" s="83" t="s">
        <v>477</v>
      </c>
      <c r="V70" s="91" t="s">
        <v>121</v>
      </c>
      <c r="W70" s="92" t="s">
        <v>144</v>
      </c>
      <c r="X70" s="92" t="s">
        <v>241</v>
      </c>
      <c r="Y70" s="92" t="s">
        <v>84</v>
      </c>
      <c r="Z70" s="92" t="s">
        <v>84</v>
      </c>
      <c r="AA70" s="37" t="s">
        <v>89</v>
      </c>
      <c r="AB70" s="36"/>
      <c r="AC70" s="36"/>
      <c r="AD70" s="72">
        <v>1</v>
      </c>
      <c r="AE70" s="36"/>
      <c r="AF70" s="36"/>
      <c r="AG70" s="72">
        <v>1</v>
      </c>
      <c r="AH70" s="36"/>
      <c r="AI70" s="36"/>
      <c r="AJ70" s="72">
        <v>1</v>
      </c>
      <c r="AK70" s="36"/>
      <c r="AL70" s="36"/>
      <c r="AM70" s="72">
        <v>1</v>
      </c>
      <c r="AN70" s="72">
        <v>1</v>
      </c>
      <c r="AO70" s="76">
        <v>1</v>
      </c>
      <c r="AP70" s="76">
        <v>1</v>
      </c>
      <c r="AQ70" s="76">
        <v>0.25</v>
      </c>
      <c r="AR70" s="76">
        <v>0.25</v>
      </c>
      <c r="AS70" s="76">
        <v>0.25</v>
      </c>
      <c r="AT70" s="76">
        <v>0.25</v>
      </c>
      <c r="AU70" s="79">
        <f>(20/20)</f>
        <v>1</v>
      </c>
      <c r="AV70" s="76">
        <v>1</v>
      </c>
      <c r="AW70" s="76">
        <v>0.25</v>
      </c>
      <c r="AX70" s="76">
        <v>0.25</v>
      </c>
      <c r="AY70" s="76">
        <v>0.25</v>
      </c>
      <c r="AZ70" s="76">
        <v>0.25</v>
      </c>
      <c r="BA70" s="79">
        <f>18/18</f>
        <v>1</v>
      </c>
      <c r="BB70" s="71">
        <v>1</v>
      </c>
      <c r="BC70" s="71">
        <v>0.25</v>
      </c>
      <c r="BD70" s="71">
        <v>0.25</v>
      </c>
      <c r="BE70" s="71">
        <v>0.25</v>
      </c>
      <c r="BF70" s="71">
        <v>0.25</v>
      </c>
      <c r="BG70" s="59"/>
      <c r="BH70" s="59"/>
      <c r="BI70" s="59"/>
      <c r="BJ70" s="59"/>
      <c r="BK70" s="59"/>
      <c r="BL70" s="59"/>
      <c r="BM70" s="79">
        <f>15/15</f>
        <v>1</v>
      </c>
      <c r="BN70" s="79">
        <f>BO70+BP70+BQ70+BR70</f>
        <v>0.75</v>
      </c>
      <c r="BO70" s="76">
        <v>0.25</v>
      </c>
      <c r="BP70" s="76">
        <v>0.25</v>
      </c>
      <c r="BQ70" s="76">
        <v>0</v>
      </c>
      <c r="BR70" s="76">
        <v>0.25</v>
      </c>
      <c r="BS70" s="79">
        <f>20/20</f>
        <v>1</v>
      </c>
      <c r="BT70" s="79">
        <f>BU70+BV70+BW70+BX70</f>
        <v>1</v>
      </c>
      <c r="BU70" s="76">
        <v>0.25</v>
      </c>
      <c r="BV70" s="76">
        <v>0.25</v>
      </c>
      <c r="BW70" s="76">
        <v>0.25</v>
      </c>
      <c r="BX70" s="63">
        <v>0.25</v>
      </c>
      <c r="BY70" s="70">
        <f>(18/18)</f>
        <v>1</v>
      </c>
      <c r="BZ70" s="75">
        <f>CA70+CB70+CC70+CD70</f>
        <v>1</v>
      </c>
      <c r="CA70" s="76">
        <v>0.25</v>
      </c>
      <c r="CB70" s="76">
        <v>0.25</v>
      </c>
      <c r="CC70" s="76">
        <v>0.25</v>
      </c>
      <c r="CD70" s="76">
        <v>0.25</v>
      </c>
      <c r="CE70" s="59"/>
      <c r="CF70" s="59"/>
      <c r="CG70" s="59"/>
      <c r="CH70" s="81"/>
      <c r="CI70" s="81"/>
      <c r="CJ70" s="81"/>
      <c r="CK70" s="81"/>
      <c r="CL70" s="76">
        <f>(BM70+BS70+BY70)/3</f>
        <v>1</v>
      </c>
      <c r="CM70" s="76">
        <v>0.75</v>
      </c>
      <c r="CN70" s="77">
        <v>5.0099999999999999E-2</v>
      </c>
    </row>
    <row r="71" spans="1:92" s="39" customFormat="1" ht="39" customHeight="1" x14ac:dyDescent="0.25">
      <c r="A71" s="115"/>
      <c r="B71" s="115"/>
      <c r="C71" s="115"/>
      <c r="D71" s="115"/>
      <c r="E71" s="115"/>
      <c r="F71" s="119"/>
      <c r="G71" s="111"/>
      <c r="H71" s="113"/>
      <c r="I71" s="113"/>
      <c r="J71" s="109"/>
      <c r="K71" s="92" t="s">
        <v>440</v>
      </c>
      <c r="L71" s="89" t="s">
        <v>107</v>
      </c>
      <c r="M71" s="111"/>
      <c r="N71" s="84" t="s">
        <v>394</v>
      </c>
      <c r="O71" s="88">
        <v>6.6600000000000006E-2</v>
      </c>
      <c r="P71" s="83" t="s">
        <v>187</v>
      </c>
      <c r="Q71" s="89" t="s">
        <v>84</v>
      </c>
      <c r="R71" s="89" t="s">
        <v>84</v>
      </c>
      <c r="S71" s="83" t="s">
        <v>188</v>
      </c>
      <c r="T71" s="92" t="s">
        <v>100</v>
      </c>
      <c r="U71" s="83" t="s">
        <v>188</v>
      </c>
      <c r="V71" s="91" t="s">
        <v>25</v>
      </c>
      <c r="W71" s="89" t="s">
        <v>144</v>
      </c>
      <c r="X71" s="92" t="s">
        <v>84</v>
      </c>
      <c r="Y71" s="92" t="s">
        <v>84</v>
      </c>
      <c r="Z71" s="92" t="s">
        <v>84</v>
      </c>
      <c r="AA71" s="37" t="s">
        <v>110</v>
      </c>
      <c r="AB71" s="36"/>
      <c r="AC71" s="36"/>
      <c r="AD71" s="45"/>
      <c r="AE71" s="36"/>
      <c r="AF71" s="36"/>
      <c r="AG71" s="45"/>
      <c r="AH71" s="73"/>
      <c r="AI71" s="36"/>
      <c r="AJ71" s="45"/>
      <c r="AK71" s="36"/>
      <c r="AL71" s="36"/>
      <c r="AM71" s="45">
        <v>1</v>
      </c>
      <c r="AN71" s="45">
        <v>1</v>
      </c>
      <c r="AO71" s="37"/>
      <c r="AP71" s="37"/>
      <c r="AQ71" s="37"/>
      <c r="AR71" s="37"/>
      <c r="AS71" s="37"/>
      <c r="AT71" s="37"/>
      <c r="AU71" s="37"/>
      <c r="AV71" s="37"/>
      <c r="AW71" s="37"/>
      <c r="AX71" s="37"/>
      <c r="AY71" s="37"/>
      <c r="AZ71" s="37"/>
      <c r="BA71" s="37"/>
      <c r="BB71" s="37"/>
      <c r="BC71" s="37"/>
      <c r="BD71" s="37"/>
      <c r="BE71" s="37"/>
      <c r="BF71" s="37"/>
      <c r="BG71" s="38"/>
      <c r="BH71" s="38"/>
      <c r="BI71" s="38"/>
      <c r="BJ71" s="38"/>
      <c r="BK71" s="38"/>
      <c r="BL71" s="38"/>
      <c r="BM71" s="37"/>
      <c r="BN71" s="37"/>
      <c r="BO71" s="37"/>
      <c r="BP71" s="37"/>
      <c r="BQ71" s="37"/>
      <c r="BR71" s="37"/>
      <c r="BS71" s="37"/>
      <c r="BT71" s="37"/>
      <c r="BU71" s="37"/>
      <c r="BV71" s="37"/>
      <c r="BW71" s="37"/>
      <c r="BX71" s="37"/>
      <c r="BY71" s="37"/>
      <c r="BZ71" s="37"/>
      <c r="CA71" s="37"/>
      <c r="CB71" s="37"/>
      <c r="CC71" s="37"/>
      <c r="CD71" s="37"/>
      <c r="CE71" s="38"/>
      <c r="CF71" s="38"/>
      <c r="CG71" s="38"/>
      <c r="CH71" s="37"/>
      <c r="CI71" s="37"/>
      <c r="CJ71" s="37"/>
      <c r="CK71" s="37"/>
      <c r="CL71" s="71">
        <f>(BM71+BS71)/2</f>
        <v>0</v>
      </c>
      <c r="CM71" s="71">
        <f t="shared" ref="CM71:CM72" si="57">CL71</f>
        <v>0</v>
      </c>
      <c r="CN71" s="94">
        <v>0</v>
      </c>
    </row>
    <row r="72" spans="1:92" s="39" customFormat="1" ht="37.5" customHeight="1" x14ac:dyDescent="0.25">
      <c r="A72" s="115"/>
      <c r="B72" s="115"/>
      <c r="C72" s="115"/>
      <c r="D72" s="115"/>
      <c r="E72" s="115"/>
      <c r="F72" s="119"/>
      <c r="G72" s="111"/>
      <c r="H72" s="113"/>
      <c r="I72" s="113"/>
      <c r="J72" s="109"/>
      <c r="K72" s="92" t="s">
        <v>221</v>
      </c>
      <c r="L72" s="89" t="s">
        <v>107</v>
      </c>
      <c r="M72" s="111"/>
      <c r="N72" s="84" t="s">
        <v>395</v>
      </c>
      <c r="O72" s="88">
        <v>6.6600000000000006E-2</v>
      </c>
      <c r="P72" s="83" t="s">
        <v>189</v>
      </c>
      <c r="Q72" s="89" t="s">
        <v>84</v>
      </c>
      <c r="R72" s="89" t="s">
        <v>84</v>
      </c>
      <c r="S72" s="83" t="s">
        <v>190</v>
      </c>
      <c r="T72" s="91" t="s">
        <v>100</v>
      </c>
      <c r="U72" s="83" t="s">
        <v>191</v>
      </c>
      <c r="V72" s="91" t="s">
        <v>25</v>
      </c>
      <c r="W72" s="89" t="s">
        <v>88</v>
      </c>
      <c r="X72" s="92" t="s">
        <v>84</v>
      </c>
      <c r="Y72" s="92" t="s">
        <v>84</v>
      </c>
      <c r="Z72" s="92" t="s">
        <v>84</v>
      </c>
      <c r="AA72" s="37" t="s">
        <v>109</v>
      </c>
      <c r="AB72" s="36"/>
      <c r="AC72" s="36"/>
      <c r="AD72" s="45"/>
      <c r="AE72" s="36"/>
      <c r="AF72" s="36"/>
      <c r="AG72" s="45">
        <v>1</v>
      </c>
      <c r="AH72" s="73"/>
      <c r="AI72" s="36"/>
      <c r="AJ72" s="45"/>
      <c r="AK72" s="36"/>
      <c r="AL72" s="36"/>
      <c r="AM72" s="45">
        <v>1</v>
      </c>
      <c r="AN72" s="45">
        <v>2</v>
      </c>
      <c r="AO72" s="81"/>
      <c r="AP72" s="81"/>
      <c r="AQ72" s="81"/>
      <c r="AR72" s="81"/>
      <c r="AS72" s="81"/>
      <c r="AT72" s="81"/>
      <c r="AU72" s="80">
        <v>1</v>
      </c>
      <c r="AV72" s="79">
        <v>0.5</v>
      </c>
      <c r="AW72" s="79">
        <v>0</v>
      </c>
      <c r="AX72" s="79">
        <v>0.25</v>
      </c>
      <c r="AY72" s="79">
        <v>0</v>
      </c>
      <c r="AZ72" s="79">
        <v>0.25</v>
      </c>
      <c r="BA72" s="81"/>
      <c r="BB72" s="81"/>
      <c r="BC72" s="81"/>
      <c r="BD72" s="81"/>
      <c r="BE72" s="81"/>
      <c r="BF72" s="81"/>
      <c r="BG72" s="59"/>
      <c r="BH72" s="59"/>
      <c r="BI72" s="59"/>
      <c r="BJ72" s="59"/>
      <c r="BK72" s="59"/>
      <c r="BL72" s="59"/>
      <c r="BM72" s="81"/>
      <c r="BN72" s="81"/>
      <c r="BO72" s="81"/>
      <c r="BP72" s="81"/>
      <c r="BQ72" s="81"/>
      <c r="BR72" s="81"/>
      <c r="BS72" s="81">
        <v>1</v>
      </c>
      <c r="BT72" s="79">
        <f>BU72+BV72+BW72+BX72</f>
        <v>0.5</v>
      </c>
      <c r="BU72" s="76">
        <v>0</v>
      </c>
      <c r="BV72" s="76">
        <v>0.25</v>
      </c>
      <c r="BW72" s="76">
        <v>0</v>
      </c>
      <c r="BX72" s="76">
        <v>0.25</v>
      </c>
      <c r="BY72" s="81"/>
      <c r="BZ72" s="81"/>
      <c r="CA72" s="81"/>
      <c r="CB72" s="81"/>
      <c r="CC72" s="81"/>
      <c r="CD72" s="81"/>
      <c r="CE72" s="59"/>
      <c r="CF72" s="59"/>
      <c r="CG72" s="59"/>
      <c r="CH72" s="81"/>
      <c r="CI72" s="81"/>
      <c r="CJ72" s="81"/>
      <c r="CK72" s="81"/>
      <c r="CL72" s="76">
        <f>(BM72+BS72)/2</f>
        <v>0.5</v>
      </c>
      <c r="CM72" s="76">
        <f t="shared" si="57"/>
        <v>0.5</v>
      </c>
      <c r="CN72" s="77">
        <v>1.67E-2</v>
      </c>
    </row>
    <row r="73" spans="1:92" s="39" customFormat="1" ht="82.5" customHeight="1" x14ac:dyDescent="0.25">
      <c r="A73" s="115"/>
      <c r="B73" s="115"/>
      <c r="C73" s="115"/>
      <c r="D73" s="115"/>
      <c r="E73" s="115"/>
      <c r="F73" s="119"/>
      <c r="G73" s="111"/>
      <c r="H73" s="113"/>
      <c r="I73" s="113"/>
      <c r="J73" s="109"/>
      <c r="K73" s="92" t="s">
        <v>441</v>
      </c>
      <c r="L73" s="89" t="s">
        <v>164</v>
      </c>
      <c r="M73" s="111"/>
      <c r="N73" s="84" t="s">
        <v>396</v>
      </c>
      <c r="O73" s="88">
        <v>6.6600000000000006E-2</v>
      </c>
      <c r="P73" s="83" t="s">
        <v>192</v>
      </c>
      <c r="Q73" s="89" t="s">
        <v>84</v>
      </c>
      <c r="R73" s="89" t="s">
        <v>84</v>
      </c>
      <c r="S73" s="83" t="s">
        <v>193</v>
      </c>
      <c r="T73" s="91" t="s">
        <v>85</v>
      </c>
      <c r="U73" s="83" t="s">
        <v>194</v>
      </c>
      <c r="V73" s="91" t="s">
        <v>87</v>
      </c>
      <c r="W73" s="89" t="s">
        <v>195</v>
      </c>
      <c r="X73" s="92" t="s">
        <v>84</v>
      </c>
      <c r="Y73" s="92" t="s">
        <v>84</v>
      </c>
      <c r="Z73" s="92" t="s">
        <v>84</v>
      </c>
      <c r="AA73" s="37" t="s">
        <v>109</v>
      </c>
      <c r="AB73" s="36"/>
      <c r="AC73" s="36"/>
      <c r="AD73" s="45"/>
      <c r="AE73" s="36"/>
      <c r="AF73" s="36"/>
      <c r="AG73" s="73">
        <v>0.45</v>
      </c>
      <c r="AH73" s="73"/>
      <c r="AI73" s="36"/>
      <c r="AJ73" s="45"/>
      <c r="AK73" s="36"/>
      <c r="AL73" s="36"/>
      <c r="AM73" s="73">
        <v>0.8</v>
      </c>
      <c r="AN73" s="73">
        <v>0.8</v>
      </c>
      <c r="AO73" s="81"/>
      <c r="AP73" s="81"/>
      <c r="AQ73" s="81"/>
      <c r="AR73" s="81"/>
      <c r="AS73" s="81"/>
      <c r="AT73" s="81"/>
      <c r="AU73" s="79">
        <v>0.45</v>
      </c>
      <c r="AV73" s="79">
        <v>1</v>
      </c>
      <c r="AW73" s="79">
        <v>0.25</v>
      </c>
      <c r="AX73" s="79">
        <v>0.25</v>
      </c>
      <c r="AY73" s="79">
        <v>0.25</v>
      </c>
      <c r="AZ73" s="79">
        <v>0.25</v>
      </c>
      <c r="BA73" s="81"/>
      <c r="BB73" s="81"/>
      <c r="BC73" s="81"/>
      <c r="BD73" s="81"/>
      <c r="BE73" s="81"/>
      <c r="BF73" s="81"/>
      <c r="BG73" s="59"/>
      <c r="BH73" s="59"/>
      <c r="BI73" s="59"/>
      <c r="BJ73" s="59"/>
      <c r="BK73" s="59"/>
      <c r="BL73" s="59"/>
      <c r="BM73" s="81"/>
      <c r="BN73" s="81"/>
      <c r="BO73" s="81"/>
      <c r="BP73" s="81"/>
      <c r="BQ73" s="81"/>
      <c r="BR73" s="81"/>
      <c r="BS73" s="76">
        <v>0.45</v>
      </c>
      <c r="BT73" s="79">
        <f>BU73+BV73+BW73+BX73</f>
        <v>1</v>
      </c>
      <c r="BU73" s="76">
        <v>0.25</v>
      </c>
      <c r="BV73" s="76">
        <v>0.25</v>
      </c>
      <c r="BW73" s="76">
        <v>0.25</v>
      </c>
      <c r="BX73" s="76">
        <v>0.25</v>
      </c>
      <c r="BY73" s="81"/>
      <c r="BZ73" s="81"/>
      <c r="CA73" s="81"/>
      <c r="CB73" s="81"/>
      <c r="CC73" s="81"/>
      <c r="CD73" s="81"/>
      <c r="CE73" s="59"/>
      <c r="CF73" s="59"/>
      <c r="CG73" s="59"/>
      <c r="CH73" s="81"/>
      <c r="CI73" s="81"/>
      <c r="CJ73" s="81"/>
      <c r="CK73" s="81"/>
      <c r="CL73" s="76">
        <v>1</v>
      </c>
      <c r="CM73" s="58">
        <v>0.5625</v>
      </c>
      <c r="CN73" s="77">
        <v>3.3300000000000003E-2</v>
      </c>
    </row>
    <row r="74" spans="1:92" s="39" customFormat="1" ht="93" customHeight="1" x14ac:dyDescent="0.25">
      <c r="A74" s="115"/>
      <c r="B74" s="115"/>
      <c r="C74" s="115"/>
      <c r="D74" s="115"/>
      <c r="E74" s="115"/>
      <c r="F74" s="119"/>
      <c r="G74" s="111"/>
      <c r="H74" s="113"/>
      <c r="I74" s="113"/>
      <c r="J74" s="109"/>
      <c r="K74" s="92" t="s">
        <v>442</v>
      </c>
      <c r="L74" s="89" t="s">
        <v>107</v>
      </c>
      <c r="M74" s="111"/>
      <c r="N74" s="84" t="s">
        <v>397</v>
      </c>
      <c r="O74" s="88">
        <v>6.6600000000000006E-2</v>
      </c>
      <c r="P74" s="83" t="s">
        <v>196</v>
      </c>
      <c r="Q74" s="89" t="s">
        <v>84</v>
      </c>
      <c r="R74" s="89" t="s">
        <v>84</v>
      </c>
      <c r="S74" s="83" t="s">
        <v>197</v>
      </c>
      <c r="T74" s="91" t="s">
        <v>85</v>
      </c>
      <c r="U74" s="83" t="s">
        <v>198</v>
      </c>
      <c r="V74" s="92" t="s">
        <v>87</v>
      </c>
      <c r="W74" s="92" t="s">
        <v>119</v>
      </c>
      <c r="X74" s="92" t="s">
        <v>84</v>
      </c>
      <c r="Y74" s="92" t="s">
        <v>84</v>
      </c>
      <c r="Z74" s="92" t="s">
        <v>84</v>
      </c>
      <c r="AA74" s="37" t="s">
        <v>89</v>
      </c>
      <c r="AB74" s="87"/>
      <c r="AC74" s="87"/>
      <c r="AD74" s="72">
        <v>1</v>
      </c>
      <c r="AE74" s="87"/>
      <c r="AF74" s="87"/>
      <c r="AG74" s="72">
        <v>1</v>
      </c>
      <c r="AH74" s="87"/>
      <c r="AI74" s="87"/>
      <c r="AJ74" s="72">
        <v>1</v>
      </c>
      <c r="AK74" s="87"/>
      <c r="AL74" s="87"/>
      <c r="AM74" s="72">
        <v>1</v>
      </c>
      <c r="AN74" s="72">
        <v>1</v>
      </c>
      <c r="AO74" s="76">
        <v>1</v>
      </c>
      <c r="AP74" s="76">
        <v>1</v>
      </c>
      <c r="AQ74" s="76">
        <v>0.25</v>
      </c>
      <c r="AR74" s="76">
        <v>0.25</v>
      </c>
      <c r="AS74" s="76">
        <v>0.25</v>
      </c>
      <c r="AT74" s="76">
        <v>0.25</v>
      </c>
      <c r="AU74" s="79">
        <f>5/5</f>
        <v>1</v>
      </c>
      <c r="AV74" s="76">
        <v>1</v>
      </c>
      <c r="AW74" s="76">
        <v>0.25</v>
      </c>
      <c r="AX74" s="76">
        <v>0.25</v>
      </c>
      <c r="AY74" s="76">
        <v>0.25</v>
      </c>
      <c r="AZ74" s="76">
        <v>0.25</v>
      </c>
      <c r="BA74" s="75">
        <f>9/9</f>
        <v>1</v>
      </c>
      <c r="BB74" s="76">
        <v>1</v>
      </c>
      <c r="BC74" s="76">
        <v>0.25</v>
      </c>
      <c r="BD74" s="76">
        <v>0.25</v>
      </c>
      <c r="BE74" s="76">
        <v>0.25</v>
      </c>
      <c r="BF74" s="76">
        <v>0.25</v>
      </c>
      <c r="BG74" s="59"/>
      <c r="BH74" s="59"/>
      <c r="BI74" s="59"/>
      <c r="BJ74" s="59"/>
      <c r="BK74" s="59"/>
      <c r="BL74" s="59"/>
      <c r="BM74" s="79">
        <f>5/5</f>
        <v>1</v>
      </c>
      <c r="BN74" s="76">
        <f>BO74+BP74+BQ74+BR74</f>
        <v>1</v>
      </c>
      <c r="BO74" s="76">
        <v>0.25</v>
      </c>
      <c r="BP74" s="76">
        <v>0.25</v>
      </c>
      <c r="BQ74" s="76">
        <v>0.25</v>
      </c>
      <c r="BR74" s="76">
        <v>0.25</v>
      </c>
      <c r="BS74" s="79">
        <f>5/5</f>
        <v>1</v>
      </c>
      <c r="BT74" s="79">
        <f>BU74+BV74+BW74+BX74</f>
        <v>1</v>
      </c>
      <c r="BU74" s="63">
        <v>0.25</v>
      </c>
      <c r="BV74" s="76">
        <v>0.25</v>
      </c>
      <c r="BW74" s="76">
        <v>0.25</v>
      </c>
      <c r="BX74" s="76">
        <v>0.25</v>
      </c>
      <c r="BY74" s="75">
        <f>9/9</f>
        <v>1</v>
      </c>
      <c r="BZ74" s="75">
        <f>CA74+CB74+CC74+CD74</f>
        <v>1</v>
      </c>
      <c r="CA74" s="76">
        <v>0.25</v>
      </c>
      <c r="CB74" s="76">
        <v>0.25</v>
      </c>
      <c r="CC74" s="76">
        <v>0.25</v>
      </c>
      <c r="CD74" s="76">
        <v>0.25</v>
      </c>
      <c r="CE74" s="59"/>
      <c r="CF74" s="59"/>
      <c r="CG74" s="59"/>
      <c r="CH74" s="81"/>
      <c r="CI74" s="81"/>
      <c r="CJ74" s="81"/>
      <c r="CK74" s="81"/>
      <c r="CL74" s="76">
        <f>(BM74+BS74+BY74)/3</f>
        <v>1</v>
      </c>
      <c r="CM74" s="76">
        <v>0.75</v>
      </c>
      <c r="CN74" s="77">
        <v>5.0099999999999999E-2</v>
      </c>
    </row>
    <row r="75" spans="1:92" s="39" customFormat="1" ht="41.25" customHeight="1" x14ac:dyDescent="0.25">
      <c r="A75" s="115"/>
      <c r="B75" s="115"/>
      <c r="C75" s="115"/>
      <c r="D75" s="115"/>
      <c r="E75" s="115"/>
      <c r="F75" s="119"/>
      <c r="G75" s="111"/>
      <c r="H75" s="113"/>
      <c r="I75" s="113"/>
      <c r="J75" s="109"/>
      <c r="K75" s="92" t="s">
        <v>443</v>
      </c>
      <c r="L75" s="89" t="s">
        <v>107</v>
      </c>
      <c r="M75" s="111"/>
      <c r="N75" s="84" t="s">
        <v>398</v>
      </c>
      <c r="O75" s="88">
        <v>6.6600000000000006E-2</v>
      </c>
      <c r="P75" s="83" t="s">
        <v>189</v>
      </c>
      <c r="Q75" s="89" t="s">
        <v>84</v>
      </c>
      <c r="R75" s="89" t="s">
        <v>84</v>
      </c>
      <c r="S75" s="83" t="s">
        <v>190</v>
      </c>
      <c r="T75" s="92" t="s">
        <v>100</v>
      </c>
      <c r="U75" s="83" t="s">
        <v>200</v>
      </c>
      <c r="V75" s="92" t="s">
        <v>25</v>
      </c>
      <c r="W75" s="92" t="s">
        <v>179</v>
      </c>
      <c r="X75" s="92" t="s">
        <v>84</v>
      </c>
      <c r="Y75" s="92" t="s">
        <v>84</v>
      </c>
      <c r="Z75" s="92" t="s">
        <v>84</v>
      </c>
      <c r="AA75" s="37" t="s">
        <v>109</v>
      </c>
      <c r="AB75" s="87"/>
      <c r="AC75" s="87"/>
      <c r="AD75" s="72"/>
      <c r="AE75" s="87"/>
      <c r="AF75" s="87"/>
      <c r="AG75" s="45">
        <v>1</v>
      </c>
      <c r="AH75" s="87"/>
      <c r="AI75" s="87"/>
      <c r="AJ75" s="72"/>
      <c r="AK75" s="87"/>
      <c r="AL75" s="87"/>
      <c r="AM75" s="45">
        <v>1</v>
      </c>
      <c r="AN75" s="45">
        <v>2</v>
      </c>
      <c r="AO75" s="81"/>
      <c r="AP75" s="81"/>
      <c r="AQ75" s="81"/>
      <c r="AR75" s="81"/>
      <c r="AS75" s="81"/>
      <c r="AT75" s="81"/>
      <c r="AU75" s="81">
        <v>1</v>
      </c>
      <c r="AV75" s="76">
        <v>1</v>
      </c>
      <c r="AW75" s="76">
        <v>0.25</v>
      </c>
      <c r="AX75" s="76">
        <v>0.25</v>
      </c>
      <c r="AY75" s="76">
        <v>0.25</v>
      </c>
      <c r="AZ75" s="76">
        <v>0.25</v>
      </c>
      <c r="BA75" s="81"/>
      <c r="BB75" s="81"/>
      <c r="BC75" s="81"/>
      <c r="BD75" s="81"/>
      <c r="BE75" s="81"/>
      <c r="BF75" s="81"/>
      <c r="BG75" s="59"/>
      <c r="BH75" s="59"/>
      <c r="BI75" s="59"/>
      <c r="BJ75" s="59"/>
      <c r="BK75" s="59"/>
      <c r="BL75" s="59"/>
      <c r="BM75" s="81"/>
      <c r="BN75" s="81"/>
      <c r="BO75" s="81"/>
      <c r="BP75" s="81"/>
      <c r="BQ75" s="81"/>
      <c r="BR75" s="81"/>
      <c r="BS75" s="81">
        <v>1</v>
      </c>
      <c r="BT75" s="79">
        <f>BU75+BV75+BW75+BX75</f>
        <v>1</v>
      </c>
      <c r="BU75" s="76">
        <v>0.25</v>
      </c>
      <c r="BV75" s="76">
        <v>0.25</v>
      </c>
      <c r="BW75" s="76">
        <v>0.25</v>
      </c>
      <c r="BX75" s="76">
        <v>0.25</v>
      </c>
      <c r="BY75" s="81"/>
      <c r="BZ75" s="81"/>
      <c r="CA75" s="81"/>
      <c r="CB75" s="81"/>
      <c r="CC75" s="81"/>
      <c r="CD75" s="81"/>
      <c r="CE75" s="59"/>
      <c r="CF75" s="59"/>
      <c r="CG75" s="59"/>
      <c r="CH75" s="81"/>
      <c r="CI75" s="81"/>
      <c r="CJ75" s="81"/>
      <c r="CK75" s="81"/>
      <c r="CL75" s="76">
        <v>1</v>
      </c>
      <c r="CM75" s="76">
        <f>CL75/2</f>
        <v>0.5</v>
      </c>
      <c r="CN75" s="77">
        <v>3.3300000000000003E-2</v>
      </c>
    </row>
    <row r="76" spans="1:92" s="39" customFormat="1" ht="51.75" customHeight="1" x14ac:dyDescent="0.25">
      <c r="A76" s="115"/>
      <c r="B76" s="115"/>
      <c r="C76" s="115"/>
      <c r="D76" s="115"/>
      <c r="E76" s="115"/>
      <c r="F76" s="119"/>
      <c r="G76" s="111"/>
      <c r="H76" s="113"/>
      <c r="I76" s="113"/>
      <c r="J76" s="109"/>
      <c r="K76" s="92" t="s">
        <v>224</v>
      </c>
      <c r="L76" s="92" t="s">
        <v>244</v>
      </c>
      <c r="M76" s="111"/>
      <c r="N76" s="84" t="s">
        <v>399</v>
      </c>
      <c r="O76" s="88">
        <v>6.6600000000000006E-2</v>
      </c>
      <c r="P76" s="83" t="s">
        <v>201</v>
      </c>
      <c r="Q76" s="89" t="s">
        <v>84</v>
      </c>
      <c r="R76" s="89" t="s">
        <v>84</v>
      </c>
      <c r="S76" s="83" t="s">
        <v>202</v>
      </c>
      <c r="T76" s="92" t="s">
        <v>100</v>
      </c>
      <c r="U76" s="83" t="s">
        <v>202</v>
      </c>
      <c r="V76" s="91" t="s">
        <v>25</v>
      </c>
      <c r="W76" s="89" t="s">
        <v>147</v>
      </c>
      <c r="X76" s="92" t="s">
        <v>84</v>
      </c>
      <c r="Y76" s="92" t="s">
        <v>84</v>
      </c>
      <c r="Z76" s="92" t="s">
        <v>84</v>
      </c>
      <c r="AA76" s="37" t="s">
        <v>110</v>
      </c>
      <c r="AB76" s="87"/>
      <c r="AC76" s="87"/>
      <c r="AD76" s="72"/>
      <c r="AE76" s="87"/>
      <c r="AF76" s="87"/>
      <c r="AG76" s="72"/>
      <c r="AH76" s="87"/>
      <c r="AI76" s="87"/>
      <c r="AJ76" s="72"/>
      <c r="AK76" s="87"/>
      <c r="AL76" s="87"/>
      <c r="AM76" s="45">
        <v>1</v>
      </c>
      <c r="AN76" s="45">
        <v>1</v>
      </c>
      <c r="AO76" s="37"/>
      <c r="AP76" s="37"/>
      <c r="AQ76" s="37"/>
      <c r="AR76" s="37"/>
      <c r="AS76" s="37"/>
      <c r="AT76" s="37"/>
      <c r="AU76" s="37"/>
      <c r="AV76" s="37"/>
      <c r="AW76" s="37"/>
      <c r="AX76" s="37"/>
      <c r="AY76" s="37"/>
      <c r="AZ76" s="37"/>
      <c r="BA76" s="37"/>
      <c r="BB76" s="37"/>
      <c r="BC76" s="37"/>
      <c r="BD76" s="37"/>
      <c r="BE76" s="37"/>
      <c r="BF76" s="37"/>
      <c r="BG76" s="38"/>
      <c r="BH76" s="38"/>
      <c r="BI76" s="38"/>
      <c r="BJ76" s="38"/>
      <c r="BK76" s="38"/>
      <c r="BL76" s="38"/>
      <c r="BM76" s="37"/>
      <c r="BN76" s="37"/>
      <c r="BO76" s="37"/>
      <c r="BP76" s="37"/>
      <c r="BQ76" s="37"/>
      <c r="BR76" s="37"/>
      <c r="BS76" s="37"/>
      <c r="BT76" s="37"/>
      <c r="BU76" s="37"/>
      <c r="BV76" s="37"/>
      <c r="BW76" s="37"/>
      <c r="BX76" s="37"/>
      <c r="BY76" s="37"/>
      <c r="BZ76" s="37"/>
      <c r="CA76" s="37"/>
      <c r="CB76" s="37"/>
      <c r="CC76" s="37"/>
      <c r="CD76" s="37"/>
      <c r="CE76" s="38"/>
      <c r="CF76" s="38"/>
      <c r="CG76" s="38"/>
      <c r="CH76" s="37"/>
      <c r="CI76" s="37"/>
      <c r="CJ76" s="37"/>
      <c r="CK76" s="37"/>
      <c r="CL76" s="71">
        <f>(BM76+BS76)/2</f>
        <v>0</v>
      </c>
      <c r="CM76" s="71">
        <f t="shared" ref="CM76" si="58">CL76</f>
        <v>0</v>
      </c>
      <c r="CN76" s="94">
        <v>0</v>
      </c>
    </row>
    <row r="77" spans="1:92" s="39" customFormat="1" ht="121.5" customHeight="1" x14ac:dyDescent="0.25">
      <c r="A77" s="115"/>
      <c r="B77" s="115"/>
      <c r="C77" s="115"/>
      <c r="D77" s="115"/>
      <c r="E77" s="115"/>
      <c r="F77" s="119"/>
      <c r="G77" s="111"/>
      <c r="H77" s="113"/>
      <c r="I77" s="113"/>
      <c r="J77" s="109"/>
      <c r="K77" s="92" t="s">
        <v>444</v>
      </c>
      <c r="L77" s="89" t="s">
        <v>107</v>
      </c>
      <c r="M77" s="111"/>
      <c r="N77" s="84" t="s">
        <v>400</v>
      </c>
      <c r="O77" s="88">
        <v>6.6600000000000006E-2</v>
      </c>
      <c r="P77" s="83" t="s">
        <v>203</v>
      </c>
      <c r="Q77" s="89" t="s">
        <v>84</v>
      </c>
      <c r="R77" s="89" t="s">
        <v>84</v>
      </c>
      <c r="S77" s="83" t="s">
        <v>204</v>
      </c>
      <c r="T77" s="91" t="s">
        <v>85</v>
      </c>
      <c r="U77" s="83" t="s">
        <v>205</v>
      </c>
      <c r="V77" s="91" t="s">
        <v>87</v>
      </c>
      <c r="W77" s="89" t="s">
        <v>206</v>
      </c>
      <c r="X77" s="92" t="s">
        <v>84</v>
      </c>
      <c r="Y77" s="92" t="s">
        <v>84</v>
      </c>
      <c r="Z77" s="92" t="s">
        <v>84</v>
      </c>
      <c r="AA77" s="37" t="s">
        <v>109</v>
      </c>
      <c r="AB77" s="87"/>
      <c r="AC77" s="87"/>
      <c r="AD77" s="72"/>
      <c r="AE77" s="87"/>
      <c r="AF77" s="87"/>
      <c r="AG77" s="72">
        <v>1</v>
      </c>
      <c r="AH77" s="87"/>
      <c r="AI77" s="87"/>
      <c r="AJ77" s="72"/>
      <c r="AK77" s="87"/>
      <c r="AL77" s="87"/>
      <c r="AM77" s="72">
        <v>1</v>
      </c>
      <c r="AN77" s="72">
        <v>1</v>
      </c>
      <c r="AO77" s="81"/>
      <c r="AP77" s="81"/>
      <c r="AQ77" s="81"/>
      <c r="AR77" s="81"/>
      <c r="AS77" s="81"/>
      <c r="AT77" s="81"/>
      <c r="AU77" s="76">
        <f>1/1</f>
        <v>1</v>
      </c>
      <c r="AV77" s="76">
        <v>1</v>
      </c>
      <c r="AW77" s="75">
        <v>0.25</v>
      </c>
      <c r="AX77" s="75">
        <v>0.25</v>
      </c>
      <c r="AY77" s="75">
        <v>0.25</v>
      </c>
      <c r="AZ77" s="75">
        <v>0.25</v>
      </c>
      <c r="BA77" s="81"/>
      <c r="BB77" s="81"/>
      <c r="BC77" s="81"/>
      <c r="BD77" s="81"/>
      <c r="BE77" s="81"/>
      <c r="BF77" s="81"/>
      <c r="BG77" s="59"/>
      <c r="BH77" s="59"/>
      <c r="BI77" s="59"/>
      <c r="BJ77" s="59"/>
      <c r="BK77" s="59"/>
      <c r="BL77" s="59"/>
      <c r="BM77" s="81"/>
      <c r="BN77" s="81"/>
      <c r="BO77" s="81"/>
      <c r="BP77" s="81"/>
      <c r="BQ77" s="81"/>
      <c r="BR77" s="81"/>
      <c r="BS77" s="79">
        <f>1/1</f>
        <v>1</v>
      </c>
      <c r="BT77" s="76">
        <f>BU77+BV77+BW77+BX77</f>
        <v>1</v>
      </c>
      <c r="BU77" s="76">
        <v>0.25</v>
      </c>
      <c r="BV77" s="76">
        <v>0.25</v>
      </c>
      <c r="BW77" s="76">
        <v>0.25</v>
      </c>
      <c r="BX77" s="76">
        <v>0.25</v>
      </c>
      <c r="BY77" s="81"/>
      <c r="BZ77" s="81"/>
      <c r="CA77" s="81"/>
      <c r="CB77" s="81"/>
      <c r="CC77" s="81"/>
      <c r="CD77" s="81"/>
      <c r="CE77" s="59"/>
      <c r="CF77" s="59"/>
      <c r="CG77" s="59"/>
      <c r="CH77" s="81"/>
      <c r="CI77" s="81"/>
      <c r="CJ77" s="81"/>
      <c r="CK77" s="81"/>
      <c r="CL77" s="76">
        <v>1</v>
      </c>
      <c r="CM77" s="76">
        <f>CL77/2</f>
        <v>0.5</v>
      </c>
      <c r="CN77" s="77">
        <v>3.3300000000000003E-2</v>
      </c>
    </row>
    <row r="78" spans="1:92" s="39" customFormat="1" ht="40.5" customHeight="1" x14ac:dyDescent="0.25">
      <c r="A78" s="115"/>
      <c r="B78" s="115"/>
      <c r="C78" s="115"/>
      <c r="D78" s="115"/>
      <c r="E78" s="115"/>
      <c r="F78" s="119"/>
      <c r="G78" s="111"/>
      <c r="H78" s="113"/>
      <c r="I78" s="113"/>
      <c r="J78" s="109"/>
      <c r="K78" s="92" t="s">
        <v>444</v>
      </c>
      <c r="L78" s="89" t="s">
        <v>107</v>
      </c>
      <c r="M78" s="111"/>
      <c r="N78" s="84" t="s">
        <v>401</v>
      </c>
      <c r="O78" s="88">
        <v>6.6600000000000006E-2</v>
      </c>
      <c r="P78" s="84" t="s">
        <v>189</v>
      </c>
      <c r="Q78" s="89" t="s">
        <v>84</v>
      </c>
      <c r="R78" s="89" t="s">
        <v>84</v>
      </c>
      <c r="S78" s="83" t="s">
        <v>499</v>
      </c>
      <c r="T78" s="92" t="s">
        <v>100</v>
      </c>
      <c r="U78" s="83" t="s">
        <v>207</v>
      </c>
      <c r="V78" s="91" t="s">
        <v>25</v>
      </c>
      <c r="W78" s="89" t="s">
        <v>206</v>
      </c>
      <c r="X78" s="92" t="s">
        <v>84</v>
      </c>
      <c r="Y78" s="92" t="s">
        <v>84</v>
      </c>
      <c r="Z78" s="92" t="s">
        <v>84</v>
      </c>
      <c r="AA78" s="37" t="s">
        <v>109</v>
      </c>
      <c r="AB78" s="87"/>
      <c r="AC78" s="87"/>
      <c r="AD78" s="72"/>
      <c r="AE78" s="87"/>
      <c r="AF78" s="87"/>
      <c r="AG78" s="45">
        <v>1</v>
      </c>
      <c r="AH78" s="87"/>
      <c r="AI78" s="87"/>
      <c r="AJ78" s="72"/>
      <c r="AK78" s="87"/>
      <c r="AL78" s="87"/>
      <c r="AM78" s="45">
        <v>1</v>
      </c>
      <c r="AN78" s="45">
        <v>2</v>
      </c>
      <c r="AO78" s="81"/>
      <c r="AP78" s="81"/>
      <c r="AQ78" s="81"/>
      <c r="AR78" s="81"/>
      <c r="AS78" s="81"/>
      <c r="AT78" s="81"/>
      <c r="AU78" s="81">
        <v>1</v>
      </c>
      <c r="AV78" s="76">
        <v>1</v>
      </c>
      <c r="AW78" s="79">
        <v>0.25</v>
      </c>
      <c r="AX78" s="79">
        <v>0.25</v>
      </c>
      <c r="AY78" s="79">
        <v>0.25</v>
      </c>
      <c r="AZ78" s="79">
        <v>0.25</v>
      </c>
      <c r="BA78" s="81"/>
      <c r="BB78" s="81"/>
      <c r="BC78" s="81"/>
      <c r="BD78" s="81"/>
      <c r="BE78" s="81"/>
      <c r="BF78" s="81"/>
      <c r="BG78" s="59"/>
      <c r="BH78" s="59"/>
      <c r="BI78" s="59"/>
      <c r="BJ78" s="59"/>
      <c r="BK78" s="59"/>
      <c r="BL78" s="59"/>
      <c r="BM78" s="81"/>
      <c r="BN78" s="81"/>
      <c r="BO78" s="81"/>
      <c r="BP78" s="81"/>
      <c r="BQ78" s="81"/>
      <c r="BR78" s="81"/>
      <c r="BS78" s="81">
        <v>1</v>
      </c>
      <c r="BT78" s="76">
        <f>BU78+BV78+BW78+BX78</f>
        <v>1</v>
      </c>
      <c r="BU78" s="79">
        <v>0.25</v>
      </c>
      <c r="BV78" s="79">
        <v>0.25</v>
      </c>
      <c r="BW78" s="79">
        <v>0.25</v>
      </c>
      <c r="BX78" s="79">
        <v>0.25</v>
      </c>
      <c r="BY78" s="81"/>
      <c r="BZ78" s="81"/>
      <c r="CA78" s="81"/>
      <c r="CB78" s="81"/>
      <c r="CC78" s="81"/>
      <c r="CD78" s="81"/>
      <c r="CE78" s="59"/>
      <c r="CF78" s="59"/>
      <c r="CG78" s="59"/>
      <c r="CH78" s="81"/>
      <c r="CI78" s="81"/>
      <c r="CJ78" s="81"/>
      <c r="CK78" s="81"/>
      <c r="CL78" s="76">
        <v>1</v>
      </c>
      <c r="CM78" s="76">
        <f>CL78/2</f>
        <v>0.5</v>
      </c>
      <c r="CN78" s="77">
        <v>3.3300000000000003E-2</v>
      </c>
    </row>
    <row r="79" spans="1:92" s="39" customFormat="1" ht="54.75" customHeight="1" x14ac:dyDescent="0.25">
      <c r="A79" s="115"/>
      <c r="B79" s="115"/>
      <c r="C79" s="115"/>
      <c r="D79" s="115"/>
      <c r="E79" s="115"/>
      <c r="F79" s="119"/>
      <c r="G79" s="111"/>
      <c r="H79" s="113"/>
      <c r="I79" s="113"/>
      <c r="J79" s="109"/>
      <c r="K79" s="92" t="s">
        <v>445</v>
      </c>
      <c r="L79" s="89" t="s">
        <v>107</v>
      </c>
      <c r="M79" s="111"/>
      <c r="N79" s="84" t="s">
        <v>402</v>
      </c>
      <c r="O79" s="88">
        <v>6.6600000000000006E-2</v>
      </c>
      <c r="P79" s="84" t="s">
        <v>208</v>
      </c>
      <c r="Q79" s="50">
        <v>3000000000</v>
      </c>
      <c r="R79" s="92" t="s">
        <v>209</v>
      </c>
      <c r="S79" s="83" t="s">
        <v>210</v>
      </c>
      <c r="T79" s="91" t="s">
        <v>85</v>
      </c>
      <c r="U79" s="83" t="s">
        <v>211</v>
      </c>
      <c r="V79" s="91" t="s">
        <v>87</v>
      </c>
      <c r="W79" s="89" t="s">
        <v>212</v>
      </c>
      <c r="X79" s="92" t="s">
        <v>84</v>
      </c>
      <c r="Y79" s="89" t="s">
        <v>209</v>
      </c>
      <c r="Z79" s="31">
        <v>3000000000</v>
      </c>
      <c r="AA79" s="37" t="s">
        <v>110</v>
      </c>
      <c r="AB79" s="87"/>
      <c r="AC79" s="87"/>
      <c r="AD79" s="72"/>
      <c r="AE79" s="87"/>
      <c r="AF79" s="87"/>
      <c r="AG79" s="45"/>
      <c r="AH79" s="87"/>
      <c r="AI79" s="87"/>
      <c r="AJ79" s="72"/>
      <c r="AK79" s="87"/>
      <c r="AL79" s="87"/>
      <c r="AM79" s="72">
        <v>1</v>
      </c>
      <c r="AN79" s="72">
        <v>1</v>
      </c>
      <c r="AO79" s="81"/>
      <c r="AP79" s="81"/>
      <c r="AQ79" s="81"/>
      <c r="AR79" s="81"/>
      <c r="AS79" s="81"/>
      <c r="AT79" s="81"/>
      <c r="AU79" s="81"/>
      <c r="AV79" s="81"/>
      <c r="AW79" s="81"/>
      <c r="AX79" s="81"/>
      <c r="AY79" s="81"/>
      <c r="AZ79" s="81"/>
      <c r="BA79" s="81"/>
      <c r="BB79" s="81"/>
      <c r="BC79" s="81"/>
      <c r="BD79" s="81"/>
      <c r="BE79" s="81"/>
      <c r="BF79" s="81"/>
      <c r="BG79" s="59"/>
      <c r="BH79" s="59"/>
      <c r="BI79" s="59"/>
      <c r="BJ79" s="59"/>
      <c r="BK79" s="59"/>
      <c r="BL79" s="59"/>
      <c r="BM79" s="81"/>
      <c r="BN79" s="81"/>
      <c r="BO79" s="81"/>
      <c r="BP79" s="81"/>
      <c r="BQ79" s="81"/>
      <c r="BR79" s="81"/>
      <c r="BS79" s="81"/>
      <c r="BT79" s="81"/>
      <c r="BU79" s="81"/>
      <c r="BV79" s="81"/>
      <c r="BW79" s="81"/>
      <c r="BX79" s="81"/>
      <c r="BY79" s="81"/>
      <c r="BZ79" s="81"/>
      <c r="CA79" s="81"/>
      <c r="CB79" s="81"/>
      <c r="CC79" s="81"/>
      <c r="CD79" s="81"/>
      <c r="CE79" s="59"/>
      <c r="CF79" s="59"/>
      <c r="CG79" s="59"/>
      <c r="CH79" s="81"/>
      <c r="CI79" s="81"/>
      <c r="CJ79" s="81"/>
      <c r="CK79" s="81"/>
      <c r="CL79" s="76">
        <f>(BM79+BS79)/2</f>
        <v>0</v>
      </c>
      <c r="CM79" s="76">
        <f t="shared" ref="CM79" si="59">CL79</f>
        <v>0</v>
      </c>
      <c r="CN79" s="70">
        <v>0</v>
      </c>
    </row>
    <row r="80" spans="1:92" s="39" customFormat="1" ht="109.5" customHeight="1" x14ac:dyDescent="0.25">
      <c r="A80" s="115"/>
      <c r="B80" s="115"/>
      <c r="C80" s="115"/>
      <c r="D80" s="115"/>
      <c r="E80" s="115"/>
      <c r="F80" s="119"/>
      <c r="G80" s="111"/>
      <c r="H80" s="113"/>
      <c r="I80" s="113"/>
      <c r="J80" s="109"/>
      <c r="K80" s="92" t="s">
        <v>445</v>
      </c>
      <c r="L80" s="89" t="s">
        <v>107</v>
      </c>
      <c r="M80" s="111"/>
      <c r="N80" s="84" t="s">
        <v>403</v>
      </c>
      <c r="O80" s="88">
        <v>6.6600000000000006E-2</v>
      </c>
      <c r="P80" s="38" t="s">
        <v>213</v>
      </c>
      <c r="Q80" s="50">
        <v>3000000000</v>
      </c>
      <c r="R80" s="92" t="s">
        <v>209</v>
      </c>
      <c r="S80" s="83" t="s">
        <v>214</v>
      </c>
      <c r="T80" s="92" t="s">
        <v>100</v>
      </c>
      <c r="U80" s="83" t="s">
        <v>214</v>
      </c>
      <c r="V80" s="91" t="s">
        <v>25</v>
      </c>
      <c r="W80" s="89" t="s">
        <v>212</v>
      </c>
      <c r="X80" s="92" t="s">
        <v>84</v>
      </c>
      <c r="Y80" s="89" t="s">
        <v>209</v>
      </c>
      <c r="Z80" s="31">
        <v>3000000000</v>
      </c>
      <c r="AA80" s="37" t="s">
        <v>89</v>
      </c>
      <c r="AB80" s="87"/>
      <c r="AC80" s="87"/>
      <c r="AD80" s="45">
        <v>1</v>
      </c>
      <c r="AE80" s="45"/>
      <c r="AF80" s="45"/>
      <c r="AG80" s="45">
        <v>1</v>
      </c>
      <c r="AH80" s="45"/>
      <c r="AI80" s="45"/>
      <c r="AJ80" s="45">
        <v>1</v>
      </c>
      <c r="AK80" s="45"/>
      <c r="AL80" s="45"/>
      <c r="AM80" s="45">
        <v>1</v>
      </c>
      <c r="AN80" s="45">
        <v>4</v>
      </c>
      <c r="AO80" s="81">
        <v>1</v>
      </c>
      <c r="AP80" s="81">
        <v>100</v>
      </c>
      <c r="AQ80" s="81">
        <v>25</v>
      </c>
      <c r="AR80" s="81">
        <v>25</v>
      </c>
      <c r="AS80" s="81">
        <v>25</v>
      </c>
      <c r="AT80" s="81">
        <v>25</v>
      </c>
      <c r="AU80" s="81">
        <v>1</v>
      </c>
      <c r="AV80" s="76">
        <v>1</v>
      </c>
      <c r="AW80" s="76">
        <v>0.25</v>
      </c>
      <c r="AX80" s="76">
        <v>0.25</v>
      </c>
      <c r="AY80" s="76">
        <v>0.25</v>
      </c>
      <c r="AZ80" s="76">
        <v>0.25</v>
      </c>
      <c r="BA80" s="81">
        <v>1</v>
      </c>
      <c r="BB80" s="76">
        <v>1</v>
      </c>
      <c r="BC80" s="76">
        <v>0.25</v>
      </c>
      <c r="BD80" s="76">
        <v>0.25</v>
      </c>
      <c r="BE80" s="76">
        <v>0.25</v>
      </c>
      <c r="BF80" s="76">
        <v>0.25</v>
      </c>
      <c r="BG80" s="59"/>
      <c r="BH80" s="59"/>
      <c r="BI80" s="59"/>
      <c r="BJ80" s="59"/>
      <c r="BK80" s="59"/>
      <c r="BL80" s="59"/>
      <c r="BM80" s="81">
        <v>1</v>
      </c>
      <c r="BN80" s="79">
        <f>BO80+BP80+BQ80+BR80</f>
        <v>1</v>
      </c>
      <c r="BO80" s="76">
        <v>0.25</v>
      </c>
      <c r="BP80" s="76">
        <v>0.25</v>
      </c>
      <c r="BQ80" s="76">
        <v>0.25</v>
      </c>
      <c r="BR80" s="76">
        <v>0.25</v>
      </c>
      <c r="BS80" s="81">
        <v>1</v>
      </c>
      <c r="BT80" s="79">
        <f t="shared" ref="BT80:BT81" si="60">BU80+BV80+BW80+BX80</f>
        <v>1</v>
      </c>
      <c r="BU80" s="76">
        <v>0.25</v>
      </c>
      <c r="BV80" s="76">
        <v>0.25</v>
      </c>
      <c r="BW80" s="76">
        <v>0.25</v>
      </c>
      <c r="BX80" s="76">
        <v>0.25</v>
      </c>
      <c r="BY80" s="81">
        <v>1</v>
      </c>
      <c r="BZ80" s="75">
        <f>CA80+CB80+CC80+CD80</f>
        <v>1</v>
      </c>
      <c r="CA80" s="76">
        <v>0.25</v>
      </c>
      <c r="CB80" s="76">
        <v>0.25</v>
      </c>
      <c r="CC80" s="76">
        <v>0.25</v>
      </c>
      <c r="CD80" s="76">
        <v>0.25</v>
      </c>
      <c r="CE80" s="59"/>
      <c r="CF80" s="59"/>
      <c r="CG80" s="59"/>
      <c r="CH80" s="81"/>
      <c r="CI80" s="81"/>
      <c r="CJ80" s="81"/>
      <c r="CK80" s="81"/>
      <c r="CL80" s="76">
        <f>(BM80+BS80+BY80)/3</f>
        <v>1</v>
      </c>
      <c r="CM80" s="76">
        <f>3/4</f>
        <v>0.75</v>
      </c>
      <c r="CN80" s="77">
        <v>5.0099999999999999E-2</v>
      </c>
    </row>
    <row r="81" spans="1:92" s="39" customFormat="1" ht="39" customHeight="1" x14ac:dyDescent="0.25">
      <c r="A81" s="115"/>
      <c r="B81" s="115"/>
      <c r="C81" s="115"/>
      <c r="D81" s="115"/>
      <c r="E81" s="115"/>
      <c r="F81" s="119"/>
      <c r="G81" s="111"/>
      <c r="H81" s="113"/>
      <c r="I81" s="113"/>
      <c r="J81" s="109"/>
      <c r="K81" s="92" t="s">
        <v>446</v>
      </c>
      <c r="L81" s="89" t="s">
        <v>107</v>
      </c>
      <c r="M81" s="111"/>
      <c r="N81" s="84" t="s">
        <v>404</v>
      </c>
      <c r="O81" s="88">
        <v>6.6600000000000006E-2</v>
      </c>
      <c r="P81" s="83" t="s">
        <v>215</v>
      </c>
      <c r="Q81" s="92" t="s">
        <v>84</v>
      </c>
      <c r="R81" s="92" t="s">
        <v>84</v>
      </c>
      <c r="S81" s="83" t="s">
        <v>216</v>
      </c>
      <c r="T81" s="91" t="s">
        <v>85</v>
      </c>
      <c r="U81" s="83" t="s">
        <v>217</v>
      </c>
      <c r="V81" s="91" t="s">
        <v>121</v>
      </c>
      <c r="W81" s="89" t="s">
        <v>167</v>
      </c>
      <c r="X81" s="92" t="s">
        <v>84</v>
      </c>
      <c r="Y81" s="92" t="s">
        <v>84</v>
      </c>
      <c r="Z81" s="92" t="s">
        <v>84</v>
      </c>
      <c r="AA81" s="37" t="s">
        <v>218</v>
      </c>
      <c r="AB81" s="87"/>
      <c r="AC81" s="87"/>
      <c r="AD81" s="72"/>
      <c r="AE81" s="72">
        <v>0.75</v>
      </c>
      <c r="AF81" s="87"/>
      <c r="AG81" s="72"/>
      <c r="AH81" s="87"/>
      <c r="AI81" s="72">
        <v>0.8</v>
      </c>
      <c r="AJ81" s="72"/>
      <c r="AK81" s="87"/>
      <c r="AL81" s="87"/>
      <c r="AM81" s="72">
        <v>0.8</v>
      </c>
      <c r="AN81" s="72">
        <v>0.8</v>
      </c>
      <c r="AO81" s="81"/>
      <c r="AP81" s="81"/>
      <c r="AQ81" s="81"/>
      <c r="AR81" s="81"/>
      <c r="AS81" s="81"/>
      <c r="AT81" s="81"/>
      <c r="AU81" s="79">
        <f>(75/100)*1</f>
        <v>0.75</v>
      </c>
      <c r="AV81" s="79">
        <f>AW81+AX81+AY81+AZ81</f>
        <v>1</v>
      </c>
      <c r="AW81" s="79">
        <v>0.25</v>
      </c>
      <c r="AX81" s="79">
        <v>0.25</v>
      </c>
      <c r="AY81" s="79">
        <v>0.25</v>
      </c>
      <c r="AZ81" s="79">
        <v>0.25</v>
      </c>
      <c r="BA81" s="75">
        <f>80/100</f>
        <v>0.8</v>
      </c>
      <c r="BB81" s="70">
        <v>1</v>
      </c>
      <c r="BC81" s="75">
        <v>0.25</v>
      </c>
      <c r="BD81" s="75">
        <v>0.25</v>
      </c>
      <c r="BE81" s="75">
        <v>0.25</v>
      </c>
      <c r="BF81" s="75">
        <v>0.25</v>
      </c>
      <c r="BG81" s="59"/>
      <c r="BH81" s="59"/>
      <c r="BI81" s="59"/>
      <c r="BJ81" s="59"/>
      <c r="BK81" s="59"/>
      <c r="BL81" s="59"/>
      <c r="BM81" s="79"/>
      <c r="BN81" s="76"/>
      <c r="BO81" s="76"/>
      <c r="BP81" s="76"/>
      <c r="BQ81" s="76"/>
      <c r="BR81" s="76"/>
      <c r="BS81" s="79">
        <f>75/100</f>
        <v>0.75</v>
      </c>
      <c r="BT81" s="76">
        <f t="shared" si="60"/>
        <v>1</v>
      </c>
      <c r="BU81" s="76">
        <v>0.25</v>
      </c>
      <c r="BV81" s="76">
        <v>0.25</v>
      </c>
      <c r="BW81" s="76">
        <v>0.25</v>
      </c>
      <c r="BX81" s="76">
        <v>0.25</v>
      </c>
      <c r="BY81" s="75">
        <f>80/100</f>
        <v>0.8</v>
      </c>
      <c r="BZ81" s="81">
        <f>CD81+CC81+CB81+CA81</f>
        <v>1</v>
      </c>
      <c r="CA81" s="76">
        <v>0.25</v>
      </c>
      <c r="CB81" s="76">
        <v>0.25</v>
      </c>
      <c r="CC81" s="76">
        <v>0.25</v>
      </c>
      <c r="CD81" s="76">
        <v>0.25</v>
      </c>
      <c r="CE81" s="59"/>
      <c r="CF81" s="59"/>
      <c r="CG81" s="59"/>
      <c r="CH81" s="81"/>
      <c r="CI81" s="81"/>
      <c r="CJ81" s="81"/>
      <c r="CK81" s="81"/>
      <c r="CL81" s="76">
        <v>1</v>
      </c>
      <c r="CM81" s="58">
        <v>0.33329999999999999</v>
      </c>
      <c r="CN81" s="77">
        <v>4.4400000000000002E-2</v>
      </c>
    </row>
    <row r="82" spans="1:92" s="39" customFormat="1" ht="87" customHeight="1" x14ac:dyDescent="0.25">
      <c r="A82" s="115"/>
      <c r="B82" s="115"/>
      <c r="C82" s="115"/>
      <c r="D82" s="115"/>
      <c r="E82" s="115"/>
      <c r="F82" s="119"/>
      <c r="G82" s="111"/>
      <c r="H82" s="113"/>
      <c r="I82" s="113"/>
      <c r="J82" s="109"/>
      <c r="K82" s="92" t="s">
        <v>447</v>
      </c>
      <c r="L82" s="89" t="s">
        <v>107</v>
      </c>
      <c r="M82" s="111"/>
      <c r="N82" s="84" t="s">
        <v>466</v>
      </c>
      <c r="O82" s="88">
        <v>6.6600000000000006E-2</v>
      </c>
      <c r="P82" s="83" t="s">
        <v>219</v>
      </c>
      <c r="Q82" s="92" t="s">
        <v>84</v>
      </c>
      <c r="R82" s="92" t="s">
        <v>84</v>
      </c>
      <c r="S82" s="83" t="s">
        <v>465</v>
      </c>
      <c r="T82" s="91" t="s">
        <v>85</v>
      </c>
      <c r="U82" s="83" t="s">
        <v>467</v>
      </c>
      <c r="V82" s="91" t="s">
        <v>121</v>
      </c>
      <c r="W82" s="89" t="s">
        <v>220</v>
      </c>
      <c r="X82" s="92" t="s">
        <v>84</v>
      </c>
      <c r="Y82" s="92" t="s">
        <v>84</v>
      </c>
      <c r="Z82" s="92" t="s">
        <v>84</v>
      </c>
      <c r="AA82" s="37" t="s">
        <v>89</v>
      </c>
      <c r="AB82" s="87"/>
      <c r="AC82" s="87"/>
      <c r="AD82" s="72">
        <v>0.38</v>
      </c>
      <c r="AE82" s="72"/>
      <c r="AF82" s="72"/>
      <c r="AG82" s="72">
        <v>0.3</v>
      </c>
      <c r="AH82" s="72"/>
      <c r="AI82" s="72"/>
      <c r="AJ82" s="72">
        <v>0.23</v>
      </c>
      <c r="AK82" s="72"/>
      <c r="AL82" s="72"/>
      <c r="AM82" s="72">
        <v>0.09</v>
      </c>
      <c r="AN82" s="72">
        <f>AD82+AG82+AJ82+AM82</f>
        <v>0.99999999999999989</v>
      </c>
      <c r="AO82" s="76">
        <v>0.38</v>
      </c>
      <c r="AP82" s="79">
        <f>AQ82+AR82+AS82+AT82</f>
        <v>1</v>
      </c>
      <c r="AQ82" s="79">
        <v>0.25</v>
      </c>
      <c r="AR82" s="79">
        <v>0.25</v>
      </c>
      <c r="AS82" s="79">
        <v>0.25</v>
      </c>
      <c r="AT82" s="79">
        <v>0.25</v>
      </c>
      <c r="AU82" s="57">
        <f>117/250</f>
        <v>0.46800000000000003</v>
      </c>
      <c r="AV82" s="79">
        <v>1</v>
      </c>
      <c r="AW82" s="79">
        <v>0.25</v>
      </c>
      <c r="AX82" s="79">
        <v>0.25</v>
      </c>
      <c r="AY82" s="79">
        <v>0.25</v>
      </c>
      <c r="AZ82" s="79">
        <v>0.25</v>
      </c>
      <c r="BA82" s="76">
        <v>0.48</v>
      </c>
      <c r="BB82" s="76">
        <v>1</v>
      </c>
      <c r="BC82" s="76">
        <v>0.25</v>
      </c>
      <c r="BD82" s="76">
        <v>0.25</v>
      </c>
      <c r="BE82" s="76">
        <v>0.25</v>
      </c>
      <c r="BF82" s="76">
        <v>0.25</v>
      </c>
      <c r="BG82" s="59"/>
      <c r="BH82" s="59"/>
      <c r="BI82" s="59"/>
      <c r="BJ82" s="59"/>
      <c r="BK82" s="59"/>
      <c r="BL82" s="59"/>
      <c r="BM82" s="57">
        <f>96/250</f>
        <v>0.38400000000000001</v>
      </c>
      <c r="BN82" s="76">
        <f>BO82+BP82+BQ82+BR82</f>
        <v>0.75</v>
      </c>
      <c r="BO82" s="76">
        <v>0.25</v>
      </c>
      <c r="BP82" s="76">
        <v>0.25</v>
      </c>
      <c r="BQ82" s="76">
        <v>0</v>
      </c>
      <c r="BR82" s="76">
        <v>0.25</v>
      </c>
      <c r="BS82" s="57">
        <f>117/250</f>
        <v>0.46800000000000003</v>
      </c>
      <c r="BT82" s="79">
        <f t="shared" ref="BT82" si="61">BU82+BV82+BW82+BX82</f>
        <v>1</v>
      </c>
      <c r="BU82" s="76">
        <v>0.25</v>
      </c>
      <c r="BV82" s="76">
        <v>0.25</v>
      </c>
      <c r="BW82" s="76">
        <v>0.25</v>
      </c>
      <c r="BX82" s="76">
        <v>0.25</v>
      </c>
      <c r="BY82" s="77">
        <f>121/250</f>
        <v>0.48399999999999999</v>
      </c>
      <c r="BZ82" s="75">
        <f>CA82+CB82+CC82+CD82</f>
        <v>1</v>
      </c>
      <c r="CA82" s="76">
        <v>0.25</v>
      </c>
      <c r="CB82" s="76">
        <v>0.25</v>
      </c>
      <c r="CC82" s="76">
        <v>0.25</v>
      </c>
      <c r="CD82" s="76">
        <v>0.25</v>
      </c>
      <c r="CE82" s="59"/>
      <c r="CF82" s="59"/>
      <c r="CG82" s="59"/>
      <c r="CH82" s="81"/>
      <c r="CI82" s="81"/>
      <c r="CJ82" s="81"/>
      <c r="CK82" s="81"/>
      <c r="CL82" s="76">
        <v>1</v>
      </c>
      <c r="CM82" s="76">
        <f>AD82+AG82+AJ82</f>
        <v>0.90999999999999992</v>
      </c>
      <c r="CN82" s="77">
        <v>5.0099999999999999E-2</v>
      </c>
    </row>
    <row r="83" spans="1:92" s="39" customFormat="1" ht="43.5" customHeight="1" x14ac:dyDescent="0.25">
      <c r="A83" s="115"/>
      <c r="B83" s="115"/>
      <c r="C83" s="115"/>
      <c r="D83" s="115"/>
      <c r="E83" s="115"/>
      <c r="F83" s="119"/>
      <c r="G83" s="111">
        <v>0.1</v>
      </c>
      <c r="H83" s="113"/>
      <c r="I83" s="113" t="s">
        <v>371</v>
      </c>
      <c r="J83" s="109" t="s">
        <v>97</v>
      </c>
      <c r="K83" s="92" t="s">
        <v>448</v>
      </c>
      <c r="L83" s="92" t="s">
        <v>244</v>
      </c>
      <c r="M83" s="111">
        <v>1</v>
      </c>
      <c r="N83" s="84" t="s">
        <v>405</v>
      </c>
      <c r="O83" s="82">
        <v>0.5</v>
      </c>
      <c r="P83" s="83" t="s">
        <v>222</v>
      </c>
      <c r="Q83" s="92" t="s">
        <v>84</v>
      </c>
      <c r="R83" s="92" t="s">
        <v>84</v>
      </c>
      <c r="S83" s="83" t="s">
        <v>223</v>
      </c>
      <c r="T83" s="92" t="s">
        <v>100</v>
      </c>
      <c r="U83" s="83" t="s">
        <v>223</v>
      </c>
      <c r="V83" s="91" t="s">
        <v>25</v>
      </c>
      <c r="W83" s="92" t="s">
        <v>88</v>
      </c>
      <c r="X83" s="92" t="s">
        <v>84</v>
      </c>
      <c r="Y83" s="92" t="s">
        <v>84</v>
      </c>
      <c r="Z83" s="92" t="s">
        <v>84</v>
      </c>
      <c r="AA83" s="37" t="s">
        <v>89</v>
      </c>
      <c r="AB83" s="36"/>
      <c r="AC83" s="36"/>
      <c r="AD83" s="45">
        <v>1</v>
      </c>
      <c r="AE83" s="36"/>
      <c r="AF83" s="36"/>
      <c r="AG83" s="45">
        <v>1</v>
      </c>
      <c r="AH83" s="73"/>
      <c r="AI83" s="36"/>
      <c r="AJ83" s="45">
        <v>1</v>
      </c>
      <c r="AK83" s="36"/>
      <c r="AL83" s="36"/>
      <c r="AM83" s="45">
        <v>1</v>
      </c>
      <c r="AN83" s="45">
        <v>4</v>
      </c>
      <c r="AO83" s="79">
        <f>1/1</f>
        <v>1</v>
      </c>
      <c r="AP83" s="71">
        <v>1</v>
      </c>
      <c r="AQ83" s="79">
        <v>0.25</v>
      </c>
      <c r="AR83" s="79">
        <v>0.25</v>
      </c>
      <c r="AS83" s="79">
        <v>0.25</v>
      </c>
      <c r="AT83" s="79">
        <v>0.25</v>
      </c>
      <c r="AU83" s="53">
        <v>1</v>
      </c>
      <c r="AV83" s="71">
        <f>AW83+AX83+AY83+AZ83</f>
        <v>1</v>
      </c>
      <c r="AW83" s="79">
        <v>0.25</v>
      </c>
      <c r="AX83" s="79">
        <v>0.25</v>
      </c>
      <c r="AY83" s="79">
        <v>0.25</v>
      </c>
      <c r="AZ83" s="79">
        <v>0.25</v>
      </c>
      <c r="BA83" s="89">
        <v>1</v>
      </c>
      <c r="BB83" s="67">
        <f>BC83+BD83+BE83+BF83</f>
        <v>1</v>
      </c>
      <c r="BC83" s="74">
        <v>0.25</v>
      </c>
      <c r="BD83" s="74">
        <v>0.25</v>
      </c>
      <c r="BE83" s="74">
        <v>0.25</v>
      </c>
      <c r="BF83" s="74">
        <v>0.25</v>
      </c>
      <c r="BG83" s="38"/>
      <c r="BH83" s="38"/>
      <c r="BI83" s="38"/>
      <c r="BJ83" s="38"/>
      <c r="BK83" s="38"/>
      <c r="BL83" s="38"/>
      <c r="BM83" s="53">
        <v>1</v>
      </c>
      <c r="BN83" s="71">
        <f>BO83+BP83+BQ83+BR83</f>
        <v>1</v>
      </c>
      <c r="BO83" s="71">
        <v>0.25</v>
      </c>
      <c r="BP83" s="71">
        <v>0.25</v>
      </c>
      <c r="BQ83" s="71">
        <v>0.25</v>
      </c>
      <c r="BR83" s="71">
        <v>0.25</v>
      </c>
      <c r="BS83" s="53">
        <f>1/1</f>
        <v>1</v>
      </c>
      <c r="BT83" s="79">
        <f t="shared" ref="BT83:BT84" si="62">BU83+BV83+BW83+BX83</f>
        <v>1</v>
      </c>
      <c r="BU83" s="79">
        <v>0.25</v>
      </c>
      <c r="BV83" s="79">
        <v>0.25</v>
      </c>
      <c r="BW83" s="79">
        <v>0.25</v>
      </c>
      <c r="BX83" s="79">
        <v>0.25</v>
      </c>
      <c r="BY83" s="37">
        <v>1</v>
      </c>
      <c r="BZ83" s="79">
        <f>CA83+CB83+CC83+CD83</f>
        <v>1</v>
      </c>
      <c r="CA83" s="71">
        <v>0.25</v>
      </c>
      <c r="CB83" s="71">
        <v>0.25</v>
      </c>
      <c r="CC83" s="71">
        <v>0.25</v>
      </c>
      <c r="CD83" s="71">
        <v>0.25</v>
      </c>
      <c r="CE83" s="38"/>
      <c r="CF83" s="38"/>
      <c r="CG83" s="38"/>
      <c r="CH83" s="37"/>
      <c r="CI83" s="37"/>
      <c r="CJ83" s="37"/>
      <c r="CK83" s="37"/>
      <c r="CL83" s="71">
        <v>1</v>
      </c>
      <c r="CM83" s="71">
        <f>3/4</f>
        <v>0.75</v>
      </c>
      <c r="CN83" s="57">
        <v>0.375</v>
      </c>
    </row>
    <row r="84" spans="1:92" s="39" customFormat="1" ht="54" customHeight="1" x14ac:dyDescent="0.25">
      <c r="A84" s="115"/>
      <c r="B84" s="115"/>
      <c r="C84" s="115"/>
      <c r="D84" s="115"/>
      <c r="E84" s="115"/>
      <c r="F84" s="119"/>
      <c r="G84" s="111"/>
      <c r="H84" s="113"/>
      <c r="I84" s="113"/>
      <c r="J84" s="109"/>
      <c r="K84" s="92" t="s">
        <v>449</v>
      </c>
      <c r="L84" s="92" t="s">
        <v>244</v>
      </c>
      <c r="M84" s="111"/>
      <c r="N84" s="84" t="s">
        <v>522</v>
      </c>
      <c r="O84" s="82">
        <v>0.5</v>
      </c>
      <c r="P84" s="83" t="s">
        <v>225</v>
      </c>
      <c r="Q84" s="92" t="s">
        <v>84</v>
      </c>
      <c r="R84" s="92" t="s">
        <v>84</v>
      </c>
      <c r="S84" s="83" t="s">
        <v>487</v>
      </c>
      <c r="T84" s="91" t="s">
        <v>85</v>
      </c>
      <c r="U84" s="83" t="s">
        <v>496</v>
      </c>
      <c r="V84" s="92" t="s">
        <v>87</v>
      </c>
      <c r="W84" s="89" t="s">
        <v>147</v>
      </c>
      <c r="X84" s="92" t="s">
        <v>84</v>
      </c>
      <c r="Y84" s="92" t="s">
        <v>84</v>
      </c>
      <c r="Z84" s="92" t="s">
        <v>84</v>
      </c>
      <c r="AA84" s="37" t="s">
        <v>109</v>
      </c>
      <c r="AB84" s="36"/>
      <c r="AC84" s="36"/>
      <c r="AD84" s="36"/>
      <c r="AE84" s="36"/>
      <c r="AF84" s="36"/>
      <c r="AG84" s="72">
        <v>1</v>
      </c>
      <c r="AH84" s="36"/>
      <c r="AI84" s="36"/>
      <c r="AJ84" s="36"/>
      <c r="AK84" s="36"/>
      <c r="AL84" s="36"/>
      <c r="AM84" s="72">
        <v>1</v>
      </c>
      <c r="AN84" s="72">
        <v>1</v>
      </c>
      <c r="AO84" s="81"/>
      <c r="AP84" s="81"/>
      <c r="AQ84" s="81"/>
      <c r="AR84" s="81"/>
      <c r="AS84" s="81"/>
      <c r="AT84" s="81"/>
      <c r="AU84" s="76">
        <v>1</v>
      </c>
      <c r="AV84" s="76">
        <v>1</v>
      </c>
      <c r="AW84" s="76">
        <v>0.25</v>
      </c>
      <c r="AX84" s="76">
        <v>0.25</v>
      </c>
      <c r="AY84" s="76">
        <v>0.25</v>
      </c>
      <c r="AZ84" s="76">
        <v>0.25</v>
      </c>
      <c r="BA84" s="81"/>
      <c r="BB84" s="81"/>
      <c r="BC84" s="81"/>
      <c r="BD84" s="81"/>
      <c r="BE84" s="81"/>
      <c r="BF84" s="81"/>
      <c r="BG84" s="59"/>
      <c r="BH84" s="59"/>
      <c r="BI84" s="59"/>
      <c r="BJ84" s="59"/>
      <c r="BK84" s="59"/>
      <c r="BL84" s="59"/>
      <c r="BM84" s="81"/>
      <c r="BN84" s="81"/>
      <c r="BO84" s="81"/>
      <c r="BP84" s="81"/>
      <c r="BQ84" s="81"/>
      <c r="BR84" s="81"/>
      <c r="BS84" s="76">
        <v>1</v>
      </c>
      <c r="BT84" s="79">
        <f t="shared" si="62"/>
        <v>1</v>
      </c>
      <c r="BU84" s="76">
        <v>0.25</v>
      </c>
      <c r="BV84" s="76">
        <v>0.25</v>
      </c>
      <c r="BW84" s="76">
        <v>0.25</v>
      </c>
      <c r="BX84" s="76">
        <v>0.25</v>
      </c>
      <c r="BY84" s="81"/>
      <c r="BZ84" s="81"/>
      <c r="CA84" s="81"/>
      <c r="CB84" s="81"/>
      <c r="CC84" s="81"/>
      <c r="CD84" s="81"/>
      <c r="CE84" s="59"/>
      <c r="CF84" s="59"/>
      <c r="CG84" s="59"/>
      <c r="CH84" s="81"/>
      <c r="CI84" s="81"/>
      <c r="CJ84" s="81"/>
      <c r="CK84" s="81"/>
      <c r="CL84" s="76">
        <v>1</v>
      </c>
      <c r="CM84" s="76">
        <f>CL84/2</f>
        <v>0.5</v>
      </c>
      <c r="CN84" s="70">
        <v>0.25</v>
      </c>
    </row>
    <row r="85" spans="1:92" s="42" customFormat="1" ht="54" customHeight="1" x14ac:dyDescent="0.25">
      <c r="A85" s="115"/>
      <c r="B85" s="115"/>
      <c r="C85" s="115"/>
      <c r="D85" s="115"/>
      <c r="E85" s="115"/>
      <c r="F85" s="119"/>
      <c r="G85" s="111">
        <v>0.1</v>
      </c>
      <c r="H85" s="113"/>
      <c r="I85" s="113" t="s">
        <v>372</v>
      </c>
      <c r="J85" s="109" t="s">
        <v>97</v>
      </c>
      <c r="K85" s="92" t="s">
        <v>450</v>
      </c>
      <c r="L85" s="92" t="s">
        <v>246</v>
      </c>
      <c r="M85" s="111">
        <v>1</v>
      </c>
      <c r="N85" s="83" t="s">
        <v>406</v>
      </c>
      <c r="O85" s="82">
        <v>0.5</v>
      </c>
      <c r="P85" s="83" t="s">
        <v>265</v>
      </c>
      <c r="Q85" s="92" t="s">
        <v>84</v>
      </c>
      <c r="R85" s="92" t="s">
        <v>84</v>
      </c>
      <c r="S85" s="83" t="s">
        <v>266</v>
      </c>
      <c r="T85" s="92" t="s">
        <v>100</v>
      </c>
      <c r="U85" s="83" t="s">
        <v>478</v>
      </c>
      <c r="V85" s="92" t="s">
        <v>25</v>
      </c>
      <c r="W85" s="92" t="s">
        <v>144</v>
      </c>
      <c r="X85" s="92" t="s">
        <v>84</v>
      </c>
      <c r="Y85" s="92" t="s">
        <v>84</v>
      </c>
      <c r="Z85" s="92" t="s">
        <v>84</v>
      </c>
      <c r="AA85" s="36" t="s">
        <v>110</v>
      </c>
      <c r="AB85" s="36"/>
      <c r="AC85" s="36"/>
      <c r="AD85" s="45">
        <v>1</v>
      </c>
      <c r="AE85" s="36"/>
      <c r="AF85" s="36"/>
      <c r="AG85" s="72"/>
      <c r="AH85" s="36"/>
      <c r="AI85" s="36"/>
      <c r="AJ85" s="72"/>
      <c r="AK85" s="36"/>
      <c r="AL85" s="36"/>
      <c r="AM85" s="45"/>
      <c r="AN85" s="45">
        <v>1</v>
      </c>
      <c r="AO85" s="177">
        <v>1</v>
      </c>
      <c r="AP85" s="63">
        <v>1</v>
      </c>
      <c r="AQ85" s="79">
        <v>0.25</v>
      </c>
      <c r="AR85" s="79">
        <v>0.25</v>
      </c>
      <c r="AS85" s="79">
        <v>0.25</v>
      </c>
      <c r="AT85" s="79">
        <v>0.25</v>
      </c>
      <c r="AU85" s="36"/>
      <c r="AV85" s="36"/>
      <c r="AW85" s="36"/>
      <c r="AX85" s="36"/>
      <c r="AY85" s="36"/>
      <c r="AZ85" s="36"/>
      <c r="BA85" s="36"/>
      <c r="BB85" s="36"/>
      <c r="BC85" s="36"/>
      <c r="BD85" s="36"/>
      <c r="BE85" s="36"/>
      <c r="BF85" s="36"/>
      <c r="BG85" s="87"/>
      <c r="BH85" s="87"/>
      <c r="BI85" s="87"/>
      <c r="BJ85" s="87"/>
      <c r="BK85" s="87"/>
      <c r="BL85" s="87"/>
      <c r="BM85" s="36"/>
      <c r="BN85" s="36"/>
      <c r="BO85" s="36"/>
      <c r="BP85" s="36"/>
      <c r="BQ85" s="36"/>
      <c r="BR85" s="36"/>
      <c r="BS85" s="36"/>
      <c r="BT85" s="36"/>
      <c r="BU85" s="36"/>
      <c r="BV85" s="36"/>
      <c r="BW85" s="36"/>
      <c r="BX85" s="36"/>
      <c r="BY85" s="36">
        <v>1</v>
      </c>
      <c r="BZ85" s="72">
        <v>1</v>
      </c>
      <c r="CA85" s="63">
        <v>0.25</v>
      </c>
      <c r="CB85" s="63">
        <v>0.25</v>
      </c>
      <c r="CC85" s="63">
        <v>0.25</v>
      </c>
      <c r="CD85" s="63">
        <v>0.25</v>
      </c>
      <c r="CE85" s="87"/>
      <c r="CF85" s="87"/>
      <c r="CG85" s="87"/>
      <c r="CH85" s="36"/>
      <c r="CI85" s="36"/>
      <c r="CJ85" s="36"/>
      <c r="CK85" s="36"/>
      <c r="CL85" s="175">
        <v>1</v>
      </c>
      <c r="CM85" s="180">
        <f>CL85</f>
        <v>1</v>
      </c>
      <c r="CN85" s="181">
        <v>0.5</v>
      </c>
    </row>
    <row r="86" spans="1:92" s="42" customFormat="1" ht="66.75" customHeight="1" x14ac:dyDescent="0.25">
      <c r="A86" s="115"/>
      <c r="B86" s="115"/>
      <c r="C86" s="115"/>
      <c r="D86" s="115"/>
      <c r="E86" s="115"/>
      <c r="F86" s="119"/>
      <c r="G86" s="111"/>
      <c r="H86" s="113"/>
      <c r="I86" s="113"/>
      <c r="J86" s="109"/>
      <c r="K86" s="92" t="s">
        <v>451</v>
      </c>
      <c r="L86" s="92" t="s">
        <v>107</v>
      </c>
      <c r="M86" s="111"/>
      <c r="N86" s="83" t="s">
        <v>407</v>
      </c>
      <c r="O86" s="82">
        <v>0.5</v>
      </c>
      <c r="P86" s="83" t="s">
        <v>276</v>
      </c>
      <c r="Q86" s="92" t="s">
        <v>84</v>
      </c>
      <c r="R86" s="92" t="s">
        <v>84</v>
      </c>
      <c r="S86" s="83" t="s">
        <v>352</v>
      </c>
      <c r="T86" s="92" t="s">
        <v>100</v>
      </c>
      <c r="U86" s="83" t="s">
        <v>318</v>
      </c>
      <c r="V86" s="92" t="s">
        <v>25</v>
      </c>
      <c r="W86" s="92" t="s">
        <v>179</v>
      </c>
      <c r="X86" s="92" t="s">
        <v>84</v>
      </c>
      <c r="Y86" s="92" t="s">
        <v>84</v>
      </c>
      <c r="Z86" s="92" t="s">
        <v>84</v>
      </c>
      <c r="AA86" s="36" t="s">
        <v>110</v>
      </c>
      <c r="AB86" s="36"/>
      <c r="AC86" s="36"/>
      <c r="AD86" s="72"/>
      <c r="AE86" s="36"/>
      <c r="AF86" s="36"/>
      <c r="AG86" s="72"/>
      <c r="AH86" s="36">
        <v>1</v>
      </c>
      <c r="AI86" s="36"/>
      <c r="AJ86" s="72"/>
      <c r="AK86" s="36"/>
      <c r="AL86" s="36"/>
      <c r="AM86" s="72"/>
      <c r="AN86" s="45">
        <v>1</v>
      </c>
      <c r="AO86" s="36"/>
      <c r="AP86" s="36"/>
      <c r="AQ86" s="36"/>
      <c r="AR86" s="36"/>
      <c r="AS86" s="36"/>
      <c r="AT86" s="36"/>
      <c r="AU86" s="36"/>
      <c r="AV86" s="36"/>
      <c r="AW86" s="36"/>
      <c r="AX86" s="36"/>
      <c r="AY86" s="36"/>
      <c r="AZ86" s="36"/>
      <c r="BA86" s="36">
        <v>1</v>
      </c>
      <c r="BB86" s="72">
        <v>1</v>
      </c>
      <c r="BC86" s="72">
        <v>0.25</v>
      </c>
      <c r="BD86" s="72">
        <v>0.25</v>
      </c>
      <c r="BE86" s="72">
        <v>0.25</v>
      </c>
      <c r="BF86" s="72">
        <v>0.25</v>
      </c>
      <c r="BG86" s="87"/>
      <c r="BH86" s="87"/>
      <c r="BI86" s="87"/>
      <c r="BJ86" s="87"/>
      <c r="BK86" s="87"/>
      <c r="BL86" s="87"/>
      <c r="BM86" s="36"/>
      <c r="BN86" s="36"/>
      <c r="BO86" s="36"/>
      <c r="BP86" s="36"/>
      <c r="BQ86" s="36"/>
      <c r="BR86" s="36"/>
      <c r="BS86" s="36"/>
      <c r="BT86" s="36"/>
      <c r="BU86" s="36"/>
      <c r="BV86" s="36"/>
      <c r="BW86" s="36"/>
      <c r="BX86" s="36"/>
      <c r="BY86" s="36">
        <v>1</v>
      </c>
      <c r="BZ86" s="73">
        <f>CA86+CB86+CC86+CD86</f>
        <v>1</v>
      </c>
      <c r="CA86" s="72">
        <v>0.25</v>
      </c>
      <c r="CB86" s="72">
        <v>0.25</v>
      </c>
      <c r="CC86" s="72">
        <v>0.25</v>
      </c>
      <c r="CD86" s="72">
        <v>0.25</v>
      </c>
      <c r="CE86" s="87"/>
      <c r="CF86" s="87"/>
      <c r="CG86" s="87"/>
      <c r="CH86" s="36"/>
      <c r="CI86" s="36"/>
      <c r="CJ86" s="36"/>
      <c r="CK86" s="36"/>
      <c r="CL86" s="73">
        <v>1</v>
      </c>
      <c r="CM86" s="72">
        <f>CL86</f>
        <v>1</v>
      </c>
      <c r="CN86" s="78">
        <v>0.5</v>
      </c>
    </row>
    <row r="87" spans="1:92" s="22" customFormat="1" ht="23.1" customHeight="1" x14ac:dyDescent="0.2">
      <c r="A87" s="151" t="s">
        <v>59</v>
      </c>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O87" s="152"/>
      <c r="BP87" s="152"/>
      <c r="BQ87" s="152"/>
      <c r="BR87" s="152"/>
      <c r="BS87" s="152"/>
      <c r="BT87" s="152"/>
      <c r="BU87" s="152"/>
      <c r="BV87" s="152"/>
      <c r="BW87" s="152"/>
      <c r="BX87" s="152"/>
      <c r="BY87" s="152"/>
      <c r="BZ87" s="152"/>
      <c r="CA87" s="152"/>
      <c r="CB87" s="152"/>
      <c r="CC87" s="152"/>
      <c r="CD87" s="152"/>
      <c r="CE87" s="152"/>
      <c r="CF87" s="152"/>
      <c r="CG87" s="152"/>
      <c r="CH87" s="152"/>
      <c r="CI87" s="152"/>
      <c r="CJ87" s="152"/>
      <c r="CK87" s="152"/>
      <c r="CL87" s="152"/>
      <c r="CM87" s="152"/>
      <c r="CN87" s="153"/>
    </row>
    <row r="88" spans="1:92" s="23" customFormat="1" ht="30.95" customHeight="1" x14ac:dyDescent="0.2">
      <c r="A88" s="148" t="s">
        <v>468</v>
      </c>
      <c r="B88" s="149"/>
      <c r="C88" s="149"/>
      <c r="D88" s="149"/>
      <c r="E88" s="149"/>
      <c r="F88" s="149"/>
      <c r="G88" s="149"/>
      <c r="H88" s="149"/>
      <c r="I88" s="149"/>
      <c r="J88" s="149"/>
      <c r="K88" s="149"/>
      <c r="L88" s="149"/>
      <c r="M88" s="150"/>
      <c r="N88" s="148" t="s">
        <v>469</v>
      </c>
      <c r="O88" s="149"/>
      <c r="P88" s="149"/>
      <c r="Q88" s="149"/>
      <c r="R88" s="149"/>
      <c r="S88" s="149"/>
      <c r="T88" s="149"/>
      <c r="U88" s="149"/>
      <c r="V88" s="149"/>
      <c r="W88" s="150"/>
      <c r="X88" s="154" t="s">
        <v>60</v>
      </c>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155"/>
      <c r="BV88" s="155"/>
      <c r="BW88" s="155"/>
      <c r="BX88" s="155"/>
      <c r="BY88" s="155"/>
      <c r="BZ88" s="155"/>
      <c r="CA88" s="155"/>
      <c r="CB88" s="155"/>
      <c r="CC88" s="155"/>
      <c r="CD88" s="155"/>
      <c r="CE88" s="155"/>
      <c r="CF88" s="155"/>
      <c r="CG88" s="155"/>
      <c r="CH88" s="155"/>
      <c r="CI88" s="155"/>
      <c r="CJ88" s="155"/>
      <c r="CK88" s="155"/>
      <c r="CL88" s="155"/>
      <c r="CM88" s="155"/>
      <c r="CN88" s="155"/>
    </row>
    <row r="89" spans="1:92" s="19" customFormat="1" x14ac:dyDescent="0.2">
      <c r="A89" s="156" t="s">
        <v>61</v>
      </c>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c r="BI89" s="157"/>
      <c r="BJ89" s="157"/>
      <c r="BK89" s="157"/>
      <c r="BL89" s="157"/>
      <c r="BM89" s="157"/>
      <c r="BN89" s="157"/>
      <c r="BO89" s="157"/>
      <c r="BP89" s="157"/>
      <c r="BQ89" s="157"/>
      <c r="BR89" s="157"/>
      <c r="BS89" s="157"/>
      <c r="BT89" s="157"/>
      <c r="BU89" s="157"/>
      <c r="BV89" s="157"/>
      <c r="BW89" s="157"/>
      <c r="BX89" s="157"/>
      <c r="BY89" s="157"/>
      <c r="BZ89" s="157"/>
      <c r="CA89" s="157"/>
      <c r="CB89" s="157"/>
      <c r="CC89" s="157"/>
      <c r="CD89" s="157"/>
      <c r="CE89" s="157"/>
      <c r="CF89" s="157"/>
      <c r="CG89" s="157"/>
      <c r="CH89" s="157"/>
      <c r="CI89" s="157"/>
      <c r="CJ89" s="157"/>
      <c r="CK89" s="157"/>
      <c r="CL89" s="157"/>
      <c r="CM89" s="157"/>
      <c r="CN89" s="157"/>
    </row>
    <row r="90" spans="1:92" s="19" customFormat="1" ht="15.75" customHeight="1" x14ac:dyDescent="0.25">
      <c r="A90" s="145" t="s">
        <v>62</v>
      </c>
      <c r="B90" s="146"/>
      <c r="C90" s="146"/>
      <c r="D90" s="146"/>
      <c r="E90" s="146"/>
      <c r="F90" s="146"/>
      <c r="G90" s="146"/>
      <c r="H90" s="146"/>
      <c r="I90" s="146"/>
      <c r="J90" s="146"/>
      <c r="K90" s="146"/>
      <c r="L90" s="146"/>
      <c r="M90" s="147"/>
      <c r="N90" s="145" t="s">
        <v>63</v>
      </c>
      <c r="O90" s="146"/>
      <c r="P90" s="146"/>
      <c r="Q90" s="146"/>
      <c r="R90" s="146"/>
      <c r="S90" s="146"/>
      <c r="T90" s="146"/>
      <c r="U90" s="147"/>
      <c r="V90" s="166" t="s">
        <v>64</v>
      </c>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8"/>
      <c r="BC90" s="145" t="s">
        <v>470</v>
      </c>
      <c r="BD90" s="146"/>
      <c r="BE90" s="146"/>
      <c r="BF90" s="146"/>
      <c r="BG90" s="146"/>
      <c r="BH90" s="146"/>
      <c r="BI90" s="146"/>
      <c r="BJ90" s="146"/>
      <c r="BK90" s="146"/>
      <c r="BL90" s="146"/>
      <c r="BM90" s="146"/>
      <c r="BN90" s="146"/>
      <c r="BO90" s="146"/>
      <c r="BP90" s="146"/>
      <c r="BQ90" s="146"/>
      <c r="BR90" s="146"/>
      <c r="BS90" s="146"/>
      <c r="BT90" s="146"/>
      <c r="BU90" s="146"/>
      <c r="BV90" s="146"/>
      <c r="BW90" s="146"/>
      <c r="BX90" s="146"/>
      <c r="BY90" s="146"/>
      <c r="BZ90" s="146"/>
      <c r="CA90" s="146"/>
      <c r="CB90" s="146"/>
      <c r="CC90" s="146"/>
      <c r="CD90" s="146"/>
      <c r="CE90" s="146"/>
      <c r="CF90" s="146"/>
      <c r="CG90" s="146"/>
      <c r="CH90" s="146"/>
      <c r="CI90" s="146"/>
      <c r="CJ90" s="146"/>
      <c r="CK90" s="146"/>
      <c r="CL90" s="146"/>
      <c r="CM90" s="146"/>
      <c r="CN90" s="147"/>
    </row>
    <row r="91" spans="1:92" s="19" customFormat="1" ht="24" customHeight="1" x14ac:dyDescent="0.25">
      <c r="A91" s="163">
        <v>9</v>
      </c>
      <c r="B91" s="164"/>
      <c r="C91" s="164"/>
      <c r="D91" s="164"/>
      <c r="E91" s="164"/>
      <c r="F91" s="164"/>
      <c r="G91" s="164"/>
      <c r="H91" s="164"/>
      <c r="I91" s="164"/>
      <c r="J91" s="164"/>
      <c r="K91" s="164"/>
      <c r="L91" s="164"/>
      <c r="M91" s="165"/>
      <c r="N91" s="159" t="s">
        <v>65</v>
      </c>
      <c r="O91" s="160"/>
      <c r="P91" s="160"/>
      <c r="Q91" s="160"/>
      <c r="R91" s="160"/>
      <c r="S91" s="160"/>
      <c r="T91" s="160"/>
      <c r="U91" s="161"/>
      <c r="V91" s="104" t="s">
        <v>229</v>
      </c>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6"/>
      <c r="BC91" s="107">
        <v>10</v>
      </c>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108"/>
      <c r="CJ91" s="108"/>
      <c r="CK91" s="108"/>
      <c r="CL91" s="108"/>
      <c r="CM91" s="108"/>
      <c r="CN91" s="162"/>
    </row>
    <row r="92" spans="1:92" s="19" customFormat="1" ht="29.25" customHeight="1" x14ac:dyDescent="0.25">
      <c r="A92" s="163">
        <v>10</v>
      </c>
      <c r="B92" s="164"/>
      <c r="C92" s="164"/>
      <c r="D92" s="164"/>
      <c r="E92" s="164"/>
      <c r="F92" s="164"/>
      <c r="G92" s="164"/>
      <c r="H92" s="164"/>
      <c r="I92" s="164"/>
      <c r="J92" s="164"/>
      <c r="K92" s="164"/>
      <c r="L92" s="164"/>
      <c r="M92" s="165"/>
      <c r="N92" s="159" t="s">
        <v>66</v>
      </c>
      <c r="O92" s="160"/>
      <c r="P92" s="160"/>
      <c r="Q92" s="160"/>
      <c r="R92" s="160"/>
      <c r="S92" s="160"/>
      <c r="T92" s="160"/>
      <c r="U92" s="161"/>
      <c r="V92" s="104" t="s">
        <v>67</v>
      </c>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6"/>
      <c r="BC92" s="107">
        <v>11</v>
      </c>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108"/>
      <c r="CJ92" s="108"/>
      <c r="CK92" s="108"/>
      <c r="CL92" s="108"/>
      <c r="CM92" s="108"/>
      <c r="CN92" s="162"/>
    </row>
    <row r="93" spans="1:92" s="19" customFormat="1" ht="29.25" customHeight="1" x14ac:dyDescent="0.25">
      <c r="A93" s="98">
        <v>11</v>
      </c>
      <c r="B93" s="99"/>
      <c r="C93" s="99"/>
      <c r="D93" s="99"/>
      <c r="E93" s="99"/>
      <c r="F93" s="99"/>
      <c r="G93" s="99"/>
      <c r="H93" s="99"/>
      <c r="I93" s="99"/>
      <c r="J93" s="99"/>
      <c r="K93" s="99"/>
      <c r="L93" s="99"/>
      <c r="M93" s="100"/>
      <c r="N93" s="159" t="s">
        <v>68</v>
      </c>
      <c r="O93" s="160"/>
      <c r="P93" s="160"/>
      <c r="Q93" s="160"/>
      <c r="R93" s="160"/>
      <c r="S93" s="160"/>
      <c r="T93" s="160"/>
      <c r="U93" s="161"/>
      <c r="V93" s="104">
        <v>44023</v>
      </c>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6"/>
      <c r="BC93" s="107">
        <v>12</v>
      </c>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c r="CF93" s="108"/>
      <c r="CG93" s="108"/>
      <c r="CH93" s="108"/>
      <c r="CI93" s="108"/>
      <c r="CJ93" s="108"/>
      <c r="CK93" s="108"/>
      <c r="CL93" s="108"/>
      <c r="CM93" s="108"/>
      <c r="CN93" s="162"/>
    </row>
    <row r="94" spans="1:92" s="19" customFormat="1" ht="15.75" customHeight="1" x14ac:dyDescent="0.25">
      <c r="A94" s="98">
        <v>12</v>
      </c>
      <c r="B94" s="99"/>
      <c r="C94" s="99"/>
      <c r="D94" s="99"/>
      <c r="E94" s="99"/>
      <c r="F94" s="99"/>
      <c r="G94" s="99"/>
      <c r="H94" s="99"/>
      <c r="I94" s="99"/>
      <c r="J94" s="99"/>
      <c r="K94" s="99"/>
      <c r="L94" s="99"/>
      <c r="M94" s="100"/>
      <c r="N94" s="159" t="s">
        <v>73</v>
      </c>
      <c r="O94" s="160"/>
      <c r="P94" s="160"/>
      <c r="Q94" s="160"/>
      <c r="R94" s="160"/>
      <c r="S94" s="160"/>
      <c r="T94" s="160"/>
      <c r="U94" s="161"/>
      <c r="V94" s="104">
        <v>44215</v>
      </c>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6"/>
      <c r="BC94" s="107">
        <v>13</v>
      </c>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108"/>
      <c r="CJ94" s="108"/>
      <c r="CK94" s="108"/>
      <c r="CL94" s="108"/>
      <c r="CM94" s="108"/>
      <c r="CN94" s="162"/>
    </row>
    <row r="95" spans="1:92" s="25" customFormat="1" ht="57.75" customHeight="1" x14ac:dyDescent="0.25">
      <c r="A95" s="98">
        <v>13</v>
      </c>
      <c r="B95" s="99"/>
      <c r="C95" s="99"/>
      <c r="D95" s="99"/>
      <c r="E95" s="99"/>
      <c r="F95" s="99"/>
      <c r="G95" s="99"/>
      <c r="H95" s="99"/>
      <c r="I95" s="99"/>
      <c r="J95" s="99"/>
      <c r="K95" s="99"/>
      <c r="L95" s="99"/>
      <c r="M95" s="100"/>
      <c r="N95" s="101" t="s">
        <v>471</v>
      </c>
      <c r="O95" s="102"/>
      <c r="P95" s="102"/>
      <c r="Q95" s="102"/>
      <c r="R95" s="102"/>
      <c r="S95" s="102"/>
      <c r="T95" s="102"/>
      <c r="U95" s="103"/>
      <c r="V95" s="104">
        <v>44281</v>
      </c>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6"/>
      <c r="BC95" s="107">
        <v>14</v>
      </c>
      <c r="BD95" s="108"/>
      <c r="BE95" s="108"/>
      <c r="BF95" s="108"/>
      <c r="BG95" s="108"/>
      <c r="BH95" s="108"/>
      <c r="BI95" s="108"/>
      <c r="BJ95" s="108"/>
      <c r="BK95" s="108"/>
      <c r="BL95" s="108"/>
      <c r="BM95" s="108"/>
      <c r="BN95" s="108"/>
      <c r="BO95" s="108"/>
      <c r="BP95" s="108"/>
      <c r="BQ95" s="108"/>
      <c r="BR95" s="108"/>
      <c r="BS95" s="108"/>
      <c r="BT95" s="108"/>
      <c r="BU95" s="108"/>
      <c r="BV95" s="108"/>
      <c r="BW95" s="108"/>
      <c r="BX95" s="108"/>
      <c r="BY95" s="108"/>
      <c r="BZ95" s="108"/>
      <c r="CA95" s="108"/>
      <c r="CB95" s="108"/>
      <c r="CC95" s="108"/>
      <c r="CD95" s="108"/>
      <c r="CE95" s="108"/>
      <c r="CF95" s="108"/>
      <c r="CG95" s="108"/>
      <c r="CH95" s="108"/>
      <c r="CI95" s="108"/>
      <c r="CJ95" s="108"/>
      <c r="CK95" s="108"/>
      <c r="CL95" s="108"/>
      <c r="CM95" s="108"/>
      <c r="CN95" s="108"/>
    </row>
    <row r="96" spans="1:92" s="25" customFormat="1" ht="57.75" customHeight="1" x14ac:dyDescent="0.25">
      <c r="F96" s="26"/>
      <c r="G96" s="26"/>
      <c r="H96" s="26"/>
      <c r="J96" s="26"/>
      <c r="K96" s="27"/>
      <c r="L96" s="27"/>
      <c r="M96" s="27"/>
      <c r="O96" s="28"/>
      <c r="Q96" s="24"/>
      <c r="R96" s="24"/>
      <c r="S96" s="26"/>
      <c r="T96" s="24"/>
      <c r="U96" s="26" t="s">
        <v>523</v>
      </c>
      <c r="V96" s="24"/>
      <c r="W96" s="24"/>
      <c r="X96" s="24"/>
      <c r="Y96" s="24"/>
      <c r="Z96" s="24"/>
      <c r="AA96" s="24"/>
      <c r="AB96" s="24"/>
      <c r="AC96" s="24"/>
      <c r="AD96" s="24"/>
      <c r="AE96" s="24"/>
      <c r="AF96" s="24"/>
      <c r="AG96" s="24"/>
      <c r="AH96" s="24"/>
      <c r="AI96" s="24"/>
      <c r="AJ96" s="24"/>
      <c r="AK96" s="24"/>
      <c r="AL96" s="24"/>
      <c r="AM96" s="24"/>
      <c r="AN96" s="64"/>
      <c r="AO96" s="24"/>
      <c r="AP96" s="24"/>
      <c r="AQ96" s="24"/>
      <c r="AR96" s="24"/>
      <c r="AS96" s="24"/>
      <c r="AT96" s="24"/>
      <c r="AU96" s="24"/>
      <c r="AV96" s="24"/>
      <c r="AW96" s="24"/>
      <c r="AX96" s="24"/>
      <c r="AY96" s="24"/>
      <c r="AZ96" s="24"/>
      <c r="BA96" s="24"/>
      <c r="BB96" s="24"/>
      <c r="BC96" s="24"/>
      <c r="BD96" s="24"/>
      <c r="BE96" s="24"/>
      <c r="BF96" s="24"/>
      <c r="BM96" s="24"/>
      <c r="BN96" s="24"/>
      <c r="BO96" s="24"/>
      <c r="BP96" s="24"/>
      <c r="BQ96" s="24"/>
      <c r="BR96" s="24"/>
      <c r="BS96" s="24"/>
      <c r="BT96" s="24"/>
      <c r="BU96" s="24"/>
      <c r="BV96" s="24"/>
      <c r="BW96" s="24"/>
      <c r="BX96" s="24"/>
      <c r="BY96" s="24"/>
      <c r="BZ96" s="24"/>
      <c r="CA96" s="24"/>
      <c r="CB96" s="24"/>
      <c r="CC96" s="24"/>
      <c r="CD96" s="24"/>
      <c r="CH96" s="24"/>
      <c r="CI96" s="24"/>
      <c r="CJ96" s="24"/>
      <c r="CK96" s="24"/>
    </row>
  </sheetData>
  <mergeCells count="150">
    <mergeCell ref="A6:A32"/>
    <mergeCell ref="N94:U94"/>
    <mergeCell ref="V94:BB94"/>
    <mergeCell ref="BC94:CN94"/>
    <mergeCell ref="A91:M91"/>
    <mergeCell ref="N91:U91"/>
    <mergeCell ref="V91:BB91"/>
    <mergeCell ref="BC91:CN91"/>
    <mergeCell ref="A92:M92"/>
    <mergeCell ref="N92:U92"/>
    <mergeCell ref="V92:BB92"/>
    <mergeCell ref="BC92:CN92"/>
    <mergeCell ref="A93:M93"/>
    <mergeCell ref="N93:U93"/>
    <mergeCell ref="V93:BB93"/>
    <mergeCell ref="BC93:CN93"/>
    <mergeCell ref="N90:U90"/>
    <mergeCell ref="V90:BB90"/>
    <mergeCell ref="BC90:CN90"/>
    <mergeCell ref="I55:I56"/>
    <mergeCell ref="J55:J56"/>
    <mergeCell ref="M55:M56"/>
    <mergeCell ref="F33:F50"/>
    <mergeCell ref="I41:I48"/>
    <mergeCell ref="N88:W88"/>
    <mergeCell ref="X88:CN88"/>
    <mergeCell ref="A89:CN89"/>
    <mergeCell ref="A55:A86"/>
    <mergeCell ref="B55:B86"/>
    <mergeCell ref="M85:M86"/>
    <mergeCell ref="M65:M67"/>
    <mergeCell ref="C33:C50"/>
    <mergeCell ref="D33:D50"/>
    <mergeCell ref="E33:E50"/>
    <mergeCell ref="H33:H50"/>
    <mergeCell ref="A33:A50"/>
    <mergeCell ref="B33:B50"/>
    <mergeCell ref="G33:G40"/>
    <mergeCell ref="G49:G50"/>
    <mergeCell ref="D55:D86"/>
    <mergeCell ref="E51:E86"/>
    <mergeCell ref="F55:F86"/>
    <mergeCell ref="J85:J86"/>
    <mergeCell ref="C55:C86"/>
    <mergeCell ref="I63:I64"/>
    <mergeCell ref="G55:G56"/>
    <mergeCell ref="A94:M94"/>
    <mergeCell ref="A51:A54"/>
    <mergeCell ref="B51:B54"/>
    <mergeCell ref="C51:C54"/>
    <mergeCell ref="D51:D54"/>
    <mergeCell ref="A90:M90"/>
    <mergeCell ref="M83:M84"/>
    <mergeCell ref="J63:J64"/>
    <mergeCell ref="M63:M64"/>
    <mergeCell ref="G65:G67"/>
    <mergeCell ref="A88:M88"/>
    <mergeCell ref="J57:J59"/>
    <mergeCell ref="I65:I67"/>
    <mergeCell ref="J65:J67"/>
    <mergeCell ref="I85:I86"/>
    <mergeCell ref="A87:CN87"/>
    <mergeCell ref="G52:G54"/>
    <mergeCell ref="G85:G86"/>
    <mergeCell ref="M57:M59"/>
    <mergeCell ref="M52:M54"/>
    <mergeCell ref="I52:I54"/>
    <mergeCell ref="J52:J54"/>
    <mergeCell ref="G57:G59"/>
    <mergeCell ref="I57:I59"/>
    <mergeCell ref="J31:J32"/>
    <mergeCell ref="G68:G82"/>
    <mergeCell ref="H51:H54"/>
    <mergeCell ref="I68:I82"/>
    <mergeCell ref="J68:J82"/>
    <mergeCell ref="M68:M82"/>
    <mergeCell ref="G83:G84"/>
    <mergeCell ref="I83:I84"/>
    <mergeCell ref="J83:J84"/>
    <mergeCell ref="G63:G64"/>
    <mergeCell ref="H55:H86"/>
    <mergeCell ref="G41:G48"/>
    <mergeCell ref="I49:I50"/>
    <mergeCell ref="J27:J30"/>
    <mergeCell ref="I27:I30"/>
    <mergeCell ref="F51:F54"/>
    <mergeCell ref="A1:B3"/>
    <mergeCell ref="C1:BL1"/>
    <mergeCell ref="BM1:CN3"/>
    <mergeCell ref="C2:BL2"/>
    <mergeCell ref="C3:BL3"/>
    <mergeCell ref="A4:D4"/>
    <mergeCell ref="F4:M4"/>
    <mergeCell ref="N4:W4"/>
    <mergeCell ref="X4:X5"/>
    <mergeCell ref="Y4:Y5"/>
    <mergeCell ref="Z4:Z5"/>
    <mergeCell ref="AA4:AA5"/>
    <mergeCell ref="AB4:AM4"/>
    <mergeCell ref="I10:I14"/>
    <mergeCell ref="AN4:AN5"/>
    <mergeCell ref="AO4:BL4"/>
    <mergeCell ref="BM4:CN4"/>
    <mergeCell ref="J49:J50"/>
    <mergeCell ref="M49:M50"/>
    <mergeCell ref="M33:M40"/>
    <mergeCell ref="M31:M32"/>
    <mergeCell ref="G20:G22"/>
    <mergeCell ref="G23:G25"/>
    <mergeCell ref="F10:F32"/>
    <mergeCell ref="G10:G14"/>
    <mergeCell ref="G15:G19"/>
    <mergeCell ref="G27:G30"/>
    <mergeCell ref="E10:E32"/>
    <mergeCell ref="D10:D32"/>
    <mergeCell ref="C10:C32"/>
    <mergeCell ref="I6:I9"/>
    <mergeCell ref="J6:J9"/>
    <mergeCell ref="M6:M9"/>
    <mergeCell ref="B6:B9"/>
    <mergeCell ref="C6:C9"/>
    <mergeCell ref="D6:D9"/>
    <mergeCell ref="E6:E9"/>
    <mergeCell ref="F6:F9"/>
    <mergeCell ref="G6:G9"/>
    <mergeCell ref="H6:H9"/>
    <mergeCell ref="A95:M95"/>
    <mergeCell ref="N95:U95"/>
    <mergeCell ref="V95:BB95"/>
    <mergeCell ref="BC95:CN95"/>
    <mergeCell ref="J10:J14"/>
    <mergeCell ref="J15:J19"/>
    <mergeCell ref="J41:J48"/>
    <mergeCell ref="M10:M14"/>
    <mergeCell ref="M15:M19"/>
    <mergeCell ref="M27:M30"/>
    <mergeCell ref="M41:M48"/>
    <mergeCell ref="I15:I19"/>
    <mergeCell ref="I33:I40"/>
    <mergeCell ref="J33:J40"/>
    <mergeCell ref="I20:I22"/>
    <mergeCell ref="I23:I25"/>
    <mergeCell ref="J20:J22"/>
    <mergeCell ref="M20:M22"/>
    <mergeCell ref="J23:J25"/>
    <mergeCell ref="M23:M25"/>
    <mergeCell ref="H10:H32"/>
    <mergeCell ref="B10:B32"/>
    <mergeCell ref="G31:G32"/>
    <mergeCell ref="I31:I32"/>
  </mergeCells>
  <phoneticPr fontId="19" type="noConversion"/>
  <dataValidations count="39">
    <dataValidation allowBlank="1" showInputMessage="1" showErrorMessage="1" prompt="Diligenciar el cumplimiento del reporte Total al Indicador al PAI" sqref="CM5" xr:uid="{7EB969E3-736E-C84C-A0B8-6180755A38FA}"/>
    <dataValidation allowBlank="1" showInputMessage="1" showErrorMessage="1" prompt="Diligenciar el avance del reporte del indicador dependiendo la frecuencia" sqref="CL5" xr:uid="{468E5FC1-791B-D047-9410-DC3D985C7F7F}"/>
    <dataValidation allowBlank="1" showInputMessage="1" showErrorMessage="1" prompt="Diligenciar la calificación entre 0% o 25% de acuerdo a los criterios Recopilación de datos y evidencia( PIN-MA-04) " sqref="AQ5:AT5 AW5:AZ5 BI5:BL5 BU5:BX5 CH5:CK5 BO5:BR5 CA5:CD5 BC83:BF83 BC5:BF6" xr:uid="{8CE2D843-781C-1648-8A5F-5E422AEDBAA3}"/>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BB6 BH5 BN5 BZ5 BT5 CF5 BB83" xr:uid="{1B874D0E-E2A8-F74C-854C-7FA523B1CACF}"/>
    <dataValidation allowBlank="1" showInputMessage="1" showErrorMessage="1" prompt="Diligenciar el Avance Obtenido en reporte del Indicador (PAI)" sqref="AO5 AU5 BA5:BA6 BG5 BM5 BS5 BY5 CE5 BA83" xr:uid="{14467BC1-2AC1-264B-919D-835396930996}"/>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5FFDE5DF-987C-F54F-9A56-7A668850A571}"/>
    <dataValidation allowBlank="1" showInputMessage="1" showErrorMessage="1" prompt="Diligencair el Plan Institucional Asociado" sqref="X4:X5" xr:uid="{D6EF030C-4B4A-FD45-8142-E73E6F85D816}"/>
    <dataValidation allowBlank="1" showInputMessage="1" showErrorMessage="1" prompt="Diligenciar las perspectivas del cuadro de Mando Integral( Perspectivas Usuuario/Beneficiario, Perspectiva  procesos Internos, Perspectiva  Financiera, Perspectiva Aprendizaje y Desarrollo) " sqref="L5" xr:uid="{976312D0-18A3-E548-BD01-4E6ED7514373}"/>
    <dataValidation allowBlank="1" showInputMessage="1" showErrorMessage="1" prompt="Definición clara del propósito fundamental y el contexto dentro del cual se desarrollan las actividades de la Unidad. Debe iniciar con un verbo en infinitivo." sqref="H5" xr:uid="{50B7E4BC-2829-9242-91A3-ABC96A13AA95}"/>
    <dataValidation allowBlank="1" showInputMessage="1" showErrorMessage="1" prompt="Nombre del indicador relacionado directamente con la Estrategia Institucional" sqref="J5" xr:uid="{A655F818-1AC4-8B4C-AB4E-49CA613A6B20}"/>
    <dataValidation allowBlank="1" showInputMessage="1" showErrorMessage="1" prompt="Define los cursos de acción que muestran los medios, recursos y esfuerzos para el cumplimiento de los objetivos estratégicos." sqref="I5" xr:uid="{991A135E-98B4-904C-9971-A41F86072D61}"/>
    <dataValidation allowBlank="1" showInputMessage="1" showErrorMessage="1" prompt="Indica el nombre del Pacto estipulado dentro del PND._x000a_" sqref="A5" xr:uid="{3A2F46EA-9C55-6240-A69D-682B9141FCA6}"/>
    <dataValidation allowBlank="1" showInputMessage="1" showErrorMessage="1" prompt="Indica el nombre de la línea estratégica estipulada dentro del PND. " sqref="B5" xr:uid="{C32921FF-8340-8643-87EE-731CFDA41E63}"/>
    <dataValidation allowBlank="1" showInputMessage="1" showErrorMessage="1" prompt="Indica el nombre de la estrategia estipulada dentro del PND. " sqref="D5" xr:uid="{0615ECAD-920E-CE4F-8D65-866DC991AD86}"/>
    <dataValidation allowBlank="1" showInputMessage="1" showErrorMessage="1" prompt="Establece la periocidad en que se debe realizar el reporte del indicador." sqref="AA4:AA5" xr:uid="{F50A4F94-BAB2-9843-857C-2C7DDBE6EE8B}"/>
    <dataValidation allowBlank="1" showInputMessage="1" showErrorMessage="1" prompt="Pueden ser de eficiencia, eficacia, efectividad y de producto." sqref="V5" xr:uid="{CC7296E7-59FE-004B-891E-5E9E584E55F6}"/>
    <dataValidation allowBlank="1" showInputMessage="1" showErrorMessage="1" prompt="Corresponde a la ecuación, la cual indica la forma en que se calcula el indicador" sqref="U5" xr:uid="{0198C6CB-D40A-434C-A0D4-5CE4E8BF742B}"/>
    <dataValidation allowBlank="1" showInputMessage="1" showErrorMessage="1" prompt="Es el entregable de la actividad definida" sqref="P5" xr:uid="{2BCAC7CB-A5A6-B841-8848-387468F0A09B}"/>
    <dataValidation allowBlank="1" showInputMessage="1" showErrorMessage="1" prompt="Describe la actividad que va hacer medida con el indicador. Debe iniciar con un verbo en infinitivo, ser cuantificable y clara" sqref="N5" xr:uid="{5BA5A74E-9AF9-4340-909E-13F801E62B33}"/>
    <dataValidation allowBlank="1" showInputMessage="1" showErrorMessage="1" prompt="Diligenciar el Nombre del  proceso" sqref="W5" xr:uid="{1973EB97-D0F5-994B-AF76-544A8B2E43BC}"/>
    <dataValidation allowBlank="1" showInputMessage="1" showErrorMessage="1" prompt="Describe el número al cual se encuentra asociada la actividad y aporta al objetivo estrategico y a la estrategia institucional." sqref="K5" xr:uid="{768222A9-05E0-6B4B-B043-1DE7FF01539B}"/>
    <dataValidation allowBlank="1" showInputMessage="1" showErrorMessage="1" prompt="Definición clara del propósito fundamental y el contexto dentro del cual se desarrollan las actividades de la Unidad. Debe iniciar con un verbo en infinitivo. " sqref="F5" xr:uid="{23AC8604-E9B7-944A-B875-F37446F11DDB}"/>
    <dataValidation allowBlank="1" showInputMessage="1" showErrorMessage="1" prompt="Es la ponderación porcentual de cada estrategia del Plan referente a la actividad que tiene asociada, debe dar un 100%" sqref="M5" xr:uid="{0881EE46-57C0-7C48-B3A3-6B190E3DF30A}"/>
    <dataValidation allowBlank="1" showInputMessage="1" showErrorMessage="1" prompt="Seguimiento realizado por los responsables de los planes, programas y proyectos" sqref="AO4:BL4" xr:uid="{D5F50DCB-1BC5-324E-8A64-6137E530B83E}"/>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09D280CD-89DC-4B45-BE86-D4D500804299}"/>
    <dataValidation allowBlank="1" showInputMessage="1" showErrorMessage="1" prompt="Es el porcentaje de cada estrategia con el nivel de importancia que tiene respecto al objetivo estratégico. La sumatoria de las estrategias deben ser el 100%" sqref="G5" xr:uid="{FE95FF80-A911-AB41-BFA7-6F19835B8E71}"/>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4049432F-29F3-ED4C-B188-283F7206C93A}"/>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244C1B58-3E29-BC48-BACB-7EB178B390A9}"/>
    <dataValidation allowBlank="1" showInputMessage="1" showErrorMessage="1" prompt="Establece el mes en el cual se debe hacer el reporte teniendo en cuenta la periocidad definida del indicador." sqref="AB4:AM4" xr:uid="{0B93118E-F878-A34D-BE32-B74C65420C1A}"/>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96F3C920-4B96-9A41-BB89-41A0E8071239}"/>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C65EFDC4-B462-3B4E-BCB8-C7E56220B822}"/>
    <dataValidation allowBlank="1" showInputMessage="1" showErrorMessage="1" prompt="Escribir el Monto a un proyecto de inversión asignado del indicador del PAI_x000a_Nota: Para en caso no tener presupuestoasigado diligenciar, indicar con la abreviación N/A" sqref="Q5" xr:uid="{D6FB5E7A-7C40-9647-9FEF-E3C7FA49FF8A}"/>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7EE81301-32EE-0E44-A7EB-6D25A806A30E}"/>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FC8466DC-EF00-FE46-B509-E0C935481C49}"/>
    <dataValidation allowBlank="1" showInputMessage="1" showErrorMessage="1" prompt="Diligenciar el proyecto de Inversión asociado a los planes de Decreto 612 de 2018_x000a_Nota: Para en caso no tener proyecto indicar con la abreviación N/A" sqref="Y4:Y5" xr:uid="{3ACBFBF8-FBA4-E642-AA93-C4F6F856ADC9}"/>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A5436BB3-9D4F-E945-83AC-968E10E99A5F}"/>
    <dataValidation allowBlank="1" showInputMessage="1" showErrorMessage="1" prompt="Diligenciar el nivel de cumplimiento de la estratégia del PEI" sqref="CN5" xr:uid="{CBEB24EB-ABE8-1A45-892A-449F0D5A6594}"/>
    <dataValidation allowBlank="1" showInputMessage="1" showErrorMessage="1" prompt="Diligenciar las observaciones encontradas en la califcación de seguimiento al reporte del indicador en PAI. Esta casilla es de uso interno y no es publicada en página web." sqref="CG5" xr:uid="{1695CE21-FF05-BA4F-8C03-310033512695}"/>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M4:CN4" xr:uid="{00EFD4CB-5F8B-9447-B1B3-4A0A1F6AF34F}"/>
  </dataValidations>
  <pageMargins left="0.70866141732283472" right="0.70866141732283472" top="0.74803149606299213" bottom="0.74803149606299213" header="0.31496062992125984" footer="0.31496062992125984"/>
  <pageSetup paperSize="9" scale="10" orientation="landscape" r:id="rId1"/>
  <rowBreaks count="1" manualBreakCount="1">
    <brk id="93" max="9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4E272CE16E65340A4E47CAC5D066FDB" ma:contentTypeVersion="14" ma:contentTypeDescription="Crear nuevo documento." ma:contentTypeScope="" ma:versionID="572d2b00d78d072730ec4f46fd2f46fa">
  <xsd:schema xmlns:xsd="http://www.w3.org/2001/XMLSchema" xmlns:xs="http://www.w3.org/2001/XMLSchema" xmlns:p="http://schemas.microsoft.com/office/2006/metadata/properties" xmlns:ns1="http://schemas.microsoft.com/sharepoint/v3" xmlns:ns3="1be40435-4926-459f-b780-af1004e4fc61" xmlns:ns4="512ff329-baea-4834-989d-5957ab33ade9" targetNamespace="http://schemas.microsoft.com/office/2006/metadata/properties" ma:root="true" ma:fieldsID="ce3e996bfd8e320086643baed06857c5" ns1:_="" ns3:_="" ns4:_="">
    <xsd:import namespace="http://schemas.microsoft.com/sharepoint/v3"/>
    <xsd:import namespace="1be40435-4926-459f-b780-af1004e4fc61"/>
    <xsd:import namespace="512ff329-baea-4834-989d-5957ab33ade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e40435-4926-459f-b780-af1004e4fc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2ff329-baea-4834-989d-5957ab33ade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4475B5C-BFD1-4308-A295-4228F2B97631}">
  <ds:schemaRefs>
    <ds:schemaRef ds:uri="http://schemas.microsoft.com/sharepoint/v3/contenttype/forms"/>
  </ds:schemaRefs>
</ds:datastoreItem>
</file>

<file path=customXml/itemProps2.xml><?xml version="1.0" encoding="utf-8"?>
<ds:datastoreItem xmlns:ds="http://schemas.openxmlformats.org/officeDocument/2006/customXml" ds:itemID="{E7883BFA-6FB0-45C9-BA60-F9B7D9EA9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e40435-4926-459f-b780-af1004e4fc61"/>
    <ds:schemaRef ds:uri="512ff329-baea-4834-989d-5957ab33ad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EFDD36-4F54-4951-98F6-79694297C931}">
  <ds:schemaRefs>
    <ds:schemaRef ds:uri="http://purl.org/dc/dcmitype/"/>
    <ds:schemaRef ds:uri="http://www.w3.org/XML/1998/namespace"/>
    <ds:schemaRef ds:uri="http://schemas.microsoft.com/office/2006/metadata/properties"/>
    <ds:schemaRef ds:uri="512ff329-baea-4834-989d-5957ab33ade9"/>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1be40435-4926-459f-b780-af1004e4fc61"/>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PAI 2021</vt:lpstr>
      <vt:lpstr>'PAI 2021'!Área_de_impresión</vt:lpstr>
      <vt:lpstr>'PAI 2021'!IDENTIFICADOR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Dassier Reyes Angulo</dc:creator>
  <cp:keywords/>
  <dc:description/>
  <cp:lastModifiedBy>Gina Margarita Diaz Lobo</cp:lastModifiedBy>
  <cp:revision/>
  <dcterms:created xsi:type="dcterms:W3CDTF">2019-10-11T19:32:42Z</dcterms:created>
  <dcterms:modified xsi:type="dcterms:W3CDTF">2021-12-21T21:16:19Z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0x010100D4E272CE16E65340A4E47CAC5D066FDB</vt:lpwstr>
  </property>
</Properties>
</file>