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24226"/>
  <mc:AlternateContent xmlns:mc="http://schemas.openxmlformats.org/markup-compatibility/2006">
    <mc:Choice Requires="x15">
      <x15ac:absPath xmlns:x15ac="http://schemas.microsoft.com/office/spreadsheetml/2010/11/ac" url="C:\Users\martha.castro\Documents\UNP 2022\Mapa de Riesgos 2022\MAPA DE RIESGO\"/>
    </mc:Choice>
  </mc:AlternateContent>
  <xr:revisionPtr revIDLastSave="0" documentId="13_ncr:1_{016373EB-482B-4072-8505-E2A9B4B660A5}" xr6:coauthVersionLast="45" xr6:coauthVersionMax="45" xr10:uidLastSave="{00000000-0000-0000-0000-000000000000}"/>
  <bookViews>
    <workbookView xWindow="-120" yWindow="-120" windowWidth="29040" windowHeight="15840" tabRatio="882" firstSheet="1" activeTab="2" xr2:uid="{00000000-000D-0000-FFFF-FFFF00000000}"/>
  </bookViews>
  <sheets>
    <sheet name="Intructivo" sheetId="20" r:id="rId1"/>
    <sheet name="Mapa final" sheetId="1" r:id="rId2"/>
    <sheet name="Seguimiento" sheetId="22" r:id="rId3"/>
    <sheet name="Matriz Calor Inherente" sheetId="18" r:id="rId4"/>
    <sheet name="Matriz Calor Residual" sheetId="19" r:id="rId5"/>
    <sheet name="Tabla probabilidad" sheetId="12" r:id="rId6"/>
    <sheet name="Tabla Impacto" sheetId="13" r:id="rId7"/>
    <sheet name="Tabla Valoración controles" sheetId="15" r:id="rId8"/>
    <sheet name="Criterios Riesgos de Corrupción" sheetId="21" r:id="rId9"/>
    <sheet name="Opciones Tratamiento" sheetId="16" state="hidden" r:id="rId10"/>
    <sheet name="Hoja1" sheetId="11" state="hidden" r:id="rId11"/>
  </sheets>
  <definedNames>
    <definedName name="_xlnm.Print_Area" localSheetId="1">'Mapa final'!$A$1:$AJ$72</definedName>
  </definedNames>
  <calcPr calcId="191029"/>
  <pivotCaches>
    <pivotCache cacheId="1"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22" l="1"/>
  <c r="T4" i="22"/>
  <c r="U4" i="22"/>
  <c r="T5" i="22"/>
  <c r="U5" i="22"/>
  <c r="T6" i="22"/>
  <c r="U6" i="22"/>
  <c r="T7" i="22"/>
  <c r="U7" i="22"/>
  <c r="T8" i="22"/>
  <c r="U8" i="22"/>
  <c r="T9" i="22"/>
  <c r="U9" i="22"/>
  <c r="T10" i="22"/>
  <c r="U10" i="22"/>
  <c r="T11" i="22"/>
  <c r="U11" i="22"/>
  <c r="T12" i="22"/>
  <c r="U12" i="22"/>
  <c r="T13" i="22"/>
  <c r="U13" i="22"/>
  <c r="T14" i="22"/>
  <c r="U14" i="22"/>
  <c r="T15" i="22"/>
  <c r="U15" i="22"/>
  <c r="T16" i="22"/>
  <c r="U16" i="22"/>
  <c r="T17" i="22"/>
  <c r="U17" i="22"/>
  <c r="T18" i="22"/>
  <c r="U18" i="22"/>
  <c r="T19" i="22"/>
  <c r="U19" i="22"/>
  <c r="T20" i="22"/>
  <c r="U20" i="22"/>
  <c r="T21" i="22"/>
  <c r="U21" i="22"/>
  <c r="T22" i="22"/>
  <c r="U22" i="22"/>
  <c r="T23" i="22"/>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U3" i="22"/>
  <c r="T3" i="22"/>
  <c r="D4" i="22"/>
  <c r="D5" i="22"/>
  <c r="D6" i="22"/>
  <c r="D7" i="22"/>
  <c r="D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40" i="22"/>
  <c r="D41" i="22"/>
  <c r="D42" i="22"/>
  <c r="D43" i="22"/>
  <c r="D44" i="22"/>
  <c r="D45" i="22"/>
  <c r="D46" i="22"/>
  <c r="D47" i="22"/>
  <c r="D48" i="22"/>
  <c r="D49" i="22"/>
  <c r="D50" i="22"/>
  <c r="D51" i="22"/>
  <c r="D52" i="22"/>
  <c r="D53" i="22"/>
  <c r="D54" i="22"/>
  <c r="D55" i="22"/>
  <c r="D56" i="22"/>
  <c r="D57" i="22"/>
  <c r="D58" i="22"/>
  <c r="D59" i="22"/>
  <c r="D60" i="22"/>
  <c r="D3" i="22"/>
  <c r="A9" i="22"/>
  <c r="A15" i="22"/>
  <c r="A21" i="22"/>
  <c r="A27" i="22"/>
  <c r="A37" i="22"/>
  <c r="A43" i="22"/>
  <c r="A49" i="22"/>
  <c r="A55" i="22"/>
  <c r="A3" i="22"/>
  <c r="R60" i="22"/>
  <c r="N60" i="22"/>
  <c r="O60" i="22" s="1"/>
  <c r="Q60" i="22" s="1"/>
  <c r="R59" i="22"/>
  <c r="N59" i="22"/>
  <c r="O59" i="22" s="1"/>
  <c r="Q59" i="22" s="1"/>
  <c r="R58" i="22"/>
  <c r="N58" i="22"/>
  <c r="O58" i="22" s="1"/>
  <c r="Q58" i="22" s="1"/>
  <c r="R57" i="22"/>
  <c r="N57" i="22"/>
  <c r="O57" i="22" s="1"/>
  <c r="Q57" i="22" s="1"/>
  <c r="R56" i="22"/>
  <c r="N56" i="22"/>
  <c r="O56" i="22" s="1"/>
  <c r="Q56" i="22" s="1"/>
  <c r="R55" i="22"/>
  <c r="N55" i="22"/>
  <c r="O55" i="22" s="1"/>
  <c r="Q55" i="22" s="1"/>
  <c r="R54" i="22"/>
  <c r="N54" i="22"/>
  <c r="O54" i="22" s="1"/>
  <c r="Q54" i="22" s="1"/>
  <c r="R53" i="22"/>
  <c r="N53" i="22"/>
  <c r="O53" i="22" s="1"/>
  <c r="Q53" i="22" s="1"/>
  <c r="R52" i="22"/>
  <c r="N52" i="22"/>
  <c r="O52" i="22" s="1"/>
  <c r="Q52" i="22" s="1"/>
  <c r="R51" i="22"/>
  <c r="N51" i="22"/>
  <c r="O51" i="22" s="1"/>
  <c r="Q51" i="22" s="1"/>
  <c r="R50" i="22"/>
  <c r="N50" i="22"/>
  <c r="O50" i="22" s="1"/>
  <c r="Q50" i="22" s="1"/>
  <c r="R49" i="22"/>
  <c r="N49" i="22"/>
  <c r="O49" i="22" s="1"/>
  <c r="Q49" i="22" s="1"/>
  <c r="R48" i="22"/>
  <c r="N48" i="22"/>
  <c r="O48" i="22" s="1"/>
  <c r="Q48" i="22" s="1"/>
  <c r="R47" i="22"/>
  <c r="N47" i="22"/>
  <c r="O47" i="22" s="1"/>
  <c r="Q47" i="22" s="1"/>
  <c r="R46" i="22"/>
  <c r="N46" i="22"/>
  <c r="O46" i="22" s="1"/>
  <c r="Q46" i="22" s="1"/>
  <c r="R45" i="22"/>
  <c r="N45" i="22"/>
  <c r="O45" i="22" s="1"/>
  <c r="Q45" i="22" s="1"/>
  <c r="R44" i="22"/>
  <c r="N44" i="22"/>
  <c r="O44" i="22" s="1"/>
  <c r="Q44" i="22" s="1"/>
  <c r="R43" i="22"/>
  <c r="N43" i="22"/>
  <c r="O43" i="22" s="1"/>
  <c r="Q43" i="22" s="1"/>
  <c r="R42" i="22"/>
  <c r="N42" i="22"/>
  <c r="O42" i="22" s="1"/>
  <c r="Q42" i="22" s="1"/>
  <c r="R41" i="22"/>
  <c r="N41" i="22"/>
  <c r="O41" i="22" s="1"/>
  <c r="Q41" i="22" s="1"/>
  <c r="R40" i="22"/>
  <c r="N40" i="22"/>
  <c r="O40" i="22" s="1"/>
  <c r="Q40" i="22" s="1"/>
  <c r="R39" i="22"/>
  <c r="N39" i="22"/>
  <c r="O39" i="22" s="1"/>
  <c r="Q39" i="22" s="1"/>
  <c r="R38" i="22"/>
  <c r="N38" i="22"/>
  <c r="O38" i="22" s="1"/>
  <c r="Q38" i="22" s="1"/>
  <c r="R37" i="22"/>
  <c r="N37" i="22"/>
  <c r="O37" i="22" s="1"/>
  <c r="Q37" i="22" s="1"/>
  <c r="R36" i="22"/>
  <c r="N36" i="22"/>
  <c r="O36" i="22" s="1"/>
  <c r="Q36" i="22" s="1"/>
  <c r="R35" i="22"/>
  <c r="N35" i="22"/>
  <c r="O35" i="22" s="1"/>
  <c r="Q35" i="22" s="1"/>
  <c r="R34" i="22"/>
  <c r="N34" i="22"/>
  <c r="O34" i="22" s="1"/>
  <c r="Q34" i="22" s="1"/>
  <c r="R33" i="22"/>
  <c r="N33" i="22"/>
  <c r="O33" i="22" s="1"/>
  <c r="Q33" i="22" s="1"/>
  <c r="R32" i="22"/>
  <c r="N32" i="22"/>
  <c r="O32" i="22" s="1"/>
  <c r="Q32" i="22" s="1"/>
  <c r="R31" i="22"/>
  <c r="N31" i="22"/>
  <c r="O31" i="22" s="1"/>
  <c r="Q31" i="22" s="1"/>
  <c r="R30" i="22"/>
  <c r="N30" i="22"/>
  <c r="O30" i="22" s="1"/>
  <c r="Q30" i="22" s="1"/>
  <c r="R29" i="22"/>
  <c r="N29" i="22"/>
  <c r="O29" i="22" s="1"/>
  <c r="Q29" i="22" s="1"/>
  <c r="R28" i="22"/>
  <c r="O28" i="22"/>
  <c r="Q28" i="22" s="1"/>
  <c r="N28" i="22"/>
  <c r="R27" i="22"/>
  <c r="N27" i="22"/>
  <c r="O27" i="22" s="1"/>
  <c r="Q27" i="22" s="1"/>
  <c r="R26" i="22"/>
  <c r="N26" i="22"/>
  <c r="O26" i="22" s="1"/>
  <c r="Q26" i="22" s="1"/>
  <c r="R25" i="22"/>
  <c r="N25" i="22"/>
  <c r="O25" i="22" s="1"/>
  <c r="Q25" i="22" s="1"/>
  <c r="R24" i="22"/>
  <c r="N24" i="22"/>
  <c r="O24" i="22" s="1"/>
  <c r="Q24" i="22" s="1"/>
  <c r="R23" i="22"/>
  <c r="N23" i="22"/>
  <c r="O23" i="22" s="1"/>
  <c r="Q23" i="22" s="1"/>
  <c r="R22" i="22"/>
  <c r="N22" i="22"/>
  <c r="O22" i="22" s="1"/>
  <c r="Q22" i="22" s="1"/>
  <c r="R21" i="22"/>
  <c r="N21" i="22"/>
  <c r="O21" i="22" s="1"/>
  <c r="Q21" i="22" s="1"/>
  <c r="R20" i="22"/>
  <c r="N20" i="22"/>
  <c r="O20" i="22" s="1"/>
  <c r="Q20" i="22" s="1"/>
  <c r="R19" i="22"/>
  <c r="N19" i="22"/>
  <c r="O19" i="22" s="1"/>
  <c r="Q19" i="22" s="1"/>
  <c r="R18" i="22"/>
  <c r="N18" i="22"/>
  <c r="O18" i="22" s="1"/>
  <c r="Q18" i="22" s="1"/>
  <c r="R17" i="22"/>
  <c r="N17" i="22"/>
  <c r="O17" i="22" s="1"/>
  <c r="Q17" i="22" s="1"/>
  <c r="R16" i="22"/>
  <c r="N16" i="22"/>
  <c r="O16" i="22" s="1"/>
  <c r="Q16" i="22" s="1"/>
  <c r="R15" i="22"/>
  <c r="N15" i="22"/>
  <c r="O15" i="22" s="1"/>
  <c r="Q15" i="22" s="1"/>
  <c r="R14" i="22"/>
  <c r="N14" i="22"/>
  <c r="O14" i="22" s="1"/>
  <c r="Q14" i="22" s="1"/>
  <c r="R13" i="22"/>
  <c r="N13" i="22"/>
  <c r="O13" i="22" s="1"/>
  <c r="Q13" i="22" s="1"/>
  <c r="R12" i="22"/>
  <c r="N12" i="22"/>
  <c r="O12" i="22" s="1"/>
  <c r="Q12" i="22" s="1"/>
  <c r="R11" i="22"/>
  <c r="N11" i="22"/>
  <c r="O11" i="22" s="1"/>
  <c r="Q11" i="22" s="1"/>
  <c r="R10" i="22"/>
  <c r="N10" i="22"/>
  <c r="O10" i="22" s="1"/>
  <c r="Q10" i="22" s="1"/>
  <c r="R9" i="22"/>
  <c r="N9" i="22"/>
  <c r="O9" i="22" s="1"/>
  <c r="Q9" i="22" s="1"/>
  <c r="R8" i="22"/>
  <c r="N8" i="22"/>
  <c r="O8" i="22" s="1"/>
  <c r="Q8" i="22" s="1"/>
  <c r="R7" i="22"/>
  <c r="N7" i="22"/>
  <c r="O7" i="22" s="1"/>
  <c r="Q7" i="22" s="1"/>
  <c r="R6" i="22"/>
  <c r="N6" i="22"/>
  <c r="O6" i="22" s="1"/>
  <c r="Q6" i="22" s="1"/>
  <c r="R5" i="22"/>
  <c r="N5" i="22"/>
  <c r="O5" i="22" s="1"/>
  <c r="Q5" i="22" s="1"/>
  <c r="R4" i="22"/>
  <c r="N4" i="22"/>
  <c r="O4" i="22" s="1"/>
  <c r="Q4" i="22" s="1"/>
  <c r="R3" i="22"/>
  <c r="N3" i="22"/>
  <c r="O3" i="22" s="1"/>
  <c r="Q3" i="22" s="1"/>
  <c r="K54" i="21"/>
  <c r="I54" i="21" l="1"/>
  <c r="H54" i="21" l="1"/>
  <c r="L54" i="21" l="1"/>
  <c r="L55" i="21" s="1"/>
  <c r="J54" i="21"/>
  <c r="J55" i="21" s="1"/>
  <c r="H55" i="21"/>
  <c r="F54" i="21"/>
  <c r="F55" i="21" s="1"/>
  <c r="T10" i="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66" i="1"/>
  <c r="Z66" i="1"/>
  <c r="X67" i="1" s="1"/>
  <c r="Y47" i="1"/>
  <c r="Z47" i="1"/>
  <c r="X48" i="1" s="1"/>
  <c r="Z48" i="1" s="1"/>
  <c r="X49" i="1" s="1"/>
  <c r="X43" i="1"/>
  <c r="Y35" i="1"/>
  <c r="Z35" i="1"/>
  <c r="X36" i="1" s="1"/>
  <c r="Y36" i="1" s="1"/>
  <c r="X32" i="1"/>
  <c r="Y32" i="1" s="1"/>
  <c r="X31" i="1"/>
  <c r="Y17" i="1"/>
  <c r="Z17" i="1"/>
  <c r="X18" i="1" s="1"/>
  <c r="Y18" i="1" s="1"/>
  <c r="Y48" i="1" l="1"/>
  <c r="Z36" i="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K40" i="1" l="1"/>
  <c r="L40" i="1" s="1"/>
  <c r="K28" i="1"/>
  <c r="L28" i="1" s="1"/>
  <c r="K22" i="1"/>
  <c r="L22" i="1" s="1"/>
  <c r="K52" i="1"/>
  <c r="L52" i="1" s="1"/>
  <c r="K46" i="1"/>
  <c r="L46" i="1" s="1"/>
  <c r="K34" i="1"/>
  <c r="L34" i="1" s="1"/>
  <c r="K64" i="1"/>
  <c r="L64" i="1" s="1"/>
  <c r="K58" i="1"/>
  <c r="L58" i="1" s="1"/>
  <c r="K10" i="1"/>
  <c r="L10" i="1" s="1"/>
  <c r="K16" i="1"/>
  <c r="L16" i="1" s="1"/>
  <c r="Z42" i="18" l="1"/>
  <c r="N42" i="18"/>
  <c r="AF26" i="18"/>
  <c r="N26" i="18"/>
  <c r="AF18" i="18"/>
  <c r="T10" i="18"/>
  <c r="N34" i="18"/>
  <c r="T34" i="18"/>
  <c r="T18" i="18"/>
  <c r="Z18" i="18"/>
  <c r="Z10" i="18"/>
  <c r="AL18" i="18"/>
  <c r="Z26" i="18"/>
  <c r="N58" i="1"/>
  <c r="B49" i="22" s="1"/>
  <c r="M58"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2" i="1"/>
  <c r="AJ42" i="18"/>
  <c r="AJ18" i="18"/>
  <c r="AD26" i="18"/>
  <c r="L10" i="18"/>
  <c r="AD10" i="18"/>
  <c r="X18" i="18"/>
  <c r="AD42" i="18"/>
  <c r="L18" i="18"/>
  <c r="R10" i="18"/>
  <c r="N52" i="1"/>
  <c r="B43" i="22" s="1"/>
  <c r="M64" i="1"/>
  <c r="AB64" i="1" s="1"/>
  <c r="AB36" i="18"/>
  <c r="AH12" i="18"/>
  <c r="P28" i="18"/>
  <c r="AH20" i="18"/>
  <c r="P36" i="18"/>
  <c r="V12" i="18"/>
  <c r="AH28" i="18"/>
  <c r="AB20" i="18"/>
  <c r="J12" i="18"/>
  <c r="J20" i="18"/>
  <c r="N64" i="1"/>
  <c r="B55" i="22" s="1"/>
  <c r="P44" i="18"/>
  <c r="AB44" i="18"/>
  <c r="V28" i="18"/>
  <c r="V36" i="18"/>
  <c r="J28" i="18"/>
  <c r="AH36" i="18"/>
  <c r="J44" i="18"/>
  <c r="P12" i="18"/>
  <c r="AB12" i="18"/>
  <c r="V44" i="18"/>
  <c r="AH44" i="18"/>
  <c r="V20" i="18"/>
  <c r="P20" i="18"/>
  <c r="J36" i="18"/>
  <c r="AB28" i="18"/>
  <c r="T38" i="18"/>
  <c r="AF22" i="18"/>
  <c r="N38" i="18"/>
  <c r="AF30" i="18"/>
  <c r="AL6" i="18"/>
  <c r="Z6" i="18"/>
  <c r="N22" i="1"/>
  <c r="B15" i="22" s="1"/>
  <c r="T14" i="18"/>
  <c r="T22" i="18"/>
  <c r="N6" i="18"/>
  <c r="AL30" i="18"/>
  <c r="Z22" i="18"/>
  <c r="Z14" i="18"/>
  <c r="M22" i="1"/>
  <c r="Z30" i="18"/>
  <c r="AL38" i="18"/>
  <c r="AL14" i="18"/>
  <c r="AF6" i="18"/>
  <c r="AL22" i="18"/>
  <c r="T30" i="18"/>
  <c r="Z38" i="18"/>
  <c r="AF14" i="18"/>
  <c r="N30" i="18"/>
  <c r="N14" i="18"/>
  <c r="N22" i="18"/>
  <c r="AF38" i="18"/>
  <c r="T6" i="18"/>
  <c r="M34" i="1"/>
  <c r="X32" i="18"/>
  <c r="AD32" i="18"/>
  <c r="AJ8" i="18"/>
  <c r="L16" i="18"/>
  <c r="R32" i="18"/>
  <c r="AJ32" i="18"/>
  <c r="N34" i="1"/>
  <c r="B27" i="22" s="1"/>
  <c r="R40" i="18"/>
  <c r="AJ40" i="18"/>
  <c r="AD24" i="18"/>
  <c r="AJ24" i="18"/>
  <c r="R24" i="18"/>
  <c r="AJ16" i="18"/>
  <c r="AD8" i="18"/>
  <c r="L32" i="18"/>
  <c r="L40" i="18"/>
  <c r="R16" i="18"/>
  <c r="L24" i="18"/>
  <c r="AD16" i="18"/>
  <c r="L8" i="18"/>
  <c r="R8" i="18"/>
  <c r="X40" i="18"/>
  <c r="X8" i="18"/>
  <c r="X16" i="18"/>
  <c r="AD40" i="18"/>
  <c r="X24" i="18"/>
  <c r="M28" i="1"/>
  <c r="J40" i="18"/>
  <c r="J16" i="18"/>
  <c r="P16" i="18"/>
  <c r="V8" i="18"/>
  <c r="J8" i="18"/>
  <c r="J24" i="18"/>
  <c r="AH16" i="18"/>
  <c r="AB16" i="18"/>
  <c r="AB40" i="18"/>
  <c r="P32" i="18"/>
  <c r="P40" i="18"/>
  <c r="AH24" i="18"/>
  <c r="AB32" i="18"/>
  <c r="J32" i="18"/>
  <c r="V16" i="18"/>
  <c r="V40" i="18"/>
  <c r="AH32" i="18"/>
  <c r="V24" i="18"/>
  <c r="V32" i="18"/>
  <c r="AH8" i="18"/>
  <c r="AB8" i="18"/>
  <c r="P8" i="18"/>
  <c r="N28" i="1"/>
  <c r="B21" i="22" s="1"/>
  <c r="AH40" i="18"/>
  <c r="AB24" i="18"/>
  <c r="P24" i="18"/>
  <c r="AD38" i="18"/>
  <c r="L30" i="18"/>
  <c r="AD30" i="18"/>
  <c r="AJ6" i="18"/>
  <c r="L14" i="18"/>
  <c r="L22" i="18"/>
  <c r="X6" i="18"/>
  <c r="L6" i="18"/>
  <c r="N16" i="1"/>
  <c r="B9" i="22" s="1"/>
  <c r="R38" i="18"/>
  <c r="AJ38" i="18"/>
  <c r="L38" i="18"/>
  <c r="AD6" i="18"/>
  <c r="R6" i="18"/>
  <c r="AJ30" i="18"/>
  <c r="R30" i="18"/>
  <c r="AD22" i="18"/>
  <c r="AJ14" i="18"/>
  <c r="AJ22" i="18"/>
  <c r="AD14" i="18"/>
  <c r="X38" i="18"/>
  <c r="X14" i="18"/>
  <c r="R22" i="18"/>
  <c r="X22" i="18"/>
  <c r="M16"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0" i="1"/>
  <c r="AB10" i="1" s="1"/>
  <c r="N10" i="1"/>
  <c r="B3" i="22" s="1"/>
  <c r="M46" i="1"/>
  <c r="AH34" i="18"/>
  <c r="AH42" i="18"/>
  <c r="AH18" i="18"/>
  <c r="AB10" i="18"/>
  <c r="J26" i="18"/>
  <c r="V18" i="18"/>
  <c r="V42" i="18"/>
  <c r="J42" i="18"/>
  <c r="P10" i="18"/>
  <c r="AB26" i="18"/>
  <c r="J34" i="18"/>
  <c r="J18" i="18"/>
  <c r="AH10" i="18"/>
  <c r="AB34" i="18"/>
  <c r="P26" i="18"/>
  <c r="P34" i="18"/>
  <c r="V34" i="18"/>
  <c r="AH26" i="18"/>
  <c r="J10" i="18"/>
  <c r="N46" i="1"/>
  <c r="B37" i="22" s="1"/>
  <c r="P18" i="18"/>
  <c r="AB42" i="18"/>
  <c r="V10" i="18"/>
  <c r="AB18" i="18"/>
  <c r="P42" i="18"/>
  <c r="V26" i="18"/>
  <c r="Z32" i="18"/>
  <c r="N24" i="18"/>
  <c r="AL32" i="18"/>
  <c r="AL40" i="18"/>
  <c r="N8" i="18"/>
  <c r="AF24" i="18"/>
  <c r="Z40" i="18"/>
  <c r="Z16" i="18"/>
  <c r="N32" i="18"/>
  <c r="T32" i="18"/>
  <c r="N40" i="18"/>
  <c r="T8" i="18"/>
  <c r="M40" i="1"/>
  <c r="AF32" i="18"/>
  <c r="AL8" i="18"/>
  <c r="T24" i="18"/>
  <c r="N16" i="18"/>
  <c r="T16" i="18"/>
  <c r="Z24" i="18"/>
  <c r="AF16" i="18"/>
  <c r="N40" i="1"/>
  <c r="T40" i="18"/>
  <c r="AF8" i="18"/>
  <c r="AL24" i="18"/>
  <c r="Z8" i="18"/>
  <c r="AF40" i="18"/>
  <c r="AL16" i="18"/>
  <c r="AB29" i="1" l="1"/>
  <c r="AB28" i="1"/>
  <c r="AA28" i="1" s="1"/>
  <c r="AA64" i="1"/>
  <c r="AB66" i="1"/>
  <c r="AB59" i="1"/>
  <c r="AB58" i="1"/>
  <c r="AB40" i="1"/>
  <c r="AA40" i="1" s="1"/>
  <c r="AB53" i="1"/>
  <c r="AB52" i="1"/>
  <c r="AA52" i="1" s="1"/>
  <c r="AA10" i="1"/>
  <c r="AB11" i="1"/>
  <c r="AB17" i="1"/>
  <c r="AB16" i="1"/>
  <c r="AA16" i="1" s="1"/>
  <c r="AB23" i="1"/>
  <c r="AB22" i="1"/>
  <c r="AA22" i="1" s="1"/>
  <c r="AB47" i="1"/>
  <c r="AB46" i="1"/>
  <c r="AA46" i="1" s="1"/>
  <c r="AB35" i="1"/>
  <c r="AB34" i="1"/>
  <c r="AA34" i="1" s="1"/>
  <c r="AB41" i="1" l="1"/>
  <c r="J40" i="19"/>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B36" i="19"/>
  <c r="AH16" i="19"/>
  <c r="P16" i="19"/>
  <c r="V46" i="19"/>
  <c r="J6" i="19"/>
  <c r="AB16" i="19"/>
  <c r="V26" i="19"/>
  <c r="V16" i="19"/>
  <c r="AB6" i="19"/>
  <c r="J26" i="19"/>
  <c r="P6" i="19"/>
  <c r="AH46" i="19"/>
  <c r="P46" i="19"/>
  <c r="AH26" i="19"/>
  <c r="AH36" i="19"/>
  <c r="V36" i="19"/>
  <c r="P36" i="19"/>
  <c r="V6" i="19"/>
  <c r="AH6" i="19"/>
  <c r="AB46" i="19"/>
  <c r="AB26" i="19"/>
  <c r="J16" i="19"/>
  <c r="P26" i="19"/>
  <c r="AC10" i="1"/>
  <c r="C3" i="22" s="1"/>
  <c r="J36" i="19"/>
  <c r="J46" i="19"/>
  <c r="V25" i="19"/>
  <c r="AH25" i="19"/>
  <c r="P45" i="19"/>
  <c r="AH45" i="19"/>
  <c r="AH15" i="19"/>
  <c r="AB55" i="19"/>
  <c r="J45" i="19"/>
  <c r="AH35" i="19"/>
  <c r="V45" i="19"/>
  <c r="AH55" i="19"/>
  <c r="V15" i="19"/>
  <c r="J25" i="19"/>
  <c r="V35" i="19"/>
  <c r="AC64" i="1"/>
  <c r="C55" i="22" s="1"/>
  <c r="P25" i="19"/>
  <c r="V55" i="19"/>
  <c r="J15" i="19"/>
  <c r="AB15" i="19"/>
  <c r="J35" i="19"/>
  <c r="AB35" i="19"/>
  <c r="J55" i="19"/>
  <c r="AB25" i="19"/>
  <c r="P35" i="19"/>
  <c r="P55" i="19"/>
  <c r="AB45" i="19"/>
  <c r="P15" i="19"/>
  <c r="J47" i="19"/>
  <c r="V27" i="19"/>
  <c r="AH7" i="19"/>
  <c r="P47" i="19"/>
  <c r="AB27" i="19"/>
  <c r="J17" i="19"/>
  <c r="V47" i="19"/>
  <c r="J37" i="19"/>
  <c r="AC16" i="1"/>
  <c r="C9" i="22" s="1"/>
  <c r="AB37" i="19"/>
  <c r="J27" i="19"/>
  <c r="V7" i="19"/>
  <c r="AH37" i="19"/>
  <c r="P27" i="19"/>
  <c r="AB7" i="19"/>
  <c r="P17" i="19"/>
  <c r="V17" i="19"/>
  <c r="AH47" i="19"/>
  <c r="P37" i="19"/>
  <c r="AB17" i="19"/>
  <c r="J7" i="19"/>
  <c r="V37" i="19"/>
  <c r="AH17" i="19"/>
  <c r="P7" i="19"/>
  <c r="AH27" i="19"/>
  <c r="AB47" i="19"/>
  <c r="AC52" i="1"/>
  <c r="C43" i="22" s="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C21" i="22" s="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C15" i="22" s="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B36" i="1"/>
  <c r="AA35" i="1"/>
  <c r="AA41" i="1"/>
  <c r="AB42" i="1"/>
  <c r="AA42" i="1" s="1"/>
  <c r="AB43" i="1"/>
  <c r="V32" i="19"/>
  <c r="P42" i="19"/>
  <c r="J12" i="19"/>
  <c r="J32" i="19"/>
  <c r="AB52" i="19"/>
  <c r="AC46" i="1"/>
  <c r="C37" i="22" s="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C49" i="22" s="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C27" i="22" s="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2" authorId="0" shapeId="0" xr:uid="{BCAB8A0C-EE8A-4420-95F2-8C732092F326}">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 parte del responsable</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<sst xmlns="http://schemas.openxmlformats.org/spreadsheetml/2006/main" count="1031" uniqueCount="304">
  <si>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</si>
  <si>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</si>
  <si>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</si>
  <si>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</si>
  <si>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</si>
  <si>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</si>
  <si>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</si>
  <si>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</si>
  <si>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</si>
  <si>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</si>
  <si>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</si>
  <si>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</si>
  <si>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</si>
  <si>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</si>
  <si>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</si>
  <si>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</si>
  <si>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</si>
  <si>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</si>
  <si>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</si>
  <si>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</si>
  <si>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</si>
  <si>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</si>
  <si>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</si>
  <si>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</si>
  <si>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</si>
  <si>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</si>
  <si>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</si>
  <si>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</si>
  <si>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</si>
  <si>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</si>
  <si>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</si>
  <si>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</si>
  <si>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</si>
  <si>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</si>
  <si>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</si>
  <si>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</si>
  <si>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</si>
  <si>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</si>
  <si>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</si>
  <si>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</si>
  <si>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</si>
  <si>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</si>
  <si>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</si>
  <si>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</si>
  <si>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</si>
  <si>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</si>
  <si>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</si>
  <si>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</si>
  <si>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</si>
  <si>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</si>
  <si>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</si>
  <si>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</si>
  <si>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</si>
  <si>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</si>
  <si>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</si>
  <si>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</si>
  <si>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</si>
  <si>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</si>
  <si>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</si>
  <si>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</si>
  <si>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</si>
  <si>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</si>
  <si>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</si>
  <si>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</si>
  <si>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</si>
  <si>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</si>
  <si>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</si>
  <si>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</si>
  <si>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</si>
  <si>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</si>
  <si>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</si>
  <si>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</si>
  <si>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</si>
  <si>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</si>
  <si>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</si>
  <si>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</si>
  <si>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</si>
  <si>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</si>
  <si>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</si>
  <si>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</si>
  <si>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</si>
  <si>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</si>
  <si>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</si>
  <si>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</si>
  <si>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</si>
  <si>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</si>
  <si>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</si>
  <si>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</si>
  <si>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</si>
  <si>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</si>
  <si>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</si>
  <si>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</si>
  <si>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</si>
  <si>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</si>
  <si>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</si>
  <si>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</si>
  <si>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</si>
  <si>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</si>
  <si>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</si>
  <si>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</si>
  <si>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</si>
  <si>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</si>
  <si>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</si>
  <si>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</si>
  <si>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</si>
  <si>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</si>
  <si>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</si>
  <si>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</si>
  <si>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</si>
  <si>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</si>
  <si>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</si>
  <si>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</si>
  <si>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</si>
  <si>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</si>
  <si>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</si>
  <si>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</si>
  <si>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</si>
  <si>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</si>
  <si>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</si>
  <si>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</si>
  <si>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</si>
  <si>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</si>
  <si>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</si>
  <si>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</si>
  <si>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</si>
  <si>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</si>
  <si>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</si>
  <si>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</si>
  <si>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</si>
  <si>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</si>
  <si>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</si>
  <si>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</si>
  <si>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</si>
  <si>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</si>
  <si>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</si>
  <si>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</si>
  <si>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</si>
  <si>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</si>
  <si>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</si>
  <si>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</si>
  <si>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</si>
  <si>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</si>
  <si>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</si>
  <si>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</si>
  <si>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</si>
  <si>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</si>
  <si>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</si>
  <si>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</si>
  <si>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</si>
  <si>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</si>
  <si>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</si>
  <si>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</si>
  <si>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</si>
  <si>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</si>
  <si>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</si>
  <si>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</si>
  <si>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</si>
  <si>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</si>
  <si>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</si>
  <si>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</si>
  <si>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</si>
  <si>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</si>
  <si>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</si>
  <si>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</si>
  <si>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</si>
  <si>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</si>
  <si>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</si>
  <si>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</si>
  <si>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</si>
  <si>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</si>
  <si>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</si>
  <si>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</si>
  <si>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</si>
  <si>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</si>
  <si>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</si>
  <si>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</si>
  <si>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</si>
  <si>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</si>
  <si>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</si>
  <si>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</si>
  <si>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</si>
  <si>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</si>
  <si>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</si>
  <si>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</si>
  <si>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</si>
  <si>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</si>
  <si>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</si>
  <si>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</si>
  <si>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</si>
  <si>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</si>
  <si>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</si>
  <si>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</si>
  <si>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</si>
  <si>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</si>
  <si>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</si>
  <si>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</si>
  <si>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</si>
  <si>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</si>
  <si>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</si>
  <si>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</si>
  <si>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</si>
  <si>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</si>
  <si>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</si>
  <si>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</si>
  <si>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</si>
  <si>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</si>
  <si>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</si>
  <si>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</si>
  <si>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</si>
  <si>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</si>
  <si>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</si>
  <si>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</si>
  <si>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</si>
  <si>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</si>
  <si>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DEFINICIÓN E IDENTIFICACIÓN DE RIESGOS DE CORRUPCIÓN</t>
  </si>
  <si>
    <t>Con el fin de facilitar la identificación de riesgos de corrupción y evitar que se presenten confusiones entre un riesgo de gestión y uno de corrupción, se sugiere la utilización de la matriz de definición de riesgo de corrupción porque incorpora cada uno de los componentes de su definición.
Si en la descripción del riesgo, las casillas son contestadas todas afirmativamente, se trata de un riesgo de corrupción, así:</t>
  </si>
  <si>
    <t>Determinación de Probabilidad</t>
  </si>
  <si>
    <t>Determinación de Impacto</t>
  </si>
  <si>
    <t>N°</t>
  </si>
  <si>
    <t>RIESGO 1</t>
  </si>
  <si>
    <t>RIESGO 2</t>
  </si>
  <si>
    <t>RIESGO 3</t>
  </si>
  <si>
    <t>RIESGO 4</t>
  </si>
  <si>
    <t>Si</t>
  </si>
  <si>
    <t>No</t>
  </si>
  <si>
    <t>Gestión de Administración de Bienes y Servicios</t>
  </si>
  <si>
    <t>Identificar, disponer y administrar aquellos recursos requeridos para la prestación de los servicios eficaz y eficientemente, en las cantidades y cualidades necesarias, así como las condiciones de ambiente y seguridad laboral propicias para que los riesgos asociados no se materialicen.</t>
  </si>
  <si>
    <t>Desde la recepción y tramite de los servicios de consumo por parte de las diferentes áreas hasta la realización de oportunidades de mejora documentada en los Planes de Mejoramiento.</t>
  </si>
  <si>
    <t>1.No verificar la información de los documentos soportes (facturas, ordenes de compra, actos administrativos -resoluciones-) correspondientes a la entrada de bienes en el sistema de inventarios</t>
  </si>
  <si>
    <t>No verificación de la información de los documentos soportes</t>
  </si>
  <si>
    <t>x</t>
  </si>
  <si>
    <t xml:space="preserve">1. Alto número de comparendos reportados al número de identificación de la Unidad Nacional de Perotección, por cuenta de vehículos propios  y/o a cargo de la Entidad. 
2. Alto número de comparendos reportados a la Entidad por cuenta de vehículos dados en subasta y pendientes de registro de trámite de traspaso de propiedad. </t>
  </si>
  <si>
    <t xml:space="preserve">1. Falta de pago de comparendos y/o sanciones por parte de los conductores responsables. 
2. Negativa de los Organismos de Tránsito a la exoneración de comparendos impuestos por actos de terceros y/o por cumplimiento de deber legal.
</t>
  </si>
  <si>
    <t>Posibilidad de cobro de servicios de mantenimiento de vehículos que no hacen parte del parque automotor de la Unidad Nacional de Protección.</t>
  </si>
  <si>
    <t>Posibilidad de embargo de cuentas bancarias de la Entidad por comparendos, ordenado en procesos de cobro coactivo contra la Unidad Nacional de Protección.</t>
  </si>
  <si>
    <t>Que el contratista acepte el ingreso de vehículos ajenos al parque automotor de la Entidad.</t>
  </si>
  <si>
    <t>Ingreso de vehículos sin autorización de la Entidad.</t>
  </si>
  <si>
    <t>Perdida de bienes consumibles para beneficio propio o de un tercero.</t>
  </si>
  <si>
    <t>Que no se registre un bien en el sistema de información de inventarios
Que el servidor publico se apropie de los elementos entregados por la entidad</t>
  </si>
  <si>
    <t>El Coordinador Administrativo y/o contratista de  apoyo realizar acciones para que los responsables paguen los comparendos en los Organismos de Tránsito a nivel nacional o se exonere a la Entidad de procesos contravencionales cuando así aplique.</t>
  </si>
  <si>
    <t>El Coordinador Administrativo y/o contratista de  apoyo realizar acciones de seguimiento y control con el contratista, para garantizar que los servicios y la facturación dentro del Contrato de mantenimiento correspondan al parque automotor de la UNP.</t>
  </si>
  <si>
    <t>Recepción de soportes documentales presuntamente fraudulentos o con inconsistencias en su contenido.</t>
  </si>
  <si>
    <t>1. Entrega de soportes documentales presuntamente fraudulentos o con inconsistencias en su contenido.
2. Desconocimiento de los valores del código de integridad y de la normatividad aplicable del proceso.</t>
  </si>
  <si>
    <t>Probabiliad de aprobación de legalizaciones de comisiones de servicio y autorizaciones de viaje con soportes documentales presuntamente fraudulentos para beneficio propio o de un tercero.</t>
  </si>
  <si>
    <t>Coordinador Grupo de Comisiones de Servicio y Autorizaciones de Viaje y/o servidor publico a quien el delegue aclarar mediante reuniones la responsabilidad y rigurosidad que se debe tener frente al Código de Integridad establecidos por la entidad, como a su vez la normatividad vigente en el proceso de comisiones de servicio y autorizaciones de viaje.</t>
  </si>
  <si>
    <t>Analista de comisiones corrobora y notifica los casos en los que se evidencie presuntas inconsistencias en los documentos allegados por el funcionario y/o contratista para surtir el proceso de legalización de las comisiones de servicio y /o autorizaciones de viaje al Coordinador del Grupo de Comisiones y Autorizaciones de viaje dichas inconsistencias, quien, bajo su consideración, lo remite al equipo de control y verificación para su analisis. Es importante aclarar que todo documento allegado es verificado para surtir el proceso de legalización.</t>
  </si>
  <si>
    <t>RIESGOS</t>
  </si>
  <si>
    <t>CONTROLES</t>
  </si>
  <si>
    <t>MONITOREO 1a LÍNEA DE DEFENSA</t>
  </si>
  <si>
    <t>EVALUACIÓN DE CONTROLES -  3a LÍNEA DE DEFENSA</t>
  </si>
  <si>
    <t>PLAN DE ACCIÓN TRATAMIENTO DE RIESGOS</t>
  </si>
  <si>
    <t>SEGUIMIENTO PLAN DE ACCIÓN TRATAMIENTO DE RIESGOS 1a LÍNEA DE DEFENSA</t>
  </si>
  <si>
    <t>SEGUIMIENTO PLAN DE ACCIÓN TRATAMIENTO DE RIESGOS 2a LÍNEA DE DEFENSA</t>
  </si>
  <si>
    <t>Riesgo</t>
  </si>
  <si>
    <t>Nivel Inherente</t>
  </si>
  <si>
    <t>Nivel Residual</t>
  </si>
  <si>
    <t>Controles</t>
  </si>
  <si>
    <t>Descripción Monitoreo Control</t>
  </si>
  <si>
    <t>Asignación de Responsable</t>
  </si>
  <si>
    <t>Segregación de Autoridad</t>
  </si>
  <si>
    <t>Periodicidad</t>
  </si>
  <si>
    <t>Propósito</t>
  </si>
  <si>
    <t xml:space="preserve"> Cómo se realiza la actividad de control</t>
  </si>
  <si>
    <t>Qué pasa con las observaciones o desviaciones</t>
  </si>
  <si>
    <t>Evidencia de la ejecución del control</t>
  </si>
  <si>
    <t>CALIFICACIÓN DISEÑO DEL CONTROL</t>
  </si>
  <si>
    <t>CALIFICACIÓN DE LA EJECUCIÓN DEL CONTROL</t>
  </si>
  <si>
    <t>SOLIDEZ INDIVIDUAL DEL CONTROL</t>
  </si>
  <si>
    <t>REQUIERE ACCIONES PARA FORTALECER EL CONTROL</t>
  </si>
  <si>
    <t>RECOMENDACIONES</t>
  </si>
  <si>
    <t>Descripción Seguimiento Plan Acción</t>
  </si>
  <si>
    <t>ESTADO DE CUMPLIMIENTO</t>
  </si>
  <si>
    <t>OBSERVACIONES</t>
  </si>
  <si>
    <t>Asignado</t>
  </si>
  <si>
    <t>Adecuado</t>
  </si>
  <si>
    <t>Oportuna</t>
  </si>
  <si>
    <t>Prevenir</t>
  </si>
  <si>
    <t>Confiable</t>
  </si>
  <si>
    <t>Se investigan y resuelven oportunamente</t>
  </si>
  <si>
    <t>Completa</t>
  </si>
  <si>
    <t>Fuerte</t>
  </si>
  <si>
    <t>N/A</t>
  </si>
  <si>
    <t>Probabilidad de perdida  por hurto o daño permanente de las armas de propiedad de la UNP, asignadas a los funcionarios para la prestacion de las funciones de proteccion de las subdirecciones de Proteccion y subdireccion de proteccion especializada.</t>
  </si>
  <si>
    <t>Falta de precaución y prevención de los funcionarios en el mometo de portar sus armas, no activan las medidas de autoproteccion y discrecion. Y en el momento de realizar los mantenimientos nivel usuario no toman las medidas preventiva a fin de evitar que las armas sufran golpes contra el piso u otros objetos de mayor dureza.</t>
  </si>
  <si>
    <t xml:space="preserve">1. bajo estado de alerta durante los desplazamientos  2. falta de discrecion al momento de portar el arma 3.No cumplir los procedimientos del grupo GAR </t>
  </si>
  <si>
    <t>2.El coordinador del Grupo de Armamento realizará un memorando con firma de la Secretaría General de manera semestral dirijido a los funcionarios que tienen asignadas armas de fuego y elementos de protección  donde se recava el compromiso del buen uso y ciudado de los elementos asignados.</t>
  </si>
  <si>
    <t>Realizar campañas de sensibilizacion por medio del Grupo de Comunicaciones acerca de Tips de autoprorección en los desplazamientos</t>
  </si>
  <si>
    <t>funcionario asignado</t>
  </si>
  <si>
    <t>Realizar memorando con lineamientos acerca del buen uso y cuidado de los elementos asigandos</t>
  </si>
  <si>
    <t>Enviar memorando con listado de funcionarios que no cumplieron con los procedimientos</t>
  </si>
  <si>
    <t>Coordinador Grupo de Armamento</t>
  </si>
  <si>
    <t>1.El coordinador del Grupo de Armamento enviará al Grupo de Comunicaciones solicitudes de publicaciones  mensualmente sobre camapañas de sensibilizacion sobre las vulnerabilidades en materia de seguridad ciudadana.</t>
  </si>
  <si>
    <t>3.El coordinador del Grupo de Armamento  una vez terminado cada uno de los procedimientos existentes ,extrae un listado (bimensual,semestral y anual) con los funcionarios que no cumplen con lo determinado en dichos procedimientos. Este listado se remite al Grupo de Control Interno Disciplinario para lo de su competencia.</t>
  </si>
  <si>
    <t>Falta de precaución y prevención en medidas para porte y mantenimiento de elementos de proteccion por parte de los servidores públicos de la entidad</t>
  </si>
  <si>
    <t>1. Incumplimiento del Decreto 2535/93 al portar las armas de fuego
2. No cumplir los procedimientos del grupo GAR establecidos para el uso y porte de las armas de fuego y elementos de proteccion 
3. Caidas libres de armas de fuego al momento de mantenimiento a nivel usuario</t>
  </si>
  <si>
    <t xml:space="preserve">
Probabilidad de afectación economica por hurto o daño del arma de fuego y elementos de proteccion asignados a los servidores públicos de la entidad para el cumplimiento de las funciones de protección adscritos a las subdirecciones de Proteccion y subdirección especializada de seguridad y protección.</t>
  </si>
  <si>
    <t>1. El coordinador del Grupo de Armamento enviará al Grupo de Comunicaciones solicitudes de publicaciones mensualmente sobre campañas de sensibilización sobre las vulnerabilidades en materia de seguridad y cuidado con los elementos de protección asignados.</t>
  </si>
  <si>
    <t>2. El coordinador del Grupo de Armamento realizará un plan de trabajo firmado y autorizado por la Secretaria General con vigencia de un año, en el cual se desarrollen actividades de mantenimiento, supervisión, vigilancia y revisión de las armas de fuego y elementos de protección asignados a los servidores públicos de la entidad, a fin de verificar su estado de funcionamiento y conservación, así mismo se adelantara en este plan de trabajo una campaña de sensibilización y conocimientos de los procedimientos del GAR y decreto 2535 de 1993, y se deberán firmar planillas de asistencia y compromiso del buen uso y cuidado de los elementos asignados.</t>
  </si>
  <si>
    <t>3. El coordinador del Grupo de Armamento una vez terminado cada uno de los procedimientos existentes, extrae un listado (bimensual, semestral y anual) con los Servidores Públicos que no cumplen con lo determinado en dichos procedimientos. Este listado se remite al Grupo de Control Interno Disciplinario para los procesos de su competencia.</t>
  </si>
  <si>
    <t xml:space="preserve">El Servidor Público y/o contratista designado del Grupo de Almacén General realiza la el ingreso de los bienes en el formato Comprobante Entradas de Almacén (GABS-FT-07), y antes de asentar el movimiento en el sistema verifica que la información registrada coincida con la relacionada en los soportes. </t>
  </si>
  <si>
    <t>El Servidor Público y/o Contratista designado del Grupo de Almacén General realiza inventarios de bienes consumibles en bodega(cuatrimestral)</t>
  </si>
  <si>
    <t>Posibilidad de error en el ingreso  al sistema de información  de los bienes y elementos  en el sistema de inventarios por  falta de verificación de la información registrada en los documentos soportes (facturas, órdenes de compra, actos administrativos -resoluciones-).</t>
  </si>
  <si>
    <t>El Grupo de Almacén General realiza la toma física de los inventarios de bienes devolutivos y cronograma de visitas a nivel nacional.(anual)</t>
  </si>
  <si>
    <t>Posibilidad de pérdida de  bienes  devolutivos  por falta de seguimiento de parte del Supervisor del contrato, servidor público  y/o contratista al no realizar la presentación de los bienes al momento de practicar la toma física del inventario, y perdida de bienes consumibles almacenados en la bodega del almacén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</si>
</sst>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1"/>
      <name val="Calibri"/>
      <family val="2"/>
      <scheme val="minor"/>
    </font>
    <font>
      <b/>
      <sz val="16"/>
      <color theme="1"/>
      <name val="Arial Narrow"/>
      <family val="2"/>
    </font>
    <font>
      <sz val="16"/>
      <name val="Arial"/>
      <family val="2"/>
    </font>
    <font>
      <b/>
      <sz val="16"/>
      <color rgb="FF000000"/>
      <name val="Arial Narrow"/>
      <family val="2"/>
    </font>
    <font>
      <sz val="16"/>
      <color rgb="FFFFFFFF"/>
      <name val="Arial Narrow"/>
      <family val="2"/>
    </font>
    <font>
      <b/>
      <sz val="16"/>
      <color theme="1"/>
      <name val="Calibri"/>
      <family val="2"/>
      <scheme val="minor"/>
    </font>
    <font>
      <sz val="10"/>
      <color theme="1"/>
      <name val="Arial"/>
      <family val="2"/>
    </font>
    <font>
      <b/>
      <sz val="10"/>
      <name val="Arial"/>
      <family val="2"/>
    </font>
    <font>
      <b/>
      <sz val="9"/>
      <color indexed="81"/>
      <name val="Tahoma"/>
      <family val="2"/>
    </font>
    <font>
      <sz val="9"/>
      <color indexed="81"/>
      <name val="Tahoma"/>
      <family val="2"/>
    </font>
    <font>
      <u/>
      <sz val="11"/>
      <color theme="10"/>
      <name val="Calibri"/>
      <family val="2"/>
      <scheme val="minor"/>
    </font>
    <font>
      <sz val="11"/>
      <color theme="1"/>
      <name val="Arial"/>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43FF98"/>
        <bgColor indexed="64"/>
      </patternFill>
    </fill>
    <fill>
      <patternFill patternType="solid">
        <fgColor rgb="FFFEF7CE"/>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DDFFEC"/>
        <bgColor indexed="64"/>
      </patternFill>
    </fill>
    <fill>
      <patternFill patternType="solid">
        <fgColor theme="4" tint="0.79998168889431442"/>
        <bgColor indexed="64"/>
      </patternFill>
    </fill>
  </fills>
  <borders count="7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5" fillId="0" borderId="0" applyFont="0" applyFill="0" applyBorder="0" applyAlignment="0" applyProtection="0"/>
    <xf numFmtId="0" fontId="48" fillId="0" borderId="0"/>
    <xf numFmtId="0" fontId="49" fillId="0" borderId="0"/>
    <xf numFmtId="0" fontId="5" fillId="0" borderId="0"/>
    <xf numFmtId="0" fontId="69" fillId="0" borderId="0" applyNumberFormat="0" applyFill="0" applyBorder="0" applyAlignment="0" applyProtection="0"/>
  </cellStyleXfs>
  <cellXfs count="45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164" fontId="1" fillId="9" borderId="2" xfId="1" applyNumberFormat="1" applyFont="1" applyFill="1" applyBorder="1" applyAlignment="1">
      <alignment horizontal="center"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14" fontId="1" fillId="0" borderId="2" xfId="0" applyNumberFormat="1" applyFont="1" applyBorder="1" applyAlignment="1" applyProtection="1">
      <alignment horizontal="center" vertical="center" wrapText="1"/>
      <protection locked="0"/>
    </xf>
    <xf numFmtId="0" fontId="59" fillId="0" borderId="0" xfId="0" applyFont="1"/>
    <xf numFmtId="0" fontId="0" fillId="0" borderId="0" xfId="0" applyAlignment="1">
      <alignment horizontal="center"/>
    </xf>
    <xf numFmtId="0" fontId="60" fillId="0" borderId="0" xfId="0" applyFont="1" applyAlignment="1">
      <alignment horizontal="center" vertical="center"/>
    </xf>
    <xf numFmtId="0" fontId="17" fillId="3" borderId="0" xfId="0" applyFont="1" applyFill="1"/>
    <xf numFmtId="0" fontId="61" fillId="0" borderId="0" xfId="0" applyFont="1" applyAlignment="1">
      <alignment horizontal="center" vertical="center" wrapText="1"/>
    </xf>
    <xf numFmtId="0" fontId="62" fillId="6" borderId="0" xfId="0" applyFont="1" applyFill="1" applyAlignment="1">
      <alignment horizontal="center" vertical="center" wrapText="1" readingOrder="1"/>
    </xf>
    <xf numFmtId="0" fontId="13" fillId="5" borderId="11" xfId="0" applyFont="1" applyFill="1" applyBorder="1" applyAlignment="1">
      <alignment horizontal="center" vertical="center" wrapText="1" readingOrder="1"/>
    </xf>
    <xf numFmtId="0" fontId="13" fillId="0" borderId="11" xfId="0" applyFont="1" applyBorder="1" applyAlignment="1">
      <alignment horizontal="justify" vertical="center" wrapText="1" readingOrder="1"/>
    </xf>
    <xf numFmtId="9" fontId="13" fillId="0" borderId="11" xfId="0" applyNumberFormat="1" applyFont="1" applyBorder="1" applyAlignment="1">
      <alignment horizontal="center" vertical="center" wrapText="1" readingOrder="1"/>
    </xf>
    <xf numFmtId="9" fontId="13" fillId="0" borderId="0" xfId="0" applyNumberFormat="1" applyFont="1" applyAlignment="1">
      <alignment horizontal="center" vertical="center" wrapText="1" readingOrder="1"/>
    </xf>
    <xf numFmtId="0" fontId="13" fillId="7" borderId="1" xfId="0" applyFont="1" applyFill="1" applyBorder="1" applyAlignment="1">
      <alignment horizontal="center" vertical="center" wrapText="1" readingOrder="1"/>
    </xf>
    <xf numFmtId="0" fontId="13" fillId="0" borderId="1" xfId="0" applyFont="1" applyBorder="1" applyAlignment="1">
      <alignment horizontal="justify" vertical="center" wrapText="1" readingOrder="1"/>
    </xf>
    <xf numFmtId="9" fontId="13" fillId="0" borderId="1" xfId="0" applyNumberFormat="1" applyFont="1" applyBorder="1" applyAlignment="1">
      <alignment horizontal="center" vertical="center" wrapText="1" readingOrder="1"/>
    </xf>
    <xf numFmtId="0" fontId="13" fillId="4" borderId="1" xfId="0" applyFont="1" applyFill="1" applyBorder="1" applyAlignment="1">
      <alignment horizontal="center" vertical="center" wrapText="1" readingOrder="1"/>
    </xf>
    <xf numFmtId="0" fontId="13" fillId="8" borderId="1" xfId="0" applyFont="1" applyFill="1" applyBorder="1" applyAlignment="1">
      <alignment horizontal="center" vertical="center" wrapText="1" readingOrder="1"/>
    </xf>
    <xf numFmtId="0" fontId="63" fillId="9" borderId="1" xfId="0" applyFont="1" applyFill="1" applyBorder="1" applyAlignment="1">
      <alignment horizontal="center" vertical="center" wrapText="1" readingOrder="1"/>
    </xf>
    <xf numFmtId="0" fontId="59" fillId="0" borderId="33" xfId="0" applyFont="1" applyBorder="1" applyAlignment="1">
      <alignment horizontal="center"/>
    </xf>
    <xf numFmtId="0" fontId="59" fillId="0" borderId="33" xfId="0" applyFont="1" applyBorder="1" applyAlignment="1">
      <alignment horizontal="center" vertical="center"/>
    </xf>
    <xf numFmtId="0" fontId="0" fillId="0" borderId="33" xfId="0" applyBorder="1" applyAlignment="1">
      <alignment horizontal="center"/>
    </xf>
    <xf numFmtId="0" fontId="64" fillId="0" borderId="33" xfId="0" applyFont="1" applyBorder="1" applyAlignment="1">
      <alignment horizontal="center" vertical="center"/>
    </xf>
    <xf numFmtId="0" fontId="65" fillId="0" borderId="33" xfId="0" applyFont="1" applyBorder="1" applyAlignment="1" applyProtection="1">
      <alignment horizontal="justify" vertical="center" wrapText="1"/>
      <protection locked="0"/>
    </xf>
    <xf numFmtId="0" fontId="59" fillId="0" borderId="33" xfId="0" applyFont="1" applyBorder="1" applyAlignment="1">
      <alignment horizontal="center" vertical="center" wrapText="1"/>
    </xf>
    <xf numFmtId="0" fontId="0" fillId="0" borderId="0" xfId="0" applyAlignment="1">
      <alignment vertical="center" wrapText="1"/>
    </xf>
    <xf numFmtId="0" fontId="66" fillId="19" borderId="33" xfId="0" applyFont="1" applyFill="1" applyBorder="1" applyAlignment="1">
      <alignment horizontal="center" vertical="center" wrapText="1"/>
    </xf>
    <xf numFmtId="0" fontId="66" fillId="16" borderId="33" xfId="0" applyFont="1" applyFill="1" applyBorder="1" applyAlignment="1">
      <alignment horizontal="center" vertical="center" wrapText="1"/>
    </xf>
    <xf numFmtId="0" fontId="66" fillId="17" borderId="33" xfId="0" applyFont="1" applyFill="1" applyBorder="1" applyAlignment="1">
      <alignment horizontal="center" vertical="center" wrapText="1"/>
    </xf>
    <xf numFmtId="0" fontId="66" fillId="18" borderId="33" xfId="0" applyFont="1" applyFill="1" applyBorder="1" applyAlignment="1">
      <alignment horizontal="center" vertical="center" wrapText="1"/>
    </xf>
    <xf numFmtId="0" fontId="0" fillId="0" borderId="33" xfId="0" applyBorder="1" applyAlignment="1">
      <alignment horizontal="center" vertical="center" wrapText="1"/>
    </xf>
    <xf numFmtId="0" fontId="0" fillId="20" borderId="33" xfId="0" applyFill="1" applyBorder="1" applyAlignment="1">
      <alignment horizontal="center" vertical="center"/>
    </xf>
    <xf numFmtId="0" fontId="0" fillId="0" borderId="33" xfId="0" applyBorder="1" applyAlignment="1">
      <alignment horizontal="center" vertical="center"/>
    </xf>
    <xf numFmtId="1" fontId="66" fillId="0" borderId="33" xfId="0" applyNumberFormat="1" applyFont="1" applyBorder="1" applyAlignment="1">
      <alignment horizontal="left" vertical="center" wrapText="1"/>
    </xf>
    <xf numFmtId="0" fontId="48" fillId="0" borderId="33" xfId="0" applyFont="1" applyBorder="1" applyAlignment="1" applyProtection="1">
      <alignment horizontal="center" vertical="center" wrapText="1"/>
      <protection locked="0"/>
    </xf>
    <xf numFmtId="0" fontId="48" fillId="0" borderId="33" xfId="0" applyFont="1" applyBorder="1" applyAlignment="1" applyProtection="1">
      <alignment horizontal="left" vertical="center" wrapText="1"/>
      <protection locked="0"/>
    </xf>
    <xf numFmtId="14" fontId="0" fillId="0" borderId="33" xfId="0" applyNumberFormat="1" applyBorder="1" applyAlignment="1">
      <alignment horizontal="center" vertical="center" wrapText="1"/>
    </xf>
    <xf numFmtId="0" fontId="0" fillId="0" borderId="33" xfId="0" applyBorder="1" applyAlignment="1">
      <alignment horizontal="left" vertical="center"/>
    </xf>
    <xf numFmtId="0" fontId="0" fillId="0" borderId="0" xfId="0" applyAlignment="1">
      <alignment horizontal="left" vertical="center"/>
    </xf>
    <xf numFmtId="0" fontId="0" fillId="20" borderId="33" xfId="0" applyFill="1" applyBorder="1"/>
    <xf numFmtId="0" fontId="0" fillId="0" borderId="33" xfId="0" applyBorder="1"/>
    <xf numFmtId="0" fontId="0" fillId="20" borderId="33" xfId="0" applyFill="1" applyBorder="1" applyAlignment="1">
      <alignment horizontal="left" vertical="center" wrapText="1"/>
    </xf>
    <xf numFmtId="0" fontId="0" fillId="20" borderId="33" xfId="0" applyFill="1" applyBorder="1" applyAlignment="1">
      <alignment vertical="center" wrapText="1"/>
    </xf>
    <xf numFmtId="0" fontId="69" fillId="20" borderId="33" xfId="5" applyFill="1" applyBorder="1" applyAlignment="1">
      <alignment vertical="center" wrapText="1"/>
    </xf>
    <xf numFmtId="0" fontId="0" fillId="20" borderId="33" xfId="0" applyFill="1" applyBorder="1" applyAlignment="1">
      <alignment horizontal="justify" vertical="center" wrapText="1"/>
    </xf>
    <xf numFmtId="0" fontId="0" fillId="0" borderId="33" xfId="0" applyFill="1" applyBorder="1" applyAlignment="1">
      <alignment horizontal="justify" vertical="center" wrapText="1"/>
    </xf>
    <xf numFmtId="0" fontId="0" fillId="21" borderId="33" xfId="0" applyFill="1" applyBorder="1" applyAlignment="1">
      <alignment horizontal="center" vertical="center" wrapText="1"/>
    </xf>
    <xf numFmtId="0" fontId="70" fillId="0" borderId="0" xfId="0" applyFont="1" applyAlignment="1" applyProtection="1">
      <alignment horizontal="justify" vertical="center"/>
      <protection locked="0"/>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1" fillId="3" borderId="0"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 fillId="0" borderId="4" xfId="0" quotePrefix="1" applyFont="1" applyBorder="1" applyAlignment="1" applyProtection="1">
      <alignment horizontal="center" vertical="center" wrapText="1"/>
      <protection locked="0"/>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0" fillId="0" borderId="33" xfId="0" applyBorder="1" applyAlignment="1">
      <alignment horizontal="center" vertical="center" wrapText="1"/>
    </xf>
    <xf numFmtId="0" fontId="59" fillId="18" borderId="33" xfId="0" applyFont="1" applyFill="1" applyBorder="1" applyAlignment="1">
      <alignment horizontal="center" vertical="center" wrapText="1"/>
    </xf>
    <xf numFmtId="0" fontId="59" fillId="0" borderId="33" xfId="0" applyFont="1" applyBorder="1" applyAlignment="1">
      <alignment horizontal="center" vertical="center" wrapText="1"/>
    </xf>
    <xf numFmtId="0" fontId="59" fillId="16" borderId="33"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77" xfId="0" applyFont="1" applyFill="1" applyBorder="1" applyAlignment="1">
      <alignment horizontal="center" vertical="center" wrapText="1"/>
    </xf>
    <xf numFmtId="0" fontId="59" fillId="17" borderId="78" xfId="0" applyFont="1" applyFill="1" applyBorder="1" applyAlignment="1">
      <alignment horizontal="center"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0" fillId="0" borderId="0" xfId="0" applyAlignment="1">
      <alignment horizontal="left" vertical="center" wrapText="1"/>
    </xf>
    <xf numFmtId="0" fontId="60" fillId="0" borderId="0" xfId="0" applyFont="1" applyAlignment="1">
      <alignment horizontal="center" vertical="center"/>
    </xf>
    <xf numFmtId="0" fontId="59" fillId="0" borderId="75" xfId="0" applyFont="1" applyBorder="1" applyAlignment="1">
      <alignment horizontal="center" vertical="center"/>
    </xf>
    <xf numFmtId="0" fontId="59" fillId="0" borderId="34" xfId="0" applyFont="1" applyBorder="1" applyAlignment="1">
      <alignment horizontal="center" vertical="center"/>
    </xf>
    <xf numFmtId="0" fontId="59" fillId="0" borderId="33" xfId="0" applyFont="1" applyBorder="1" applyAlignment="1">
      <alignment horizontal="center"/>
    </xf>
    <xf numFmtId="0" fontId="59" fillId="0" borderId="33" xfId="0" applyFont="1" applyBorder="1" applyAlignment="1">
      <alignment horizontal="center" vertical="center"/>
    </xf>
  </cellXfs>
  <cellStyles count="6">
    <cellStyle name="Hipervínculo" xfId="5" builtinId="8"/>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1">
    <dxf>
      <fill>
        <patternFill>
          <bgColor rgb="FFFFFF99"/>
        </patternFill>
      </fill>
    </dxf>
    <dxf>
      <fill>
        <patternFill>
          <bgColor rgb="FFFFC000"/>
        </patternFill>
      </fill>
    </dxf>
    <dxf>
      <font>
        <color theme="0"/>
      </font>
      <fill>
        <patternFill>
          <bgColor rgb="FFFF0000"/>
        </patternFill>
      </fill>
    </dxf>
    <dxf>
      <fill>
        <patternFill>
          <bgColor rgb="FFFFFF99"/>
        </patternFill>
      </fill>
    </dxf>
    <dxf>
      <fill>
        <patternFill>
          <bgColor rgb="FFFFC000"/>
        </patternFill>
      </fill>
    </dxf>
    <dxf>
      <font>
        <color theme="0"/>
      </font>
      <fill>
        <patternFill>
          <bgColor rgb="FFFF0000"/>
        </patternFill>
      </fill>
    </dxf>
    <dxf>
      <fill>
        <patternFill>
          <bgColor rgb="FFFFFF99"/>
        </patternFill>
      </fill>
    </dxf>
    <dxf>
      <fill>
        <patternFill>
          <bgColor rgb="FFFFC000"/>
        </patternFill>
      </fill>
    </dxf>
    <dxf>
      <font>
        <color theme="0"/>
      </font>
      <fill>
        <patternFill>
          <bgColor rgb="FFFF0000"/>
        </patternFill>
      </fill>
    </dxf>
    <dxf>
      <fill>
        <patternFill>
          <bgColor rgb="FFFFFF99"/>
        </patternFill>
      </fill>
    </dxf>
    <dxf>
      <fill>
        <patternFill>
          <bgColor rgb="FFFFC000"/>
        </patternFill>
      </fill>
    </dxf>
    <dxf>
      <font>
        <color theme="0"/>
      </font>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theme="0"/>
      </font>
      <fill>
        <patternFill>
          <fgColor auto="1"/>
          <bgColor rgb="FFC00000"/>
        </patternFill>
      </fill>
    </dxf>
    <dxf>
      <fill>
        <patternFill>
          <fgColor auto="1"/>
          <bgColor rgb="FFE26B0A"/>
        </patternFill>
      </fill>
    </dxf>
    <dxf>
      <fill>
        <patternFill>
          <fgColor rgb="FFFFFF00"/>
          <bgColor rgb="FFFFFF00"/>
        </patternFill>
      </fill>
    </dxf>
    <dxf>
      <fill>
        <patternFill>
          <bgColor rgb="FF92D05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685801</xdr:colOff>
      <xdr:row>3</xdr:row>
      <xdr:rowOff>47626</xdr:rowOff>
    </xdr:from>
    <xdr:to>
      <xdr:col>4</xdr:col>
      <xdr:colOff>200026</xdr:colOff>
      <xdr:row>17</xdr:row>
      <xdr:rowOff>175462</xdr:rowOff>
    </xdr:to>
    <xdr:pic>
      <xdr:nvPicPr>
        <xdr:cNvPr id="2" name="Imagen 1">
          <a:extLst>
            <a:ext uri="{FF2B5EF4-FFF2-40B4-BE49-F238E27FC236}">
              <a16:creationId xmlns:a16="http://schemas.microsoft.com/office/drawing/2014/main" id="{FD995868-B709-4328-8327-6D5B0029A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1" y="1400176"/>
          <a:ext cx="4705350" cy="2794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733896</xdr:colOff>
      <xdr:row>31</xdr:row>
      <xdr:rowOff>125543</xdr:rowOff>
    </xdr:from>
    <xdr:to>
      <xdr:col>3</xdr:col>
      <xdr:colOff>987944</xdr:colOff>
      <xdr:row>56</xdr:row>
      <xdr:rowOff>198180</xdr:rowOff>
    </xdr:to>
    <xdr:pic>
      <xdr:nvPicPr>
        <xdr:cNvPr id="3" name="Imagen 2">
          <a:extLst>
            <a:ext uri="{FF2B5EF4-FFF2-40B4-BE49-F238E27FC236}">
              <a16:creationId xmlns:a16="http://schemas.microsoft.com/office/drawing/2014/main" id="{4B06637F-8953-4A4B-ADAE-7B5391072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896" y="9088412"/>
          <a:ext cx="5071200" cy="638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5" dataDxfId="14">
  <autoFilter ref="B209:C219" xr:uid="{00000000-0009-0000-0100-000001000000}"/>
  <tableColumns count="2">
    <tableColumn id="1" xr3:uid="{00000000-0010-0000-0000-000001000000}" name="Criterios" dataDxfId="13"/>
    <tableColumn id="2" xr3:uid="{00000000-0010-0000-0000-000002000000}" name="Subcriterios" dataDxfId="1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C34" zoomScale="173" zoomScaleNormal="110" workbookViewId="0">
      <selection activeCell="E35" sqref="E35:F35"/>
    </sheetView>
  </sheetViews>
  <sheetFormatPr baseColWidth="10" defaultRowHeight="15" x14ac:dyDescent="0.25"/>
  <cols>
    <col min="1" max="1" width="2.85546875" style="99" customWidth="1"/>
    <col min="2" max="3" width="24.7109375" style="99" customWidth="1"/>
    <col min="4" max="4" width="16" style="99" customWidth="1"/>
    <col min="5" max="5" width="24.7109375" style="99" customWidth="1"/>
    <col min="6" max="6" width="27.7109375" style="99" customWidth="1"/>
    <col min="7" max="8" width="24.7109375" style="99" customWidth="1"/>
    <col min="9" max="16384" width="11.42578125" style="99"/>
  </cols>
  <sheetData>
    <row r="1" spans="2:8" ht="15.75" thickBot="1" x14ac:dyDescent="0.3"/>
    <row r="2" spans="2:8" ht="18" x14ac:dyDescent="0.25">
      <c r="B2" s="186" t="s">
        <v>166</v>
      </c>
      <c r="C2" s="187"/>
      <c r="D2" s="187"/>
      <c r="E2" s="187"/>
      <c r="F2" s="187"/>
      <c r="G2" s="187"/>
      <c r="H2" s="188"/>
    </row>
    <row r="3" spans="2:8" x14ac:dyDescent="0.25">
      <c r="B3" s="100"/>
      <c r="C3" s="101"/>
      <c r="D3" s="101"/>
      <c r="E3" s="101"/>
      <c r="F3" s="101"/>
      <c r="G3" s="101"/>
      <c r="H3" s="102"/>
    </row>
    <row r="4" spans="2:8" ht="63" customHeight="1" x14ac:dyDescent="0.25">
      <c r="B4" s="189" t="s">
        <v>209</v>
      </c>
      <c r="C4" s="190"/>
      <c r="D4" s="190"/>
      <c r="E4" s="190"/>
      <c r="F4" s="190"/>
      <c r="G4" s="190"/>
      <c r="H4" s="191"/>
    </row>
    <row r="5" spans="2:8" ht="63" customHeight="1" x14ac:dyDescent="0.25">
      <c r="B5" s="192"/>
      <c r="C5" s="193"/>
      <c r="D5" s="193"/>
      <c r="E5" s="193"/>
      <c r="F5" s="193"/>
      <c r="G5" s="193"/>
      <c r="H5" s="194"/>
    </row>
    <row r="6" spans="2:8" ht="16.5" x14ac:dyDescent="0.25">
      <c r="B6" s="195" t="s">
        <v>164</v>
      </c>
      <c r="C6" s="196"/>
      <c r="D6" s="196"/>
      <c r="E6" s="196"/>
      <c r="F6" s="196"/>
      <c r="G6" s="196"/>
      <c r="H6" s="197"/>
    </row>
    <row r="7" spans="2:8" ht="95.25" customHeight="1" x14ac:dyDescent="0.25">
      <c r="B7" s="205" t="s">
        <v>169</v>
      </c>
      <c r="C7" s="206"/>
      <c r="D7" s="206"/>
      <c r="E7" s="206"/>
      <c r="F7" s="206"/>
      <c r="G7" s="206"/>
      <c r="H7" s="207"/>
    </row>
    <row r="8" spans="2:8" ht="16.5" x14ac:dyDescent="0.25">
      <c r="B8" s="137"/>
      <c r="C8" s="138"/>
      <c r="D8" s="138"/>
      <c r="E8" s="138"/>
      <c r="F8" s="138"/>
      <c r="G8" s="138"/>
      <c r="H8" s="139"/>
    </row>
    <row r="9" spans="2:8" ht="16.5" customHeight="1" x14ac:dyDescent="0.25">
      <c r="B9" s="198" t="s">
        <v>202</v>
      </c>
      <c r="C9" s="199"/>
      <c r="D9" s="199"/>
      <c r="E9" s="199"/>
      <c r="F9" s="199"/>
      <c r="G9" s="199"/>
      <c r="H9" s="200"/>
    </row>
    <row r="10" spans="2:8" ht="44.25" customHeight="1" x14ac:dyDescent="0.25">
      <c r="B10" s="198"/>
      <c r="C10" s="199"/>
      <c r="D10" s="199"/>
      <c r="E10" s="199"/>
      <c r="F10" s="199"/>
      <c r="G10" s="199"/>
      <c r="H10" s="200"/>
    </row>
    <row r="11" spans="2:8" ht="15.75" thickBot="1" x14ac:dyDescent="0.3">
      <c r="B11" s="125"/>
      <c r="C11" s="128"/>
      <c r="D11" s="133"/>
      <c r="E11" s="134"/>
      <c r="F11" s="134"/>
      <c r="G11" s="135"/>
      <c r="H11" s="136"/>
    </row>
    <row r="12" spans="2:8" ht="15.75" thickTop="1" x14ac:dyDescent="0.25">
      <c r="B12" s="125"/>
      <c r="C12" s="201" t="s">
        <v>165</v>
      </c>
      <c r="D12" s="202"/>
      <c r="E12" s="203" t="s">
        <v>203</v>
      </c>
      <c r="F12" s="204"/>
      <c r="G12" s="128"/>
      <c r="H12" s="129"/>
    </row>
    <row r="13" spans="2:8" ht="35.25" customHeight="1" x14ac:dyDescent="0.25">
      <c r="B13" s="125"/>
      <c r="C13" s="208" t="s">
        <v>196</v>
      </c>
      <c r="D13" s="209"/>
      <c r="E13" s="210" t="s">
        <v>201</v>
      </c>
      <c r="F13" s="211"/>
      <c r="G13" s="128"/>
      <c r="H13" s="129"/>
    </row>
    <row r="14" spans="2:8" ht="17.25" customHeight="1" x14ac:dyDescent="0.25">
      <c r="B14" s="125"/>
      <c r="C14" s="208" t="s">
        <v>197</v>
      </c>
      <c r="D14" s="209"/>
      <c r="E14" s="210" t="s">
        <v>199</v>
      </c>
      <c r="F14" s="211"/>
      <c r="G14" s="128"/>
      <c r="H14" s="129"/>
    </row>
    <row r="15" spans="2:8" ht="19.5" customHeight="1" x14ac:dyDescent="0.25">
      <c r="B15" s="125"/>
      <c r="C15" s="208" t="s">
        <v>198</v>
      </c>
      <c r="D15" s="209"/>
      <c r="E15" s="210" t="s">
        <v>200</v>
      </c>
      <c r="F15" s="211"/>
      <c r="G15" s="128"/>
      <c r="H15" s="129"/>
    </row>
    <row r="16" spans="2:8" ht="69.75" customHeight="1" x14ac:dyDescent="0.25">
      <c r="B16" s="125"/>
      <c r="C16" s="208" t="s">
        <v>167</v>
      </c>
      <c r="D16" s="209"/>
      <c r="E16" s="210" t="s">
        <v>168</v>
      </c>
      <c r="F16" s="211"/>
      <c r="G16" s="128"/>
      <c r="H16" s="129"/>
    </row>
    <row r="17" spans="2:8" ht="34.5" customHeight="1" x14ac:dyDescent="0.25">
      <c r="B17" s="125"/>
      <c r="C17" s="212" t="s">
        <v>2</v>
      </c>
      <c r="D17" s="213"/>
      <c r="E17" s="214" t="s">
        <v>210</v>
      </c>
      <c r="F17" s="215"/>
      <c r="G17" s="128"/>
      <c r="H17" s="129"/>
    </row>
    <row r="18" spans="2:8" ht="27.75" customHeight="1" x14ac:dyDescent="0.25">
      <c r="B18" s="125"/>
      <c r="C18" s="212" t="s">
        <v>3</v>
      </c>
      <c r="D18" s="213"/>
      <c r="E18" s="214" t="s">
        <v>211</v>
      </c>
      <c r="F18" s="215"/>
      <c r="G18" s="128"/>
      <c r="H18" s="129"/>
    </row>
    <row r="19" spans="2:8" ht="28.5" customHeight="1" x14ac:dyDescent="0.25">
      <c r="B19" s="125"/>
      <c r="C19" s="212" t="s">
        <v>42</v>
      </c>
      <c r="D19" s="213"/>
      <c r="E19" s="214" t="s">
        <v>212</v>
      </c>
      <c r="F19" s="215"/>
      <c r="G19" s="128"/>
      <c r="H19" s="129"/>
    </row>
    <row r="20" spans="2:8" ht="72.75" customHeight="1" x14ac:dyDescent="0.25">
      <c r="B20" s="125"/>
      <c r="C20" s="212" t="s">
        <v>1</v>
      </c>
      <c r="D20" s="213"/>
      <c r="E20" s="214" t="s">
        <v>213</v>
      </c>
      <c r="F20" s="215"/>
      <c r="G20" s="128"/>
      <c r="H20" s="129"/>
    </row>
    <row r="21" spans="2:8" ht="64.5" customHeight="1" x14ac:dyDescent="0.25">
      <c r="B21" s="125"/>
      <c r="C21" s="212" t="s">
        <v>50</v>
      </c>
      <c r="D21" s="213"/>
      <c r="E21" s="214" t="s">
        <v>171</v>
      </c>
      <c r="F21" s="215"/>
      <c r="G21" s="128"/>
      <c r="H21" s="129"/>
    </row>
    <row r="22" spans="2:8" ht="71.25" customHeight="1" x14ac:dyDescent="0.25">
      <c r="B22" s="125"/>
      <c r="C22" s="212" t="s">
        <v>170</v>
      </c>
      <c r="D22" s="213"/>
      <c r="E22" s="214" t="s">
        <v>172</v>
      </c>
      <c r="F22" s="215"/>
      <c r="G22" s="128"/>
      <c r="H22" s="129"/>
    </row>
    <row r="23" spans="2:8" ht="55.5" customHeight="1" x14ac:dyDescent="0.25">
      <c r="B23" s="125"/>
      <c r="C23" s="219" t="s">
        <v>173</v>
      </c>
      <c r="D23" s="220"/>
      <c r="E23" s="214" t="s">
        <v>174</v>
      </c>
      <c r="F23" s="215"/>
      <c r="G23" s="128"/>
      <c r="H23" s="129"/>
    </row>
    <row r="24" spans="2:8" ht="42" customHeight="1" x14ac:dyDescent="0.25">
      <c r="B24" s="125"/>
      <c r="C24" s="219" t="s">
        <v>48</v>
      </c>
      <c r="D24" s="220"/>
      <c r="E24" s="214" t="s">
        <v>175</v>
      </c>
      <c r="F24" s="215"/>
      <c r="G24" s="128"/>
      <c r="H24" s="129"/>
    </row>
    <row r="25" spans="2:8" ht="59.25" customHeight="1" x14ac:dyDescent="0.25">
      <c r="B25" s="125"/>
      <c r="C25" s="219" t="s">
        <v>163</v>
      </c>
      <c r="D25" s="220"/>
      <c r="E25" s="214" t="s">
        <v>176</v>
      </c>
      <c r="F25" s="215"/>
      <c r="G25" s="128"/>
      <c r="H25" s="129"/>
    </row>
    <row r="26" spans="2:8" ht="23.25" customHeight="1" x14ac:dyDescent="0.25">
      <c r="B26" s="125"/>
      <c r="C26" s="219" t="s">
        <v>12</v>
      </c>
      <c r="D26" s="220"/>
      <c r="E26" s="214" t="s">
        <v>177</v>
      </c>
      <c r="F26" s="215"/>
      <c r="G26" s="128"/>
      <c r="H26" s="129"/>
    </row>
    <row r="27" spans="2:8" ht="30.75" customHeight="1" x14ac:dyDescent="0.25">
      <c r="B27" s="125"/>
      <c r="C27" s="219" t="s">
        <v>181</v>
      </c>
      <c r="D27" s="220"/>
      <c r="E27" s="214" t="s">
        <v>178</v>
      </c>
      <c r="F27" s="215"/>
      <c r="G27" s="128"/>
      <c r="H27" s="129"/>
    </row>
    <row r="28" spans="2:8" ht="35.25" customHeight="1" x14ac:dyDescent="0.25">
      <c r="B28" s="125"/>
      <c r="C28" s="219" t="s">
        <v>182</v>
      </c>
      <c r="D28" s="220"/>
      <c r="E28" s="214" t="s">
        <v>179</v>
      </c>
      <c r="F28" s="215"/>
      <c r="G28" s="128"/>
      <c r="H28" s="129"/>
    </row>
    <row r="29" spans="2:8" ht="33" customHeight="1" x14ac:dyDescent="0.25">
      <c r="B29" s="125"/>
      <c r="C29" s="219" t="s">
        <v>182</v>
      </c>
      <c r="D29" s="220"/>
      <c r="E29" s="214" t="s">
        <v>179</v>
      </c>
      <c r="F29" s="215"/>
      <c r="G29" s="128"/>
      <c r="H29" s="129"/>
    </row>
    <row r="30" spans="2:8" ht="30" customHeight="1" x14ac:dyDescent="0.25">
      <c r="B30" s="125"/>
      <c r="C30" s="219" t="s">
        <v>183</v>
      </c>
      <c r="D30" s="220"/>
      <c r="E30" s="214" t="s">
        <v>180</v>
      </c>
      <c r="F30" s="215"/>
      <c r="G30" s="128"/>
      <c r="H30" s="129"/>
    </row>
    <row r="31" spans="2:8" ht="35.25" customHeight="1" x14ac:dyDescent="0.25">
      <c r="B31" s="125"/>
      <c r="C31" s="219" t="s">
        <v>184</v>
      </c>
      <c r="D31" s="220"/>
      <c r="E31" s="214" t="s">
        <v>185</v>
      </c>
      <c r="F31" s="215"/>
      <c r="G31" s="128"/>
      <c r="H31" s="129"/>
    </row>
    <row r="32" spans="2:8" ht="31.5" customHeight="1" x14ac:dyDescent="0.25">
      <c r="B32" s="125"/>
      <c r="C32" s="219" t="s">
        <v>186</v>
      </c>
      <c r="D32" s="220"/>
      <c r="E32" s="214" t="s">
        <v>187</v>
      </c>
      <c r="F32" s="215"/>
      <c r="G32" s="128"/>
      <c r="H32" s="129"/>
    </row>
    <row r="33" spans="2:8" ht="35.25" customHeight="1" x14ac:dyDescent="0.25">
      <c r="B33" s="125"/>
      <c r="C33" s="219" t="s">
        <v>188</v>
      </c>
      <c r="D33" s="220"/>
      <c r="E33" s="214" t="s">
        <v>189</v>
      </c>
      <c r="F33" s="215"/>
      <c r="G33" s="128"/>
      <c r="H33" s="129"/>
    </row>
    <row r="34" spans="2:8" ht="59.25" customHeight="1" x14ac:dyDescent="0.25">
      <c r="B34" s="125"/>
      <c r="C34" s="219" t="s">
        <v>190</v>
      </c>
      <c r="D34" s="220"/>
      <c r="E34" s="214" t="s">
        <v>191</v>
      </c>
      <c r="F34" s="215"/>
      <c r="G34" s="128"/>
      <c r="H34" s="129"/>
    </row>
    <row r="35" spans="2:8" ht="29.25" customHeight="1" x14ac:dyDescent="0.25">
      <c r="B35" s="125"/>
      <c r="C35" s="219" t="s">
        <v>29</v>
      </c>
      <c r="D35" s="220"/>
      <c r="E35" s="214" t="s">
        <v>192</v>
      </c>
      <c r="F35" s="215"/>
      <c r="G35" s="128"/>
      <c r="H35" s="129"/>
    </row>
    <row r="36" spans="2:8" ht="82.5" customHeight="1" x14ac:dyDescent="0.25">
      <c r="B36" s="125"/>
      <c r="C36" s="219" t="s">
        <v>194</v>
      </c>
      <c r="D36" s="220"/>
      <c r="E36" s="214" t="s">
        <v>193</v>
      </c>
      <c r="F36" s="215"/>
      <c r="G36" s="128"/>
      <c r="H36" s="129"/>
    </row>
    <row r="37" spans="2:8" ht="46.5" customHeight="1" x14ac:dyDescent="0.25">
      <c r="B37" s="125"/>
      <c r="C37" s="219" t="s">
        <v>39</v>
      </c>
      <c r="D37" s="220"/>
      <c r="E37" s="214" t="s">
        <v>195</v>
      </c>
      <c r="F37" s="215"/>
      <c r="G37" s="128"/>
      <c r="H37" s="129"/>
    </row>
    <row r="38" spans="2:8" ht="6.75" customHeight="1" thickBot="1" x14ac:dyDescent="0.3">
      <c r="B38" s="125"/>
      <c r="C38" s="221"/>
      <c r="D38" s="222"/>
      <c r="E38" s="223"/>
      <c r="F38" s="224"/>
      <c r="G38" s="128"/>
      <c r="H38" s="129"/>
    </row>
    <row r="39" spans="2:8" ht="15.75" thickTop="1" x14ac:dyDescent="0.25">
      <c r="B39" s="125"/>
      <c r="C39" s="126"/>
      <c r="D39" s="126"/>
      <c r="E39" s="127"/>
      <c r="F39" s="127"/>
      <c r="G39" s="128"/>
      <c r="H39" s="129"/>
    </row>
    <row r="40" spans="2:8" ht="21" customHeight="1" x14ac:dyDescent="0.25">
      <c r="B40" s="216" t="s">
        <v>204</v>
      </c>
      <c r="C40" s="217"/>
      <c r="D40" s="217"/>
      <c r="E40" s="217"/>
      <c r="F40" s="217"/>
      <c r="G40" s="217"/>
      <c r="H40" s="218"/>
    </row>
    <row r="41" spans="2:8" ht="20.25" customHeight="1" x14ac:dyDescent="0.25">
      <c r="B41" s="216" t="s">
        <v>205</v>
      </c>
      <c r="C41" s="217"/>
      <c r="D41" s="217"/>
      <c r="E41" s="217"/>
      <c r="F41" s="217"/>
      <c r="G41" s="217"/>
      <c r="H41" s="218"/>
    </row>
    <row r="42" spans="2:8" ht="20.25" customHeight="1" x14ac:dyDescent="0.25">
      <c r="B42" s="216" t="s">
        <v>206</v>
      </c>
      <c r="C42" s="217"/>
      <c r="D42" s="217"/>
      <c r="E42" s="217"/>
      <c r="F42" s="217"/>
      <c r="G42" s="217"/>
      <c r="H42" s="218"/>
    </row>
    <row r="43" spans="2:8" ht="20.25" customHeight="1" x14ac:dyDescent="0.25">
      <c r="B43" s="216" t="s">
        <v>207</v>
      </c>
      <c r="C43" s="217"/>
      <c r="D43" s="217"/>
      <c r="E43" s="217"/>
      <c r="F43" s="217"/>
      <c r="G43" s="217"/>
      <c r="H43" s="218"/>
    </row>
    <row r="44" spans="2:8" x14ac:dyDescent="0.25">
      <c r="B44" s="216" t="s">
        <v>208</v>
      </c>
      <c r="C44" s="217"/>
      <c r="D44" s="217"/>
      <c r="E44" s="217"/>
      <c r="F44" s="217"/>
      <c r="G44" s="217"/>
      <c r="H44" s="218"/>
    </row>
    <row r="45" spans="2:8" ht="15.75" thickBot="1" x14ac:dyDescent="0.3">
      <c r="B45" s="130"/>
      <c r="C45" s="131"/>
      <c r="D45" s="131"/>
      <c r="E45" s="131"/>
      <c r="F45" s="131"/>
      <c r="G45" s="131"/>
      <c r="H45" s="132"/>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opLeftCell="A7" zoomScale="70" zoomScaleNormal="70" zoomScaleSheetLayoutView="10" workbookViewId="0">
      <pane xSplit="6" ySplit="3" topLeftCell="G52" activePane="bottomRight" state="frozen"/>
      <selection activeCell="A7" sqref="A7"/>
      <selection pane="topRight" activeCell="G7" sqref="G7"/>
      <selection pane="bottomLeft" activeCell="A10" sqref="A10"/>
      <selection pane="bottomRight" activeCell="P52" sqref="P52"/>
    </sheetView>
  </sheetViews>
  <sheetFormatPr baseColWidth="10"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73" t="s">
        <v>144</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5"/>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76"/>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9"/>
      <c r="B3" s="30"/>
      <c r="C3" s="29"/>
      <c r="D3" s="29"/>
      <c r="E3" s="8"/>
      <c r="F3" s="2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50" t="s">
        <v>43</v>
      </c>
      <c r="B4" s="251"/>
      <c r="C4" s="260" t="s">
        <v>225</v>
      </c>
      <c r="D4" s="261"/>
      <c r="E4" s="261"/>
      <c r="F4" s="261"/>
      <c r="G4" s="261"/>
      <c r="H4" s="261"/>
      <c r="I4" s="261"/>
      <c r="J4" s="261"/>
      <c r="K4" s="261"/>
      <c r="L4" s="261"/>
      <c r="M4" s="261"/>
      <c r="N4" s="262"/>
      <c r="O4" s="267"/>
      <c r="P4" s="267"/>
      <c r="Q4" s="267"/>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50" t="s">
        <v>130</v>
      </c>
      <c r="B5" s="251"/>
      <c r="C5" s="260" t="s">
        <v>226</v>
      </c>
      <c r="D5" s="261"/>
      <c r="E5" s="261"/>
      <c r="F5" s="261"/>
      <c r="G5" s="261"/>
      <c r="H5" s="261"/>
      <c r="I5" s="261"/>
      <c r="J5" s="261"/>
      <c r="K5" s="261"/>
      <c r="L5" s="261"/>
      <c r="M5" s="261"/>
      <c r="N5" s="262"/>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50" t="s">
        <v>44</v>
      </c>
      <c r="B6" s="251"/>
      <c r="C6" s="263" t="s">
        <v>227</v>
      </c>
      <c r="D6" s="264"/>
      <c r="E6" s="264"/>
      <c r="F6" s="264"/>
      <c r="G6" s="264"/>
      <c r="H6" s="264"/>
      <c r="I6" s="264"/>
      <c r="J6" s="264"/>
      <c r="K6" s="264"/>
      <c r="L6" s="264"/>
      <c r="M6" s="264"/>
      <c r="N6" s="265"/>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79" t="s">
        <v>139</v>
      </c>
      <c r="B7" s="280"/>
      <c r="C7" s="280"/>
      <c r="D7" s="280"/>
      <c r="E7" s="280"/>
      <c r="F7" s="280"/>
      <c r="G7" s="281"/>
      <c r="H7" s="279" t="s">
        <v>140</v>
      </c>
      <c r="I7" s="280"/>
      <c r="J7" s="280"/>
      <c r="K7" s="280"/>
      <c r="L7" s="280"/>
      <c r="M7" s="280"/>
      <c r="N7" s="281"/>
      <c r="O7" s="279" t="s">
        <v>141</v>
      </c>
      <c r="P7" s="280"/>
      <c r="Q7" s="280"/>
      <c r="R7" s="280"/>
      <c r="S7" s="280"/>
      <c r="T7" s="280"/>
      <c r="U7" s="280"/>
      <c r="V7" s="280"/>
      <c r="W7" s="281"/>
      <c r="X7" s="279" t="s">
        <v>142</v>
      </c>
      <c r="Y7" s="280"/>
      <c r="Z7" s="280"/>
      <c r="AA7" s="280"/>
      <c r="AB7" s="280"/>
      <c r="AC7" s="280"/>
      <c r="AD7" s="281"/>
      <c r="AE7" s="279" t="s">
        <v>34</v>
      </c>
      <c r="AF7" s="280"/>
      <c r="AG7" s="280"/>
      <c r="AH7" s="280"/>
      <c r="AI7" s="280"/>
      <c r="AJ7" s="28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52" t="s">
        <v>0</v>
      </c>
      <c r="B8" s="257" t="s">
        <v>2</v>
      </c>
      <c r="C8" s="255" t="s">
        <v>3</v>
      </c>
      <c r="D8" s="255" t="s">
        <v>42</v>
      </c>
      <c r="E8" s="256" t="s">
        <v>1</v>
      </c>
      <c r="F8" s="254" t="s">
        <v>50</v>
      </c>
      <c r="G8" s="255" t="s">
        <v>135</v>
      </c>
      <c r="H8" s="268" t="s">
        <v>33</v>
      </c>
      <c r="I8" s="269" t="s">
        <v>5</v>
      </c>
      <c r="J8" s="254" t="s">
        <v>87</v>
      </c>
      <c r="K8" s="254" t="s">
        <v>92</v>
      </c>
      <c r="L8" s="271" t="s">
        <v>45</v>
      </c>
      <c r="M8" s="269" t="s">
        <v>5</v>
      </c>
      <c r="N8" s="255" t="s">
        <v>48</v>
      </c>
      <c r="O8" s="258" t="s">
        <v>11</v>
      </c>
      <c r="P8" s="249" t="s">
        <v>163</v>
      </c>
      <c r="Q8" s="254" t="s">
        <v>12</v>
      </c>
      <c r="R8" s="249" t="s">
        <v>8</v>
      </c>
      <c r="S8" s="249"/>
      <c r="T8" s="249"/>
      <c r="U8" s="249"/>
      <c r="V8" s="249"/>
      <c r="W8" s="249"/>
      <c r="X8" s="266" t="s">
        <v>138</v>
      </c>
      <c r="Y8" s="266" t="s">
        <v>46</v>
      </c>
      <c r="Z8" s="266" t="s">
        <v>5</v>
      </c>
      <c r="AA8" s="266" t="s">
        <v>47</v>
      </c>
      <c r="AB8" s="266" t="s">
        <v>5</v>
      </c>
      <c r="AC8" s="266" t="s">
        <v>49</v>
      </c>
      <c r="AD8" s="258" t="s">
        <v>29</v>
      </c>
      <c r="AE8" s="249" t="s">
        <v>34</v>
      </c>
      <c r="AF8" s="249" t="s">
        <v>35</v>
      </c>
      <c r="AG8" s="249" t="s">
        <v>36</v>
      </c>
      <c r="AH8" s="249" t="s">
        <v>38</v>
      </c>
      <c r="AI8" s="249" t="s">
        <v>37</v>
      </c>
      <c r="AJ8" s="249"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53"/>
      <c r="B9" s="257"/>
      <c r="C9" s="249"/>
      <c r="D9" s="249"/>
      <c r="E9" s="257"/>
      <c r="F9" s="255"/>
      <c r="G9" s="249"/>
      <c r="H9" s="255"/>
      <c r="I9" s="270"/>
      <c r="J9" s="255"/>
      <c r="K9" s="255"/>
      <c r="L9" s="270"/>
      <c r="M9" s="270"/>
      <c r="N9" s="249"/>
      <c r="O9" s="259"/>
      <c r="P9" s="249"/>
      <c r="Q9" s="255"/>
      <c r="R9" s="7" t="s">
        <v>13</v>
      </c>
      <c r="S9" s="7" t="s">
        <v>17</v>
      </c>
      <c r="T9" s="7" t="s">
        <v>28</v>
      </c>
      <c r="U9" s="7" t="s">
        <v>18</v>
      </c>
      <c r="V9" s="7" t="s">
        <v>21</v>
      </c>
      <c r="W9" s="7" t="s">
        <v>24</v>
      </c>
      <c r="X9" s="266"/>
      <c r="Y9" s="266"/>
      <c r="Z9" s="266"/>
      <c r="AA9" s="266"/>
      <c r="AB9" s="266"/>
      <c r="AC9" s="266"/>
      <c r="AD9" s="259"/>
      <c r="AE9" s="249"/>
      <c r="AF9" s="249"/>
      <c r="AG9" s="249"/>
      <c r="AH9" s="249"/>
      <c r="AI9" s="249"/>
      <c r="AJ9" s="249"/>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row>
    <row r="10" spans="1:68" s="3" customFormat="1" ht="167.25" customHeight="1" x14ac:dyDescent="0.25">
      <c r="A10" s="240">
        <v>1</v>
      </c>
      <c r="B10" s="231" t="s">
        <v>133</v>
      </c>
      <c r="C10" s="231" t="s">
        <v>229</v>
      </c>
      <c r="D10" s="231" t="s">
        <v>228</v>
      </c>
      <c r="E10" s="243" t="s">
        <v>301</v>
      </c>
      <c r="F10" s="231" t="s">
        <v>123</v>
      </c>
      <c r="G10" s="234">
        <v>100</v>
      </c>
      <c r="H10" s="237" t="str">
        <f>IF(G10&lt;=0,"",IF(G10&lt;=2,"Muy Baja",IF(G10&lt;=24,"Baja",IF(G10&lt;=500,"Media",IF(G10&lt;=5000,"Alta","Muy Alta")))))</f>
        <v>Media</v>
      </c>
      <c r="I10" s="225">
        <f>IF(H10="","",IF(H10="Muy Baja",0.2,IF(H10="Baja",0.4,IF(H10="Media",0.6,IF(H10="Alta",0.8,IF(H10="Muy Alta",1,))))))</f>
        <v>0.6</v>
      </c>
      <c r="J10" s="246" t="s">
        <v>150</v>
      </c>
      <c r="K10" s="225" t="str">
        <f>IF(NOT(ISERROR(MATCH(J10,'Tabla Impacto'!$B$221:$B$223,0))),'Tabla Impacto'!$F$223&amp;"Por favor no seleccionar los criterios de impacto(Afectación Económica o presupuestal y Pérdida Reputacional)",J10)</f>
        <v xml:space="preserve">     Entre 10 y 50 SMLMV </v>
      </c>
      <c r="L10" s="237" t="str">
        <f>IF(OR(K10='Tabla Impacto'!$C$11,K10='Tabla Impacto'!$D$11),"Leve",IF(OR(K10='Tabla Impacto'!$C$12,K10='Tabla Impacto'!$D$12),"Menor",IF(OR(K10='Tabla Impacto'!$C$13,K10='Tabla Impacto'!$D$13),"Moderado",IF(OR(K10='Tabla Impacto'!$C$14,K10='Tabla Impacto'!$D$14),"Mayor",IF(OR(K10='Tabla Impacto'!$C$15,K10='Tabla Impacto'!$D$15),"Catastrófico","")))))</f>
        <v>Menor</v>
      </c>
      <c r="M10" s="225">
        <f>IF(L10="","",IF(L10="Leve",0.2,IF(L10="Menor",0.4,IF(L10="Moderado",0.6,IF(L10="Mayor",0.8,IF(L10="Catastrófico",1,))))))</f>
        <v>0.4</v>
      </c>
      <c r="N10" s="228"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60">
        <v>1</v>
      </c>
      <c r="P10" s="49" t="s">
        <v>299</v>
      </c>
      <c r="Q10" s="51" t="str">
        <f t="shared" ref="Q10:Q41" si="0">IF(OR(R10="Preventivo",R10="Detectivo"),"Probabilidad",IF(R10="Correctivo","Impacto",""))</f>
        <v>Probabilidad</v>
      </c>
      <c r="R10" s="52" t="s">
        <v>14</v>
      </c>
      <c r="S10" s="52" t="s">
        <v>9</v>
      </c>
      <c r="T10" s="53" t="str">
        <f t="shared" ref="T10:T41" si="1">IF(AND(R10="Preventivo",S10="Automático"),"50%",IF(AND(R10="Preventivo",S10="Manual"),"40%",IF(AND(R10="Detectivo",S10="Automático"),"40%",IF(AND(R10="Detectivo",S10="Manual"),"30%",IF(AND(R10="Correctivo",S10="Automático"),"35%",IF(AND(R10="Correctivo",S10="Manual"),"25%",""))))))</f>
        <v>40%</v>
      </c>
      <c r="U10" s="52" t="s">
        <v>19</v>
      </c>
      <c r="V10" s="52" t="s">
        <v>22</v>
      </c>
      <c r="W10" s="52" t="s">
        <v>119</v>
      </c>
      <c r="X10" s="24">
        <f>IFERROR(IF(Q10="Probabilidad",(I10-(+I10*T10)),IF(Q10="Impacto",I10,"")),"")</f>
        <v>0.36</v>
      </c>
      <c r="Y10" s="54" t="str">
        <f>IFERROR(IF(X10="","",IF(X10&lt;=0.2,"Muy Baja",IF(X10&lt;=0.4,"Baja",IF(X10&lt;=0.6,"Media",IF(X10&lt;=0.8,"Alta","Muy Alta"))))),"")</f>
        <v>Baja</v>
      </c>
      <c r="Z10" s="55">
        <f t="shared" ref="Z10:Z41" si="2">+X10</f>
        <v>0.36</v>
      </c>
      <c r="AA10" s="54" t="str">
        <f>IFERROR(IF(AB10="","",IF(AB10&lt;=0.2,"Leve",IF(AB10&lt;=0.4,"Menor",IF(AB10&lt;=0.6,"Moderado",IF(AB10&lt;=0.8,"Mayor","Catastrófico"))))),"")</f>
        <v>Menor</v>
      </c>
      <c r="AB10" s="55">
        <f>IFERROR(IF(Q10="Impacto",(M10-(+M10*T10)),IF(Q10="Probabilidad",M10,"")),"")</f>
        <v>0.4</v>
      </c>
      <c r="AC10" s="56" t="str">
        <f t="shared" ref="AC10:AC41" si="3">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57" t="s">
        <v>31</v>
      </c>
      <c r="AE10" s="58"/>
      <c r="AF10" s="58"/>
      <c r="AG10" s="140"/>
      <c r="AH10" s="140"/>
      <c r="AI10" s="58"/>
      <c r="AJ10" s="48"/>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row>
    <row r="11" spans="1:68" ht="151.5" customHeight="1" x14ac:dyDescent="0.3">
      <c r="A11" s="241"/>
      <c r="B11" s="232"/>
      <c r="C11" s="232"/>
      <c r="D11" s="232"/>
      <c r="E11" s="244"/>
      <c r="F11" s="232"/>
      <c r="G11" s="235"/>
      <c r="H11" s="238"/>
      <c r="I11" s="226"/>
      <c r="J11" s="247"/>
      <c r="K11" s="226">
        <f>IF(NOT(ISERROR(MATCH(J11,_xlfn.ANCHORARRAY(E22),0))),I24&amp;"Por favor no seleccionar los criterios de impacto",J11)</f>
        <v>0</v>
      </c>
      <c r="L11" s="238"/>
      <c r="M11" s="226"/>
      <c r="N11" s="229"/>
      <c r="O11" s="60">
        <v>2</v>
      </c>
      <c r="P11" s="49"/>
      <c r="Q11" s="51" t="str">
        <f t="shared" si="0"/>
        <v/>
      </c>
      <c r="R11" s="52"/>
      <c r="S11" s="52"/>
      <c r="T11" s="53" t="str">
        <f t="shared" si="1"/>
        <v/>
      </c>
      <c r="U11" s="52"/>
      <c r="V11" s="52"/>
      <c r="W11" s="52"/>
      <c r="X11" s="24" t="str">
        <f>IFERROR(IF(AND(Q10="Probabilidad",Q11="Probabilidad"),(Z10-(+Z10*T11)),IF(Q11="Probabilidad",(I10-(+I10*T11)),IF(Q11="Impacto",Z10,""))),"")</f>
        <v/>
      </c>
      <c r="Y11" s="54" t="str">
        <f t="shared" ref="Y11:Y69" si="4">IFERROR(IF(X11="","",IF(X11&lt;=0.2,"Muy Baja",IF(X11&lt;=0.4,"Baja",IF(X11&lt;=0.6,"Media",IF(X11&lt;=0.8,"Alta","Muy Alta"))))),"")</f>
        <v/>
      </c>
      <c r="Z11" s="55" t="str">
        <f t="shared" si="2"/>
        <v/>
      </c>
      <c r="AA11" s="54" t="str">
        <f t="shared" ref="AA11:AA69" si="5">IFERROR(IF(AB11="","",IF(AB11&lt;=0.2,"Leve",IF(AB11&lt;=0.4,"Menor",IF(AB11&lt;=0.6,"Moderado",IF(AB11&lt;=0.8,"Mayor","Catastrófico"))))),"")</f>
        <v/>
      </c>
      <c r="AB11" s="55" t="str">
        <f>IFERROR(IF(AND(Q10="Impacto",Q11="Impacto"),(AB10-(+AB10*T11)),IF(Q11="Impacto",($M$10-(+$M$10*T11)),IF(Q11="Probabilidad",AB10,""))),"")</f>
        <v/>
      </c>
      <c r="AC11" s="56" t="str">
        <f t="shared" si="3"/>
        <v/>
      </c>
      <c r="AD11" s="57"/>
      <c r="AE11" s="58"/>
      <c r="AF11" s="58"/>
      <c r="AG11" s="140"/>
      <c r="AH11" s="140"/>
      <c r="AI11" s="58"/>
      <c r="AJ11" s="4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41"/>
      <c r="B12" s="232"/>
      <c r="C12" s="232"/>
      <c r="D12" s="232"/>
      <c r="E12" s="244"/>
      <c r="F12" s="232"/>
      <c r="G12" s="235"/>
      <c r="H12" s="238"/>
      <c r="I12" s="226"/>
      <c r="J12" s="247"/>
      <c r="K12" s="226">
        <f>IF(NOT(ISERROR(MATCH(J12,_xlfn.ANCHORARRAY(E23),0))),I25&amp;"Por favor no seleccionar los criterios de impacto",J12)</f>
        <v>0</v>
      </c>
      <c r="L12" s="238"/>
      <c r="M12" s="226"/>
      <c r="N12" s="229"/>
      <c r="O12" s="60">
        <v>3</v>
      </c>
      <c r="P12" s="50"/>
      <c r="Q12" s="51" t="str">
        <f t="shared" si="0"/>
        <v/>
      </c>
      <c r="R12" s="52"/>
      <c r="S12" s="52"/>
      <c r="T12" s="53" t="str">
        <f t="shared" si="1"/>
        <v/>
      </c>
      <c r="U12" s="52"/>
      <c r="V12" s="52"/>
      <c r="W12" s="52"/>
      <c r="X12" s="24" t="str">
        <f>IFERROR(IF(AND(Q11="Probabilidad",Q12="Probabilidad"),(Z11-(+Z11*T12)),IF(AND(Q11="Impacto",Q12="Probabilidad"),(Z10-(+Z10*T12)),IF(Q12="Impacto",Z11,""))),"")</f>
        <v/>
      </c>
      <c r="Y12" s="54" t="str">
        <f t="shared" si="4"/>
        <v/>
      </c>
      <c r="Z12" s="55" t="str">
        <f t="shared" si="2"/>
        <v/>
      </c>
      <c r="AA12" s="54" t="str">
        <f t="shared" si="5"/>
        <v/>
      </c>
      <c r="AB12" s="55" t="str">
        <f>IFERROR(IF(AND(Q11="Impacto",Q12="Impacto"),(AB11-(+AB11*T12)),IF(AND(Q11="Probabilidad",Q12="Impacto"),(AB10-(+AB10*T12)),IF(Q12="Probabilidad",AB11,""))),"")</f>
        <v/>
      </c>
      <c r="AC12" s="56" t="str">
        <f t="shared" si="3"/>
        <v/>
      </c>
      <c r="AD12" s="57"/>
      <c r="AE12" s="58"/>
      <c r="AF12" s="48"/>
      <c r="AG12" s="59"/>
      <c r="AH12" s="59"/>
      <c r="AI12" s="58"/>
      <c r="AJ12" s="4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41"/>
      <c r="B13" s="232"/>
      <c r="C13" s="232"/>
      <c r="D13" s="232"/>
      <c r="E13" s="244"/>
      <c r="F13" s="232"/>
      <c r="G13" s="235"/>
      <c r="H13" s="238"/>
      <c r="I13" s="226"/>
      <c r="J13" s="247"/>
      <c r="K13" s="226">
        <f>IF(NOT(ISERROR(MATCH(J13,_xlfn.ANCHORARRAY(E24),0))),I26&amp;"Por favor no seleccionar los criterios de impacto",J13)</f>
        <v>0</v>
      </c>
      <c r="L13" s="238"/>
      <c r="M13" s="226"/>
      <c r="N13" s="229"/>
      <c r="O13" s="60">
        <v>4</v>
      </c>
      <c r="P13" s="49"/>
      <c r="Q13" s="51" t="str">
        <f t="shared" si="0"/>
        <v/>
      </c>
      <c r="R13" s="52"/>
      <c r="S13" s="52"/>
      <c r="T13" s="53" t="str">
        <f t="shared" si="1"/>
        <v/>
      </c>
      <c r="U13" s="52"/>
      <c r="V13" s="52"/>
      <c r="W13" s="52"/>
      <c r="X13" s="24" t="str">
        <f>IFERROR(IF(AND(Q12="Probabilidad",Q13="Probabilidad"),(Z12-(+Z12*T13)),IF(AND(Q12="Impacto",Q13="Probabilidad"),(Z11-(+Z11*T13)),IF(Q13="Impacto",Z12,""))),"")</f>
        <v/>
      </c>
      <c r="Y13" s="54" t="str">
        <f t="shared" si="4"/>
        <v/>
      </c>
      <c r="Z13" s="55" t="str">
        <f t="shared" si="2"/>
        <v/>
      </c>
      <c r="AA13" s="54" t="str">
        <f t="shared" si="5"/>
        <v/>
      </c>
      <c r="AB13" s="55" t="str">
        <f>IFERROR(IF(AND(Q12="Impacto",Q13="Impacto"),(AB12-(+AB12*T13)),IF(AND(Q12="Probabilidad",Q13="Impacto"),(AB11-(+AB11*T13)),IF(Q13="Probabilidad",AB12,""))),"")</f>
        <v/>
      </c>
      <c r="AC13" s="56" t="str">
        <f t="shared" si="3"/>
        <v/>
      </c>
      <c r="AD13" s="57"/>
      <c r="AE13" s="58"/>
      <c r="AF13" s="48"/>
      <c r="AG13" s="59"/>
      <c r="AH13" s="59"/>
      <c r="AI13" s="58"/>
      <c r="AJ13" s="4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41"/>
      <c r="B14" s="232"/>
      <c r="C14" s="232"/>
      <c r="D14" s="232"/>
      <c r="E14" s="244"/>
      <c r="F14" s="232"/>
      <c r="G14" s="235"/>
      <c r="H14" s="238"/>
      <c r="I14" s="226"/>
      <c r="J14" s="247"/>
      <c r="K14" s="226">
        <f>IF(NOT(ISERROR(MATCH(J14,_xlfn.ANCHORARRAY(E25),0))),I27&amp;"Por favor no seleccionar los criterios de impacto",J14)</f>
        <v>0</v>
      </c>
      <c r="L14" s="238"/>
      <c r="M14" s="226"/>
      <c r="N14" s="229"/>
      <c r="O14" s="60">
        <v>5</v>
      </c>
      <c r="P14" s="49"/>
      <c r="Q14" s="51" t="str">
        <f t="shared" si="0"/>
        <v/>
      </c>
      <c r="R14" s="52"/>
      <c r="S14" s="52"/>
      <c r="T14" s="53" t="str">
        <f t="shared" si="1"/>
        <v/>
      </c>
      <c r="U14" s="52"/>
      <c r="V14" s="52"/>
      <c r="W14" s="52"/>
      <c r="X14" s="24" t="str">
        <f>IFERROR(IF(AND(Q13="Probabilidad",Q14="Probabilidad"),(Z13-(+Z13*T14)),IF(AND(Q13="Impacto",Q14="Probabilidad"),(Z12-(+Z12*T14)),IF(Q14="Impacto",Z13,""))),"")</f>
        <v/>
      </c>
      <c r="Y14" s="54" t="str">
        <f t="shared" si="4"/>
        <v/>
      </c>
      <c r="Z14" s="55" t="str">
        <f t="shared" si="2"/>
        <v/>
      </c>
      <c r="AA14" s="54" t="str">
        <f t="shared" si="5"/>
        <v/>
      </c>
      <c r="AB14" s="55" t="str">
        <f>IFERROR(IF(AND(Q13="Impacto",Q14="Impacto"),(AB13-(+AB13*T14)),IF(AND(Q13="Probabilidad",Q14="Impacto"),(AB12-(+AB12*T14)),IF(Q14="Probabilidad",AB13,""))),"")</f>
        <v/>
      </c>
      <c r="AC14" s="56" t="str">
        <f t="shared" si="3"/>
        <v/>
      </c>
      <c r="AD14" s="57"/>
      <c r="AE14" s="58"/>
      <c r="AF14" s="48"/>
      <c r="AG14" s="59"/>
      <c r="AH14" s="59"/>
      <c r="AI14" s="58"/>
      <c r="AJ14" s="4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42"/>
      <c r="B15" s="233"/>
      <c r="C15" s="233"/>
      <c r="D15" s="233"/>
      <c r="E15" s="245"/>
      <c r="F15" s="233"/>
      <c r="G15" s="236"/>
      <c r="H15" s="239"/>
      <c r="I15" s="227"/>
      <c r="J15" s="248"/>
      <c r="K15" s="227">
        <f>IF(NOT(ISERROR(MATCH(J15,_xlfn.ANCHORARRAY(E26),0))),I28&amp;"Por favor no seleccionar los criterios de impacto",J15)</f>
        <v>0</v>
      </c>
      <c r="L15" s="239"/>
      <c r="M15" s="227"/>
      <c r="N15" s="230"/>
      <c r="O15" s="60">
        <v>6</v>
      </c>
      <c r="P15" s="49"/>
      <c r="Q15" s="51" t="str">
        <f t="shared" si="0"/>
        <v/>
      </c>
      <c r="R15" s="52"/>
      <c r="S15" s="52"/>
      <c r="T15" s="53" t="str">
        <f t="shared" si="1"/>
        <v/>
      </c>
      <c r="U15" s="52"/>
      <c r="V15" s="52"/>
      <c r="W15" s="52"/>
      <c r="X15" s="24" t="str">
        <f>IFERROR(IF(AND(Q14="Probabilidad",Q15="Probabilidad"),(Z14-(+Z14*T15)),IF(AND(Q14="Impacto",Q15="Probabilidad"),(Z13-(+Z13*T15)),IF(Q15="Impacto",Z14,""))),"")</f>
        <v/>
      </c>
      <c r="Y15" s="54" t="str">
        <f t="shared" si="4"/>
        <v/>
      </c>
      <c r="Z15" s="55" t="str">
        <f t="shared" si="2"/>
        <v/>
      </c>
      <c r="AA15" s="54" t="str">
        <f t="shared" si="5"/>
        <v/>
      </c>
      <c r="AB15" s="55" t="str">
        <f>IFERROR(IF(AND(Q14="Impacto",Q15="Impacto"),(AB14-(+AB14*T15)),IF(AND(Q14="Probabilidad",Q15="Impacto"),(AB13-(+AB13*T15)),IF(Q15="Probabilidad",AB14,""))),"")</f>
        <v/>
      </c>
      <c r="AC15" s="56" t="str">
        <f t="shared" si="3"/>
        <v/>
      </c>
      <c r="AD15" s="57"/>
      <c r="AE15" s="58"/>
      <c r="AF15" s="48"/>
      <c r="AG15" s="59"/>
      <c r="AH15" s="59"/>
      <c r="AI15" s="58"/>
      <c r="AJ15" s="4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40">
        <v>2</v>
      </c>
      <c r="B16" s="231" t="s">
        <v>133</v>
      </c>
      <c r="C16" s="231" t="s">
        <v>232</v>
      </c>
      <c r="D16" s="231" t="s">
        <v>231</v>
      </c>
      <c r="E16" s="243" t="s">
        <v>234</v>
      </c>
      <c r="F16" s="231" t="s">
        <v>123</v>
      </c>
      <c r="G16" s="234">
        <v>80</v>
      </c>
      <c r="H16" s="237" t="str">
        <f>IF(G16&lt;=0,"",IF(G16&lt;=2,"Muy Baja",IF(G16&lt;=24,"Baja",IF(G16&lt;=500,"Media",IF(G16&lt;=5000,"Alta","Muy Alta")))))</f>
        <v>Media</v>
      </c>
      <c r="I16" s="225">
        <f>IF(H16="","",IF(H16="Muy Baja",0.2,IF(H16="Baja",0.4,IF(H16="Media",0.6,IF(H16="Alta",0.8,IF(H16="Muy Alta",1,))))))</f>
        <v>0.6</v>
      </c>
      <c r="J16" s="246" t="s">
        <v>146</v>
      </c>
      <c r="K16" s="225" t="str">
        <f>IF(NOT(ISERROR(MATCH(J16,'Tabla Impacto'!$B$221:$B$223,0))),'Tabla Impacto'!$F$223&amp;"Por favor no seleccionar los criterios de impacto(Afectación Económica o presupuestal y Pérdida Reputacional)",J16)</f>
        <v xml:space="preserve">     Afectación menor a 10 SMLMV .</v>
      </c>
      <c r="L16" s="237" t="str">
        <f>IF(OR(K16='Tabla Impacto'!$C$11,K16='Tabla Impacto'!$D$11),"Leve",IF(OR(K16='Tabla Impacto'!$C$12,K16='Tabla Impacto'!$D$12),"Menor",IF(OR(K16='Tabla Impacto'!$C$13,K16='Tabla Impacto'!$D$13),"Moderado",IF(OR(K16='Tabla Impacto'!$C$14,K16='Tabla Impacto'!$D$14),"Mayor",IF(OR(K16='Tabla Impacto'!$C$15,K16='Tabla Impacto'!$D$15),"Catastrófico","")))))</f>
        <v>Leve</v>
      </c>
      <c r="M16" s="225">
        <f>IF(L16="","",IF(L16="Leve",0.2,IF(L16="Menor",0.4,IF(L16="Moderado",0.6,IF(L16="Mayor",0.8,IF(L16="Catastrófico",1,))))))</f>
        <v>0.2</v>
      </c>
      <c r="N16" s="228"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60">
        <v>1</v>
      </c>
      <c r="P16" s="49" t="s">
        <v>239</v>
      </c>
      <c r="Q16" s="51" t="str">
        <f t="shared" si="0"/>
        <v>Probabilidad</v>
      </c>
      <c r="R16" s="52" t="s">
        <v>14</v>
      </c>
      <c r="S16" s="52" t="s">
        <v>9</v>
      </c>
      <c r="T16" s="53" t="str">
        <f t="shared" si="1"/>
        <v>40%</v>
      </c>
      <c r="U16" s="52" t="s">
        <v>20</v>
      </c>
      <c r="V16" s="52" t="s">
        <v>22</v>
      </c>
      <c r="W16" s="52" t="s">
        <v>119</v>
      </c>
      <c r="X16" s="24">
        <f>IFERROR(IF(Q16="Probabilidad",(I16-(+I16*T16)),IF(Q16="Impacto",I16,"")),"")</f>
        <v>0.36</v>
      </c>
      <c r="Y16" s="54" t="str">
        <f>IFERROR(IF(X16="","",IF(X16&lt;=0.2,"Muy Baja",IF(X16&lt;=0.4,"Baja",IF(X16&lt;=0.6,"Media",IF(X16&lt;=0.8,"Alta","Muy Alta"))))),"")</f>
        <v>Baja</v>
      </c>
      <c r="Z16" s="55">
        <f t="shared" si="2"/>
        <v>0.36</v>
      </c>
      <c r="AA16" s="54" t="str">
        <f>IFERROR(IF(AB16="","",IF(AB16&lt;=0.2,"Leve",IF(AB16&lt;=0.4,"Menor",IF(AB16&lt;=0.6,"Moderado",IF(AB16&lt;=0.8,"Mayor","Catastrófico"))))),"")</f>
        <v>Leve</v>
      </c>
      <c r="AB16" s="55">
        <f>IFERROR(IF(Q16="Impacto",(M16-(+M16*T16)),IF(Q16="Probabilidad",M16,"")),"")</f>
        <v>0.2</v>
      </c>
      <c r="AC16" s="56" t="str">
        <f t="shared" si="3"/>
        <v>Bajo</v>
      </c>
      <c r="AD16" s="57" t="s">
        <v>31</v>
      </c>
      <c r="AE16" s="58"/>
      <c r="AF16" s="58"/>
      <c r="AG16" s="140"/>
      <c r="AH16" s="140"/>
      <c r="AI16" s="58"/>
      <c r="AJ16" s="4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41"/>
      <c r="B17" s="232"/>
      <c r="C17" s="232"/>
      <c r="D17" s="232"/>
      <c r="E17" s="244"/>
      <c r="F17" s="232"/>
      <c r="G17" s="235"/>
      <c r="H17" s="238"/>
      <c r="I17" s="226"/>
      <c r="J17" s="247"/>
      <c r="K17" s="226">
        <f>IF(NOT(ISERROR(MATCH(J17,_xlfn.ANCHORARRAY(E28),0))),I30&amp;"Por favor no seleccionar los criterios de impacto",J17)</f>
        <v>0</v>
      </c>
      <c r="L17" s="238"/>
      <c r="M17" s="226"/>
      <c r="N17" s="229"/>
      <c r="O17" s="60">
        <v>2</v>
      </c>
      <c r="P17" s="49"/>
      <c r="Q17" s="51" t="str">
        <f t="shared" si="0"/>
        <v/>
      </c>
      <c r="R17" s="52"/>
      <c r="S17" s="52"/>
      <c r="T17" s="53" t="str">
        <f t="shared" si="1"/>
        <v/>
      </c>
      <c r="U17" s="52"/>
      <c r="V17" s="52"/>
      <c r="W17" s="52"/>
      <c r="X17" s="24" t="str">
        <f>IFERROR(IF(AND(Q16="Probabilidad",Q17="Probabilidad"),(Z16-(+Z16*T17)),IF(Q17="Probabilidad",(I16-(+I16*T17)),IF(Q17="Impacto",Z16,""))),"")</f>
        <v/>
      </c>
      <c r="Y17" s="54" t="str">
        <f t="shared" si="4"/>
        <v/>
      </c>
      <c r="Z17" s="55" t="str">
        <f t="shared" si="2"/>
        <v/>
      </c>
      <c r="AA17" s="54" t="str">
        <f t="shared" si="5"/>
        <v/>
      </c>
      <c r="AB17" s="55" t="str">
        <f>IFERROR(IF(AND(Q16="Impacto",Q17="Impacto"),(AB10-(+AB10*T17)),IF(Q17="Impacto",($M$16-(+$M$16*T17)),IF(Q17="Probabilidad",AB10,""))),"")</f>
        <v/>
      </c>
      <c r="AC17" s="56" t="str">
        <f t="shared" si="3"/>
        <v/>
      </c>
      <c r="AD17" s="57"/>
      <c r="AE17" s="58"/>
      <c r="AF17" s="58"/>
      <c r="AG17" s="140"/>
      <c r="AH17" s="140"/>
      <c r="AI17" s="58"/>
      <c r="AJ17" s="4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41"/>
      <c r="B18" s="232"/>
      <c r="C18" s="232"/>
      <c r="D18" s="232"/>
      <c r="E18" s="244"/>
      <c r="F18" s="232"/>
      <c r="G18" s="235"/>
      <c r="H18" s="238"/>
      <c r="I18" s="226"/>
      <c r="J18" s="247"/>
      <c r="K18" s="226">
        <f>IF(NOT(ISERROR(MATCH(J18,_xlfn.ANCHORARRAY(E29),0))),I31&amp;"Por favor no seleccionar los criterios de impacto",J18)</f>
        <v>0</v>
      </c>
      <c r="L18" s="238"/>
      <c r="M18" s="226"/>
      <c r="N18" s="229"/>
      <c r="O18" s="60">
        <v>3</v>
      </c>
      <c r="P18" s="50"/>
      <c r="Q18" s="51" t="str">
        <f t="shared" si="0"/>
        <v/>
      </c>
      <c r="R18" s="52"/>
      <c r="S18" s="52"/>
      <c r="T18" s="53" t="str">
        <f t="shared" si="1"/>
        <v/>
      </c>
      <c r="U18" s="52"/>
      <c r="V18" s="52"/>
      <c r="W18" s="52"/>
      <c r="X18" s="24" t="str">
        <f>IFERROR(IF(AND(Q17="Probabilidad",Q18="Probabilidad"),(Z17-(+Z17*T18)),IF(AND(Q17="Impacto",Q18="Probabilidad"),(Z16-(+Z16*T18)),IF(Q18="Impacto",Z17,""))),"")</f>
        <v/>
      </c>
      <c r="Y18" s="54" t="str">
        <f t="shared" si="4"/>
        <v/>
      </c>
      <c r="Z18" s="55" t="str">
        <f t="shared" si="2"/>
        <v/>
      </c>
      <c r="AA18" s="54" t="str">
        <f t="shared" si="5"/>
        <v/>
      </c>
      <c r="AB18" s="55" t="str">
        <f>IFERROR(IF(AND(Q17="Impacto",Q18="Impacto"),(AB17-(+AB17*T18)),IF(AND(Q17="Probabilidad",Q18="Impacto"),(AB16-(+AB16*T18)),IF(Q18="Probabilidad",AB17,""))),"")</f>
        <v/>
      </c>
      <c r="AC18" s="56" t="str">
        <f t="shared" si="3"/>
        <v/>
      </c>
      <c r="AD18" s="57"/>
      <c r="AE18" s="58"/>
      <c r="AF18" s="48"/>
      <c r="AG18" s="59"/>
      <c r="AH18" s="59"/>
      <c r="AI18" s="58"/>
      <c r="AJ18" s="4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41"/>
      <c r="B19" s="232"/>
      <c r="C19" s="232"/>
      <c r="D19" s="232"/>
      <c r="E19" s="244"/>
      <c r="F19" s="232"/>
      <c r="G19" s="235"/>
      <c r="H19" s="238"/>
      <c r="I19" s="226"/>
      <c r="J19" s="247"/>
      <c r="K19" s="226">
        <f>IF(NOT(ISERROR(MATCH(J19,_xlfn.ANCHORARRAY(E30),0))),I32&amp;"Por favor no seleccionar los criterios de impacto",J19)</f>
        <v>0</v>
      </c>
      <c r="L19" s="238"/>
      <c r="M19" s="226"/>
      <c r="N19" s="229"/>
      <c r="O19" s="60">
        <v>4</v>
      </c>
      <c r="P19" s="49"/>
      <c r="Q19" s="51" t="str">
        <f t="shared" si="0"/>
        <v/>
      </c>
      <c r="R19" s="52"/>
      <c r="S19" s="52"/>
      <c r="T19" s="53" t="str">
        <f t="shared" si="1"/>
        <v/>
      </c>
      <c r="U19" s="52"/>
      <c r="V19" s="52"/>
      <c r="W19" s="52"/>
      <c r="X19" s="24" t="str">
        <f>IFERROR(IF(AND(Q18="Probabilidad",Q19="Probabilidad"),(Z18-(+Z18*T19)),IF(AND(Q18="Impacto",Q19="Probabilidad"),(Z17-(+Z17*T19)),IF(Q19="Impacto",Z18,""))),"")</f>
        <v/>
      </c>
      <c r="Y19" s="54" t="str">
        <f t="shared" si="4"/>
        <v/>
      </c>
      <c r="Z19" s="55" t="str">
        <f t="shared" si="2"/>
        <v/>
      </c>
      <c r="AA19" s="54" t="str">
        <f t="shared" si="5"/>
        <v/>
      </c>
      <c r="AB19" s="55" t="str">
        <f>IFERROR(IF(AND(Q18="Impacto",Q19="Impacto"),(AB18-(+AB18*T19)),IF(AND(Q18="Probabilidad",Q19="Impacto"),(AB17-(+AB17*T19)),IF(Q19="Probabilidad",AB18,""))),"")</f>
        <v/>
      </c>
      <c r="AC19" s="56" t="str">
        <f t="shared" si="3"/>
        <v/>
      </c>
      <c r="AD19" s="57"/>
      <c r="AE19" s="58"/>
      <c r="AF19" s="48"/>
      <c r="AG19" s="59"/>
      <c r="AH19" s="59"/>
      <c r="AI19" s="58"/>
      <c r="AJ19" s="4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41"/>
      <c r="B20" s="232"/>
      <c r="C20" s="232"/>
      <c r="D20" s="232"/>
      <c r="E20" s="244"/>
      <c r="F20" s="232"/>
      <c r="G20" s="235"/>
      <c r="H20" s="238"/>
      <c r="I20" s="226"/>
      <c r="J20" s="247"/>
      <c r="K20" s="226">
        <f>IF(NOT(ISERROR(MATCH(J20,_xlfn.ANCHORARRAY(E31),0))),I33&amp;"Por favor no seleccionar los criterios de impacto",J20)</f>
        <v>0</v>
      </c>
      <c r="L20" s="238"/>
      <c r="M20" s="226"/>
      <c r="N20" s="229"/>
      <c r="O20" s="60">
        <v>5</v>
      </c>
      <c r="P20" s="49"/>
      <c r="Q20" s="51" t="str">
        <f t="shared" si="0"/>
        <v/>
      </c>
      <c r="R20" s="52"/>
      <c r="S20" s="52"/>
      <c r="T20" s="53" t="str">
        <f t="shared" si="1"/>
        <v/>
      </c>
      <c r="U20" s="52"/>
      <c r="V20" s="52"/>
      <c r="W20" s="52"/>
      <c r="X20" s="24" t="str">
        <f>IFERROR(IF(AND(Q19="Probabilidad",Q20="Probabilidad"),(Z19-(+Z19*T20)),IF(AND(Q19="Impacto",Q20="Probabilidad"),(Z18-(+Z18*T20)),IF(Q20="Impacto",Z19,""))),"")</f>
        <v/>
      </c>
      <c r="Y20" s="54" t="str">
        <f t="shared" si="4"/>
        <v/>
      </c>
      <c r="Z20" s="55" t="str">
        <f t="shared" si="2"/>
        <v/>
      </c>
      <c r="AA20" s="54" t="str">
        <f t="shared" si="5"/>
        <v/>
      </c>
      <c r="AB20" s="55" t="str">
        <f>IFERROR(IF(AND(Q19="Impacto",Q20="Impacto"),(AB19-(+AB19*T20)),IF(AND(Q19="Probabilidad",Q20="Impacto"),(AB18-(+AB18*T20)),IF(Q20="Probabilidad",AB19,""))),"")</f>
        <v/>
      </c>
      <c r="AC20" s="56" t="str">
        <f t="shared" si="3"/>
        <v/>
      </c>
      <c r="AD20" s="57"/>
      <c r="AE20" s="58"/>
      <c r="AF20" s="48"/>
      <c r="AG20" s="59"/>
      <c r="AH20" s="59"/>
      <c r="AI20" s="58"/>
      <c r="AJ20" s="4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42"/>
      <c r="B21" s="233"/>
      <c r="C21" s="233"/>
      <c r="D21" s="233"/>
      <c r="E21" s="245"/>
      <c r="F21" s="233"/>
      <c r="G21" s="236"/>
      <c r="H21" s="239"/>
      <c r="I21" s="227"/>
      <c r="J21" s="248"/>
      <c r="K21" s="227">
        <f>IF(NOT(ISERROR(MATCH(J21,_xlfn.ANCHORARRAY(E32),0))),I34&amp;"Por favor no seleccionar los criterios de impacto",J21)</f>
        <v>0</v>
      </c>
      <c r="L21" s="239"/>
      <c r="M21" s="227"/>
      <c r="N21" s="230"/>
      <c r="O21" s="60">
        <v>6</v>
      </c>
      <c r="P21" s="49"/>
      <c r="Q21" s="51" t="str">
        <f t="shared" si="0"/>
        <v/>
      </c>
      <c r="R21" s="52"/>
      <c r="S21" s="52"/>
      <c r="T21" s="53" t="str">
        <f t="shared" si="1"/>
        <v/>
      </c>
      <c r="U21" s="52"/>
      <c r="V21" s="52"/>
      <c r="W21" s="52"/>
      <c r="X21" s="24" t="str">
        <f>IFERROR(IF(AND(Q20="Probabilidad",Q21="Probabilidad"),(Z20-(+Z20*T21)),IF(AND(Q20="Impacto",Q21="Probabilidad"),(Z19-(+Z19*T21)),IF(Q21="Impacto",Z20,""))),"")</f>
        <v/>
      </c>
      <c r="Y21" s="54" t="str">
        <f t="shared" si="4"/>
        <v/>
      </c>
      <c r="Z21" s="55" t="str">
        <f t="shared" si="2"/>
        <v/>
      </c>
      <c r="AA21" s="54" t="str">
        <f t="shared" si="5"/>
        <v/>
      </c>
      <c r="AB21" s="55" t="str">
        <f>IFERROR(IF(AND(Q20="Impacto",Q21="Impacto"),(AB20-(+AB20*T21)),IF(AND(Q20="Probabilidad",Q21="Impacto"),(AB19-(+AB19*T21)),IF(Q21="Probabilidad",AB20,""))),"")</f>
        <v/>
      </c>
      <c r="AC21" s="56" t="str">
        <f t="shared" si="3"/>
        <v/>
      </c>
      <c r="AD21" s="57"/>
      <c r="AE21" s="58"/>
      <c r="AF21" s="48"/>
      <c r="AG21" s="59"/>
      <c r="AH21" s="59"/>
      <c r="AI21" s="58"/>
      <c r="AJ21" s="4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40">
        <v>3</v>
      </c>
      <c r="B22" s="231" t="s">
        <v>134</v>
      </c>
      <c r="C22" s="231" t="s">
        <v>236</v>
      </c>
      <c r="D22" s="231" t="s">
        <v>235</v>
      </c>
      <c r="E22" s="243" t="s">
        <v>233</v>
      </c>
      <c r="F22" s="231" t="s">
        <v>125</v>
      </c>
      <c r="G22" s="234">
        <v>1</v>
      </c>
      <c r="H22" s="237" t="str">
        <f>IF(G22&lt;=0,"",IF(G22&lt;=2,"Muy Baja",IF(G22&lt;=24,"Baja",IF(G22&lt;=500,"Media",IF(G22&lt;=5000,"Alta","Muy Alta")))))</f>
        <v>Muy Baja</v>
      </c>
      <c r="I22" s="225">
        <f>IF(H22="","",IF(H22="Muy Baja",0.2,IF(H22="Baja",0.4,IF(H22="Media",0.6,IF(H22="Alta",0.8,IF(H22="Muy Alta",1,))))))</f>
        <v>0.2</v>
      </c>
      <c r="J22" s="246" t="s">
        <v>153</v>
      </c>
      <c r="K22" s="225" t="str">
        <f>IF(NOT(ISERROR(MATCH(J22,'Tabla Impacto'!$B$221:$B$223,0))),'Tabla Impacto'!$F$223&amp;"Por favor no seleccionar los criterios de impacto(Afectación Económica o presupuestal y Pérdida Reputacional)",J22)</f>
        <v xml:space="preserve">     El riesgo afecta la imagen de alguna área de la organización</v>
      </c>
      <c r="L22" s="237" t="str">
        <f>IF(OR(K22='Tabla Impacto'!$C$11,K22='Tabla Impacto'!$D$11),"Leve",IF(OR(K22='Tabla Impacto'!$C$12,K22='Tabla Impacto'!$D$12),"Menor",IF(OR(K22='Tabla Impacto'!$C$13,K22='Tabla Impacto'!$D$13),"Moderado",IF(OR(K22='Tabla Impacto'!$C$14,K22='Tabla Impacto'!$D$14),"Mayor",IF(OR(K22='Tabla Impacto'!$C$15,K22='Tabla Impacto'!$D$15),"Catastrófico","")))))</f>
        <v>Leve</v>
      </c>
      <c r="M22" s="225">
        <f>IF(L22="","",IF(L22="Leve",0.2,IF(L22="Menor",0.4,IF(L22="Moderado",0.6,IF(L22="Mayor",0.8,IF(L22="Catastrófico",1,))))))</f>
        <v>0.2</v>
      </c>
      <c r="N22" s="228"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Bajo</v>
      </c>
      <c r="O22" s="60">
        <v>1</v>
      </c>
      <c r="P22" s="49" t="s">
        <v>240</v>
      </c>
      <c r="Q22" s="51" t="str">
        <f t="shared" si="0"/>
        <v>Probabilidad</v>
      </c>
      <c r="R22" s="52" t="s">
        <v>14</v>
      </c>
      <c r="S22" s="52" t="s">
        <v>9</v>
      </c>
      <c r="T22" s="53" t="str">
        <f t="shared" si="1"/>
        <v>40%</v>
      </c>
      <c r="U22" s="52" t="s">
        <v>19</v>
      </c>
      <c r="V22" s="52" t="s">
        <v>22</v>
      </c>
      <c r="W22" s="52" t="s">
        <v>119</v>
      </c>
      <c r="X22" s="24">
        <f>IFERROR(IF(Q22="Probabilidad",(I22-(+I22*T22)),IF(Q22="Impacto",I22,"")),"")</f>
        <v>0.12</v>
      </c>
      <c r="Y22" s="54" t="str">
        <f>IFERROR(IF(X22="","",IF(X22&lt;=0.2,"Muy Baja",IF(X22&lt;=0.4,"Baja",IF(X22&lt;=0.6,"Media",IF(X22&lt;=0.8,"Alta","Muy Alta"))))),"")</f>
        <v>Muy Baja</v>
      </c>
      <c r="Z22" s="55">
        <f t="shared" si="2"/>
        <v>0.12</v>
      </c>
      <c r="AA22" s="54" t="str">
        <f>IFERROR(IF(AB22="","",IF(AB22&lt;=0.2,"Leve",IF(AB22&lt;=0.4,"Menor",IF(AB22&lt;=0.6,"Moderado",IF(AB22&lt;=0.8,"Mayor","Catastrófico"))))),"")</f>
        <v>Leve</v>
      </c>
      <c r="AB22" s="55">
        <f>IFERROR(IF(Q22="Impacto",(M22-(+M22*T22)),IF(Q22="Probabilidad",M22,"")),"")</f>
        <v>0.2</v>
      </c>
      <c r="AC22" s="56" t="str">
        <f t="shared" si="3"/>
        <v>Bajo</v>
      </c>
      <c r="AD22" s="57" t="s">
        <v>32</v>
      </c>
      <c r="AE22" s="58"/>
      <c r="AF22" s="48"/>
      <c r="AG22" s="59"/>
      <c r="AH22" s="59"/>
      <c r="AI22" s="58"/>
      <c r="AJ22" s="4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41"/>
      <c r="B23" s="232"/>
      <c r="C23" s="232"/>
      <c r="D23" s="232"/>
      <c r="E23" s="244"/>
      <c r="F23" s="232"/>
      <c r="G23" s="235"/>
      <c r="H23" s="238"/>
      <c r="I23" s="226"/>
      <c r="J23" s="247"/>
      <c r="K23" s="226">
        <f>IF(NOT(ISERROR(MATCH(J23,_xlfn.ANCHORARRAY(E34),0))),I36&amp;"Por favor no seleccionar los criterios de impacto",J23)</f>
        <v>0</v>
      </c>
      <c r="L23" s="238"/>
      <c r="M23" s="226"/>
      <c r="N23" s="229"/>
      <c r="O23" s="60">
        <v>2</v>
      </c>
      <c r="P23" s="49"/>
      <c r="Q23" s="51" t="str">
        <f t="shared" si="0"/>
        <v/>
      </c>
      <c r="R23" s="52"/>
      <c r="S23" s="52"/>
      <c r="T23" s="53" t="str">
        <f t="shared" si="1"/>
        <v/>
      </c>
      <c r="U23" s="52"/>
      <c r="V23" s="52"/>
      <c r="W23" s="52"/>
      <c r="X23" s="31" t="str">
        <f>IFERROR(IF(AND(Q22="Probabilidad",Q23="Probabilidad"),(Z22-(+Z22*T23)),IF(Q23="Probabilidad",(I22-(+I22*T23)),IF(Q23="Impacto",Z22,""))),"")</f>
        <v/>
      </c>
      <c r="Y23" s="54" t="str">
        <f t="shared" si="4"/>
        <v/>
      </c>
      <c r="Z23" s="55" t="str">
        <f t="shared" si="2"/>
        <v/>
      </c>
      <c r="AA23" s="54" t="str">
        <f t="shared" si="5"/>
        <v/>
      </c>
      <c r="AB23" s="55" t="str">
        <f>IFERROR(IF(AND(Q22="Impacto",Q23="Impacto"),(AB16-(+AB16*T23)),IF(Q23="Impacto",($M$22-(+$M$22*T23)),IF(Q23="Probabilidad",AB16,""))),"")</f>
        <v/>
      </c>
      <c r="AC23" s="56" t="str">
        <f t="shared" si="3"/>
        <v/>
      </c>
      <c r="AD23" s="57"/>
      <c r="AE23" s="58"/>
      <c r="AF23" s="48"/>
      <c r="AG23" s="59"/>
      <c r="AH23" s="59"/>
      <c r="AI23" s="58"/>
      <c r="AJ23" s="4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41"/>
      <c r="B24" s="232"/>
      <c r="C24" s="232"/>
      <c r="D24" s="232"/>
      <c r="E24" s="244"/>
      <c r="F24" s="232"/>
      <c r="G24" s="235"/>
      <c r="H24" s="238"/>
      <c r="I24" s="226"/>
      <c r="J24" s="247"/>
      <c r="K24" s="226">
        <f>IF(NOT(ISERROR(MATCH(J24,_xlfn.ANCHORARRAY(E35),0))),I37&amp;"Por favor no seleccionar los criterios de impacto",J24)</f>
        <v>0</v>
      </c>
      <c r="L24" s="238"/>
      <c r="M24" s="226"/>
      <c r="N24" s="229"/>
      <c r="O24" s="60">
        <v>3</v>
      </c>
      <c r="P24" s="50"/>
      <c r="Q24" s="51" t="str">
        <f t="shared" si="0"/>
        <v/>
      </c>
      <c r="R24" s="52"/>
      <c r="S24" s="52"/>
      <c r="T24" s="53" t="str">
        <f t="shared" si="1"/>
        <v/>
      </c>
      <c r="U24" s="52"/>
      <c r="V24" s="52"/>
      <c r="W24" s="52"/>
      <c r="X24" s="24" t="str">
        <f>IFERROR(IF(AND(Q23="Probabilidad",Q24="Probabilidad"),(Z23-(+Z23*T24)),IF(AND(Q23="Impacto",Q24="Probabilidad"),(Z22-(+Z22*T24)),IF(Q24="Impacto",Z23,""))),"")</f>
        <v/>
      </c>
      <c r="Y24" s="54" t="str">
        <f t="shared" si="4"/>
        <v/>
      </c>
      <c r="Z24" s="55" t="str">
        <f t="shared" si="2"/>
        <v/>
      </c>
      <c r="AA24" s="54" t="str">
        <f t="shared" si="5"/>
        <v/>
      </c>
      <c r="AB24" s="55" t="str">
        <f>IFERROR(IF(AND(Q23="Impacto",Q24="Impacto"),(AB23-(+AB23*T24)),IF(AND(Q23="Probabilidad",Q24="Impacto"),(AB22-(+AB22*T24)),IF(Q24="Probabilidad",AB23,""))),"")</f>
        <v/>
      </c>
      <c r="AC24" s="56" t="str">
        <f t="shared" si="3"/>
        <v/>
      </c>
      <c r="AD24" s="57"/>
      <c r="AE24" s="58"/>
      <c r="AF24" s="48"/>
      <c r="AG24" s="59"/>
      <c r="AH24" s="59"/>
      <c r="AI24" s="58"/>
      <c r="AJ24" s="4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41"/>
      <c r="B25" s="232"/>
      <c r="C25" s="232"/>
      <c r="D25" s="232"/>
      <c r="E25" s="244"/>
      <c r="F25" s="232"/>
      <c r="G25" s="235"/>
      <c r="H25" s="238"/>
      <c r="I25" s="226"/>
      <c r="J25" s="247"/>
      <c r="K25" s="226">
        <f>IF(NOT(ISERROR(MATCH(J25,_xlfn.ANCHORARRAY(E36),0))),I38&amp;"Por favor no seleccionar los criterios de impacto",J25)</f>
        <v>0</v>
      </c>
      <c r="L25" s="238"/>
      <c r="M25" s="226"/>
      <c r="N25" s="229"/>
      <c r="O25" s="60">
        <v>4</v>
      </c>
      <c r="P25" s="49"/>
      <c r="Q25" s="51" t="str">
        <f t="shared" si="0"/>
        <v/>
      </c>
      <c r="R25" s="52"/>
      <c r="S25" s="52"/>
      <c r="T25" s="53" t="str">
        <f t="shared" si="1"/>
        <v/>
      </c>
      <c r="U25" s="52"/>
      <c r="V25" s="52"/>
      <c r="W25" s="52"/>
      <c r="X25" s="24" t="str">
        <f>IFERROR(IF(AND(Q24="Probabilidad",Q25="Probabilidad"),(Z24-(+Z24*T25)),IF(AND(Q24="Impacto",Q25="Probabilidad"),(Z23-(+Z23*T25)),IF(Q25="Impacto",Z24,""))),"")</f>
        <v/>
      </c>
      <c r="Y25" s="54" t="str">
        <f t="shared" si="4"/>
        <v/>
      </c>
      <c r="Z25" s="55" t="str">
        <f t="shared" si="2"/>
        <v/>
      </c>
      <c r="AA25" s="54" t="str">
        <f t="shared" si="5"/>
        <v/>
      </c>
      <c r="AB25" s="55" t="str">
        <f>IFERROR(IF(AND(Q24="Impacto",Q25="Impacto"),(AB24-(+AB24*T25)),IF(AND(Q24="Probabilidad",Q25="Impacto"),(AB23-(+AB23*T25)),IF(Q25="Probabilidad",AB24,""))),"")</f>
        <v/>
      </c>
      <c r="AC25" s="56" t="str">
        <f t="shared" si="3"/>
        <v/>
      </c>
      <c r="AD25" s="57"/>
      <c r="AE25" s="58"/>
      <c r="AF25" s="48"/>
      <c r="AG25" s="59"/>
      <c r="AH25" s="59"/>
      <c r="AI25" s="58"/>
      <c r="AJ25" s="4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41"/>
      <c r="B26" s="232"/>
      <c r="C26" s="232"/>
      <c r="D26" s="232"/>
      <c r="E26" s="244"/>
      <c r="F26" s="232"/>
      <c r="G26" s="235"/>
      <c r="H26" s="238"/>
      <c r="I26" s="226"/>
      <c r="J26" s="247"/>
      <c r="K26" s="226">
        <f>IF(NOT(ISERROR(MATCH(J26,_xlfn.ANCHORARRAY(E37),0))),I39&amp;"Por favor no seleccionar los criterios de impacto",J26)</f>
        <v>0</v>
      </c>
      <c r="L26" s="238"/>
      <c r="M26" s="226"/>
      <c r="N26" s="229"/>
      <c r="O26" s="60">
        <v>5</v>
      </c>
      <c r="P26" s="49"/>
      <c r="Q26" s="51" t="str">
        <f t="shared" si="0"/>
        <v/>
      </c>
      <c r="R26" s="52"/>
      <c r="S26" s="52"/>
      <c r="T26" s="53" t="str">
        <f t="shared" si="1"/>
        <v/>
      </c>
      <c r="U26" s="52"/>
      <c r="V26" s="52"/>
      <c r="W26" s="52"/>
      <c r="X26" s="24" t="str">
        <f>IFERROR(IF(AND(Q25="Probabilidad",Q26="Probabilidad"),(Z25-(+Z25*T26)),IF(AND(Q25="Impacto",Q26="Probabilidad"),(Z24-(+Z24*T26)),IF(Q26="Impacto",Z25,""))),"")</f>
        <v/>
      </c>
      <c r="Y26" s="54" t="str">
        <f t="shared" si="4"/>
        <v/>
      </c>
      <c r="Z26" s="55" t="str">
        <f t="shared" si="2"/>
        <v/>
      </c>
      <c r="AA26" s="54" t="str">
        <f t="shared" si="5"/>
        <v/>
      </c>
      <c r="AB26" s="55" t="str">
        <f>IFERROR(IF(AND(Q25="Impacto",Q26="Impacto"),(AB25-(+AB25*T26)),IF(AND(Q25="Probabilidad",Q26="Impacto"),(AB24-(+AB24*T26)),IF(Q26="Probabilidad",AB25,""))),"")</f>
        <v/>
      </c>
      <c r="AC26" s="56" t="str">
        <f t="shared" si="3"/>
        <v/>
      </c>
      <c r="AD26" s="57"/>
      <c r="AE26" s="58"/>
      <c r="AF26" s="48"/>
      <c r="AG26" s="59"/>
      <c r="AH26" s="59"/>
      <c r="AI26" s="58"/>
      <c r="AJ26" s="4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42"/>
      <c r="B27" s="233"/>
      <c r="C27" s="233"/>
      <c r="D27" s="233"/>
      <c r="E27" s="245"/>
      <c r="F27" s="233"/>
      <c r="G27" s="236"/>
      <c r="H27" s="239"/>
      <c r="I27" s="227"/>
      <c r="J27" s="248"/>
      <c r="K27" s="227">
        <f>IF(NOT(ISERROR(MATCH(J27,_xlfn.ANCHORARRAY(E38),0))),I40&amp;"Por favor no seleccionar los criterios de impacto",J27)</f>
        <v>0</v>
      </c>
      <c r="L27" s="239"/>
      <c r="M27" s="227"/>
      <c r="N27" s="230"/>
      <c r="O27" s="60">
        <v>6</v>
      </c>
      <c r="P27" s="49"/>
      <c r="Q27" s="51" t="str">
        <f t="shared" si="0"/>
        <v/>
      </c>
      <c r="R27" s="52"/>
      <c r="S27" s="52"/>
      <c r="T27" s="53" t="str">
        <f t="shared" si="1"/>
        <v/>
      </c>
      <c r="U27" s="52"/>
      <c r="V27" s="52"/>
      <c r="W27" s="52"/>
      <c r="X27" s="24" t="str">
        <f>IFERROR(IF(AND(Q26="Probabilidad",Q27="Probabilidad"),(Z26-(+Z26*T27)),IF(AND(Q26="Impacto",Q27="Probabilidad"),(Z25-(+Z25*T27)),IF(Q27="Impacto",Z26,""))),"")</f>
        <v/>
      </c>
      <c r="Y27" s="54" t="str">
        <f t="shared" si="4"/>
        <v/>
      </c>
      <c r="Z27" s="55" t="str">
        <f t="shared" si="2"/>
        <v/>
      </c>
      <c r="AA27" s="54" t="str">
        <f t="shared" si="5"/>
        <v/>
      </c>
      <c r="AB27" s="55" t="str">
        <f>IFERROR(IF(AND(Q26="Impacto",Q27="Impacto"),(AB26-(+AB26*T27)),IF(AND(Q26="Probabilidad",Q27="Impacto"),(AB25-(+AB25*T27)),IF(Q27="Probabilidad",AB26,""))),"")</f>
        <v/>
      </c>
      <c r="AC27" s="56" t="str">
        <f t="shared" si="3"/>
        <v/>
      </c>
      <c r="AD27" s="57"/>
      <c r="AE27" s="58"/>
      <c r="AF27" s="48"/>
      <c r="AG27" s="59"/>
      <c r="AH27" s="59"/>
      <c r="AI27" s="58"/>
      <c r="AJ27" s="4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40">
        <v>4</v>
      </c>
      <c r="B28" s="231" t="s">
        <v>133</v>
      </c>
      <c r="C28" s="231" t="s">
        <v>238</v>
      </c>
      <c r="D28" s="272" t="s">
        <v>237</v>
      </c>
      <c r="E28" s="243" t="s">
        <v>303</v>
      </c>
      <c r="F28" s="231" t="s">
        <v>125</v>
      </c>
      <c r="G28" s="234">
        <v>25</v>
      </c>
      <c r="H28" s="237" t="str">
        <f>IF(G28&lt;=0,"",IF(G28&lt;=2,"Muy Baja",IF(G28&lt;=24,"Baja",IF(G28&lt;=500,"Media",IF(G28&lt;=5000,"Alta","Muy Alta")))))</f>
        <v>Media</v>
      </c>
      <c r="I28" s="225">
        <f>IF(H28="","",IF(H28="Muy Baja",0.2,IF(H28="Baja",0.4,IF(H28="Media",0.6,IF(H28="Alta",0.8,IF(H28="Muy Alta",1,))))))</f>
        <v>0.6</v>
      </c>
      <c r="J28" s="246" t="s">
        <v>146</v>
      </c>
      <c r="K28" s="225" t="str">
        <f>IF(NOT(ISERROR(MATCH(J28,'Tabla Impacto'!$B$221:$B$223,0))),'Tabla Impacto'!$F$223&amp;"Por favor no seleccionar los criterios de impacto(Afectación Económica o presupuestal y Pérdida Reputacional)",J28)</f>
        <v xml:space="preserve">     Afectación menor a 10 SMLMV .</v>
      </c>
      <c r="L28" s="237" t="str">
        <f>IF(OR(K28='Tabla Impacto'!$C$11,K28='Tabla Impacto'!$D$11),"Leve",IF(OR(K28='Tabla Impacto'!$C$12,K28='Tabla Impacto'!$D$12),"Menor",IF(OR(K28='Tabla Impacto'!$C$13,K28='Tabla Impacto'!$D$13),"Moderado",IF(OR(K28='Tabla Impacto'!$C$14,K28='Tabla Impacto'!$D$14),"Mayor",IF(OR(K28='Tabla Impacto'!$C$15,K28='Tabla Impacto'!$D$15),"Catastrófico","")))))</f>
        <v>Leve</v>
      </c>
      <c r="M28" s="225">
        <f>IF(L28="","",IF(L28="Leve",0.2,IF(L28="Menor",0.4,IF(L28="Moderado",0.6,IF(L28="Mayor",0.8,IF(L28="Catastrófico",1,))))))</f>
        <v>0.2</v>
      </c>
      <c r="N28" s="228"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60">
        <v>1</v>
      </c>
      <c r="P28" s="50" t="s">
        <v>302</v>
      </c>
      <c r="Q28" s="51" t="str">
        <f t="shared" si="0"/>
        <v>Probabilidad</v>
      </c>
      <c r="R28" s="52" t="s">
        <v>14</v>
      </c>
      <c r="S28" s="52" t="s">
        <v>9</v>
      </c>
      <c r="T28" s="53" t="str">
        <f t="shared" si="1"/>
        <v>40%</v>
      </c>
      <c r="U28" s="52" t="s">
        <v>19</v>
      </c>
      <c r="V28" s="52" t="s">
        <v>22</v>
      </c>
      <c r="W28" s="52" t="s">
        <v>119</v>
      </c>
      <c r="X28" s="24">
        <f>IFERROR(IF(Q28="Probabilidad",(I28-(+I28*T28)),IF(Q28="Impacto",I28,"")),"")</f>
        <v>0.36</v>
      </c>
      <c r="Y28" s="54" t="str">
        <f>IFERROR(IF(X28="","",IF(X28&lt;=0.2,"Muy Baja",IF(X28&lt;=0.4,"Baja",IF(X28&lt;=0.6,"Media",IF(X28&lt;=0.8,"Alta","Muy Alta"))))),"")</f>
        <v>Baja</v>
      </c>
      <c r="Z28" s="55">
        <f t="shared" si="2"/>
        <v>0.36</v>
      </c>
      <c r="AA28" s="54" t="str">
        <f>IFERROR(IF(AB28="","",IF(AB28&lt;=0.2,"Leve",IF(AB28&lt;=0.4,"Menor",IF(AB28&lt;=0.6,"Moderado",IF(AB28&lt;=0.8,"Mayor","Catastrófico"))))),"")</f>
        <v>Leve</v>
      </c>
      <c r="AB28" s="55">
        <f>IFERROR(IF(Q28="Impacto",(M28-(+M28*T28)),IF(Q28="Probabilidad",M28,"")),"")</f>
        <v>0.2</v>
      </c>
      <c r="AC28" s="56" t="str">
        <f t="shared" si="3"/>
        <v>Bajo</v>
      </c>
      <c r="AD28" s="57" t="s">
        <v>31</v>
      </c>
      <c r="AE28" s="58"/>
      <c r="AF28" s="48"/>
      <c r="AG28" s="59"/>
      <c r="AH28" s="59"/>
      <c r="AI28" s="58"/>
      <c r="AJ28" s="4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41"/>
      <c r="B29" s="232"/>
      <c r="C29" s="232"/>
      <c r="D29" s="232"/>
      <c r="E29" s="244"/>
      <c r="F29" s="232"/>
      <c r="G29" s="235"/>
      <c r="H29" s="238"/>
      <c r="I29" s="226"/>
      <c r="J29" s="247"/>
      <c r="K29" s="226">
        <f>IF(NOT(ISERROR(MATCH(J29,_xlfn.ANCHORARRAY(E40),0))),I42&amp;"Por favor no seleccionar los criterios de impacto",J29)</f>
        <v>0</v>
      </c>
      <c r="L29" s="238"/>
      <c r="M29" s="226"/>
      <c r="N29" s="229"/>
      <c r="O29" s="60">
        <v>2</v>
      </c>
      <c r="P29" s="185" t="s">
        <v>300</v>
      </c>
      <c r="Q29" s="51" t="str">
        <f t="shared" si="0"/>
        <v>Probabilidad</v>
      </c>
      <c r="R29" s="52" t="s">
        <v>14</v>
      </c>
      <c r="S29" s="52" t="s">
        <v>9</v>
      </c>
      <c r="T29" s="53" t="str">
        <f t="shared" si="1"/>
        <v>40%</v>
      </c>
      <c r="U29" s="52" t="s">
        <v>19</v>
      </c>
      <c r="V29" s="52" t="s">
        <v>22</v>
      </c>
      <c r="W29" s="52" t="s">
        <v>119</v>
      </c>
      <c r="X29" s="24">
        <f>IFERROR(IF(AND(Q28="Probabilidad",Q29="Probabilidad"),(Z28-(+Z28*T29)),IF(Q29="Probabilidad",(I28-(+I28*T29)),IF(Q29="Impacto",Z28,""))),"")</f>
        <v>0.216</v>
      </c>
      <c r="Y29" s="54" t="str">
        <f t="shared" si="4"/>
        <v>Baja</v>
      </c>
      <c r="Z29" s="55">
        <f t="shared" si="2"/>
        <v>0.216</v>
      </c>
      <c r="AA29" s="54" t="str">
        <f t="shared" si="5"/>
        <v>Leve</v>
      </c>
      <c r="AB29" s="55">
        <f>IFERROR(IF(AND(Q28="Impacto",Q29="Impacto"),(AB22-(+AB22*T29)),IF(Q29="Impacto",($M$28-(+$M$28*T29)),IF(Q29="Probabilidad",AB22,""))),"")</f>
        <v>0.2</v>
      </c>
      <c r="AC29" s="56" t="str">
        <f t="shared" si="3"/>
        <v>Bajo</v>
      </c>
      <c r="AD29" s="57" t="s">
        <v>31</v>
      </c>
      <c r="AE29" s="58"/>
      <c r="AF29" s="48"/>
      <c r="AG29" s="59"/>
      <c r="AH29" s="59"/>
      <c r="AI29" s="58"/>
      <c r="AJ29" s="4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41"/>
      <c r="B30" s="232"/>
      <c r="C30" s="232"/>
      <c r="D30" s="232"/>
      <c r="E30" s="244"/>
      <c r="F30" s="232"/>
      <c r="G30" s="235"/>
      <c r="H30" s="238"/>
      <c r="I30" s="226"/>
      <c r="J30" s="247"/>
      <c r="K30" s="226">
        <f>IF(NOT(ISERROR(MATCH(J30,_xlfn.ANCHORARRAY(E41),0))),I43&amp;"Por favor no seleccionar los criterios de impacto",J30)</f>
        <v>0</v>
      </c>
      <c r="L30" s="238"/>
      <c r="M30" s="226"/>
      <c r="N30" s="229"/>
      <c r="O30" s="60">
        <v>3</v>
      </c>
      <c r="P30" s="50"/>
      <c r="Q30" s="51" t="str">
        <f t="shared" si="0"/>
        <v/>
      </c>
      <c r="R30" s="52"/>
      <c r="S30" s="52"/>
      <c r="T30" s="53" t="str">
        <f t="shared" si="1"/>
        <v/>
      </c>
      <c r="U30" s="52"/>
      <c r="V30" s="52"/>
      <c r="W30" s="52"/>
      <c r="X30" s="24" t="str">
        <f>IFERROR(IF(AND(Q29="Probabilidad",Q30="Probabilidad"),(Z29-(+Z29*T30)),IF(AND(Q29="Impacto",Q30="Probabilidad"),(Z28-(+Z28*T30)),IF(Q30="Impacto",Z29,""))),"")</f>
        <v/>
      </c>
      <c r="Y30" s="54" t="str">
        <f t="shared" si="4"/>
        <v/>
      </c>
      <c r="Z30" s="55" t="str">
        <f t="shared" si="2"/>
        <v/>
      </c>
      <c r="AA30" s="54" t="str">
        <f t="shared" si="5"/>
        <v/>
      </c>
      <c r="AB30" s="55" t="str">
        <f>IFERROR(IF(AND(Q29="Impacto",Q30="Impacto"),(AB29-(+AB29*T30)),IF(AND(Q29="Probabilidad",Q30="Impacto"),(AB28-(+AB28*T30)),IF(Q30="Probabilidad",AB29,""))),"")</f>
        <v/>
      </c>
      <c r="AC30" s="56" t="str">
        <f t="shared" si="3"/>
        <v/>
      </c>
      <c r="AD30" s="57"/>
      <c r="AE30" s="58"/>
      <c r="AF30" s="48"/>
      <c r="AG30" s="59"/>
      <c r="AH30" s="59"/>
      <c r="AI30" s="58"/>
      <c r="AJ30" s="4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41"/>
      <c r="B31" s="232"/>
      <c r="C31" s="232"/>
      <c r="D31" s="232"/>
      <c r="E31" s="244"/>
      <c r="F31" s="232"/>
      <c r="G31" s="235"/>
      <c r="H31" s="238"/>
      <c r="I31" s="226"/>
      <c r="J31" s="247"/>
      <c r="K31" s="226">
        <f>IF(NOT(ISERROR(MATCH(J31,_xlfn.ANCHORARRAY(E42),0))),I44&amp;"Por favor no seleccionar los criterios de impacto",J31)</f>
        <v>0</v>
      </c>
      <c r="L31" s="238"/>
      <c r="M31" s="226"/>
      <c r="N31" s="229"/>
      <c r="O31" s="60">
        <v>4</v>
      </c>
      <c r="P31" s="49"/>
      <c r="Q31" s="51" t="str">
        <f t="shared" si="0"/>
        <v/>
      </c>
      <c r="R31" s="52"/>
      <c r="S31" s="52"/>
      <c r="T31" s="53" t="str">
        <f t="shared" si="1"/>
        <v/>
      </c>
      <c r="U31" s="52"/>
      <c r="V31" s="52"/>
      <c r="W31" s="52"/>
      <c r="X31" s="24" t="str">
        <f>IFERROR(IF(AND(Q30="Probabilidad",Q31="Probabilidad"),(Z30-(+Z30*T31)),IF(AND(Q30="Impacto",Q31="Probabilidad"),(Z29-(+Z29*T31)),IF(Q31="Impacto",Z30,""))),"")</f>
        <v/>
      </c>
      <c r="Y31" s="54" t="str">
        <f t="shared" si="4"/>
        <v/>
      </c>
      <c r="Z31" s="55" t="str">
        <f t="shared" si="2"/>
        <v/>
      </c>
      <c r="AA31" s="54" t="str">
        <f t="shared" si="5"/>
        <v/>
      </c>
      <c r="AB31" s="55" t="str">
        <f>IFERROR(IF(AND(Q30="Impacto",Q31="Impacto"),(AB30-(+AB30*T31)),IF(AND(Q30="Probabilidad",Q31="Impacto"),(AB29-(+AB29*T31)),IF(Q31="Probabilidad",AB30,""))),"")</f>
        <v/>
      </c>
      <c r="AC31" s="56" t="str">
        <f t="shared" si="3"/>
        <v/>
      </c>
      <c r="AD31" s="57"/>
      <c r="AE31" s="58"/>
      <c r="AF31" s="48"/>
      <c r="AG31" s="59"/>
      <c r="AH31" s="59"/>
      <c r="AI31" s="58"/>
      <c r="AJ31" s="4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41"/>
      <c r="B32" s="232"/>
      <c r="C32" s="232"/>
      <c r="D32" s="232"/>
      <c r="E32" s="244"/>
      <c r="F32" s="232"/>
      <c r="G32" s="235"/>
      <c r="H32" s="238"/>
      <c r="I32" s="226"/>
      <c r="J32" s="247"/>
      <c r="K32" s="226">
        <f>IF(NOT(ISERROR(MATCH(J32,_xlfn.ANCHORARRAY(E43),0))),I45&amp;"Por favor no seleccionar los criterios de impacto",J32)</f>
        <v>0</v>
      </c>
      <c r="L32" s="238"/>
      <c r="M32" s="226"/>
      <c r="N32" s="229"/>
      <c r="O32" s="60">
        <v>5</v>
      </c>
      <c r="P32" s="49"/>
      <c r="Q32" s="51" t="str">
        <f t="shared" si="0"/>
        <v/>
      </c>
      <c r="R32" s="52"/>
      <c r="S32" s="52"/>
      <c r="T32" s="53" t="str">
        <f t="shared" si="1"/>
        <v/>
      </c>
      <c r="U32" s="52"/>
      <c r="V32" s="52"/>
      <c r="W32" s="52"/>
      <c r="X32" s="31" t="str">
        <f>IFERROR(IF(AND(Q31="Probabilidad",Q32="Probabilidad"),(Z31-(+Z31*T32)),IF(AND(Q31="Impacto",Q32="Probabilidad"),(Z30-(+Z30*T32)),IF(Q32="Impacto",Z31,""))),"")</f>
        <v/>
      </c>
      <c r="Y32" s="54" t="str">
        <f>IFERROR(IF(X32="","",IF(X32&lt;=0.2,"Muy Baja",IF(X32&lt;=0.4,"Baja",IF(X32&lt;=0.6,"Media",IF(X32&lt;=0.8,"Alta","Muy Alta"))))),"")</f>
        <v/>
      </c>
      <c r="Z32" s="55" t="str">
        <f t="shared" si="2"/>
        <v/>
      </c>
      <c r="AA32" s="54" t="str">
        <f t="shared" si="5"/>
        <v/>
      </c>
      <c r="AB32" s="55" t="str">
        <f>IFERROR(IF(AND(Q31="Impacto",Q32="Impacto"),(AB31-(+AB31*T32)),IF(AND(Q31="Probabilidad",Q32="Impacto"),(AB30-(+AB30*T32)),IF(Q32="Probabilidad",AB31,""))),"")</f>
        <v/>
      </c>
      <c r="AC32" s="56" t="str">
        <f t="shared" si="3"/>
        <v/>
      </c>
      <c r="AD32" s="57"/>
      <c r="AE32" s="58"/>
      <c r="AF32" s="48"/>
      <c r="AG32" s="59"/>
      <c r="AH32" s="59"/>
      <c r="AI32" s="58"/>
      <c r="AJ32" s="4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42"/>
      <c r="B33" s="233"/>
      <c r="C33" s="233"/>
      <c r="D33" s="233"/>
      <c r="E33" s="245"/>
      <c r="F33" s="233"/>
      <c r="G33" s="236"/>
      <c r="H33" s="239"/>
      <c r="I33" s="227"/>
      <c r="J33" s="248"/>
      <c r="K33" s="227">
        <f>IF(NOT(ISERROR(MATCH(J33,_xlfn.ANCHORARRAY(E44),0))),I46&amp;"Por favor no seleccionar los criterios de impacto",J33)</f>
        <v>0</v>
      </c>
      <c r="L33" s="239"/>
      <c r="M33" s="227"/>
      <c r="N33" s="230"/>
      <c r="O33" s="60">
        <v>6</v>
      </c>
      <c r="P33" s="49"/>
      <c r="Q33" s="51" t="str">
        <f t="shared" si="0"/>
        <v/>
      </c>
      <c r="R33" s="52"/>
      <c r="S33" s="52"/>
      <c r="T33" s="53" t="str">
        <f t="shared" si="1"/>
        <v/>
      </c>
      <c r="U33" s="52"/>
      <c r="V33" s="52"/>
      <c r="W33" s="52"/>
      <c r="X33" s="24" t="str">
        <f>IFERROR(IF(AND(Q32="Probabilidad",Q33="Probabilidad"),(Z32-(+Z32*T33)),IF(AND(Q32="Impacto",Q33="Probabilidad"),(Z31-(+Z31*T33)),IF(Q33="Impacto",Z32,""))),"")</f>
        <v/>
      </c>
      <c r="Y33" s="54" t="str">
        <f t="shared" si="4"/>
        <v/>
      </c>
      <c r="Z33" s="55" t="str">
        <f t="shared" si="2"/>
        <v/>
      </c>
      <c r="AA33" s="54" t="str">
        <f t="shared" si="5"/>
        <v/>
      </c>
      <c r="AB33" s="55" t="str">
        <f>IFERROR(IF(AND(Q32="Impacto",Q33="Impacto"),(AB32-(+AB32*T33)),IF(AND(Q32="Probabilidad",Q33="Impacto"),(AB31-(+AB31*T33)),IF(Q33="Probabilidad",AB32,""))),"")</f>
        <v/>
      </c>
      <c r="AC33" s="56" t="str">
        <f t="shared" si="3"/>
        <v/>
      </c>
      <c r="AD33" s="57"/>
      <c r="AE33" s="58"/>
      <c r="AF33" s="48"/>
      <c r="AG33" s="59"/>
      <c r="AH33" s="59"/>
      <c r="AI33" s="58"/>
      <c r="AJ33" s="4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40">
        <v>5</v>
      </c>
      <c r="B34" s="231" t="s">
        <v>134</v>
      </c>
      <c r="C34" s="231" t="s">
        <v>241</v>
      </c>
      <c r="D34" s="231" t="s">
        <v>242</v>
      </c>
      <c r="E34" s="243" t="s">
        <v>243</v>
      </c>
      <c r="F34" s="231" t="s">
        <v>125</v>
      </c>
      <c r="G34" s="234">
        <v>15600</v>
      </c>
      <c r="H34" s="237" t="str">
        <f>IF(G34&lt;=0,"",IF(G34&lt;=2,"Muy Baja",IF(G34&lt;=24,"Baja",IF(G34&lt;=500,"Media",IF(G34&lt;=5000,"Alta","Muy Alta")))))</f>
        <v>Muy Alta</v>
      </c>
      <c r="I34" s="225">
        <f>IF(H34="","",IF(H34="Muy Baja",0.2,IF(H34="Baja",0.4,IF(H34="Media",0.6,IF(H34="Alta",0.8,IF(H34="Muy Alta",1,))))))</f>
        <v>1</v>
      </c>
      <c r="J34" s="246" t="s">
        <v>155</v>
      </c>
      <c r="K34" s="225" t="str">
        <f>IF(NOT(ISERROR(MATCH(J34,'Tabla Impacto'!$B$221:$B$223,0))),'Tabla Impacto'!$F$223&amp;"Por favor no seleccionar los criterios de impacto(Afectación Económica o presupuestal y Pérdida Reputacional)",J34)</f>
        <v xml:space="preserve">     El riesgo afecta la imagen de la entidad con algunos usuarios de relevancia frente al logro de los objetivos</v>
      </c>
      <c r="L34" s="237" t="str">
        <f>IF(OR(K34='Tabla Impacto'!$C$11,K34='Tabla Impacto'!$D$11),"Leve",IF(OR(K34='Tabla Impacto'!$C$12,K34='Tabla Impacto'!$D$12),"Menor",IF(OR(K34='Tabla Impacto'!$C$13,K34='Tabla Impacto'!$D$13),"Moderado",IF(OR(K34='Tabla Impacto'!$C$14,K34='Tabla Impacto'!$D$14),"Mayor",IF(OR(K34='Tabla Impacto'!$C$15,K34='Tabla Impacto'!$D$15),"Catastrófico","")))))</f>
        <v>Moderado</v>
      </c>
      <c r="M34" s="225">
        <f>IF(L34="","",IF(L34="Leve",0.2,IF(L34="Menor",0.4,IF(L34="Moderado",0.6,IF(L34="Mayor",0.8,IF(L34="Catastrófico",1,))))))</f>
        <v>0.6</v>
      </c>
      <c r="N34" s="228"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60">
        <v>1</v>
      </c>
      <c r="P34" s="161" t="s">
        <v>245</v>
      </c>
      <c r="Q34" s="51" t="str">
        <f t="shared" si="0"/>
        <v>Probabilidad</v>
      </c>
      <c r="R34" s="52" t="s">
        <v>15</v>
      </c>
      <c r="S34" s="52" t="s">
        <v>9</v>
      </c>
      <c r="T34" s="53" t="str">
        <f t="shared" si="1"/>
        <v>30%</v>
      </c>
      <c r="U34" s="52" t="s">
        <v>19</v>
      </c>
      <c r="V34" s="52" t="s">
        <v>22</v>
      </c>
      <c r="W34" s="52" t="s">
        <v>119</v>
      </c>
      <c r="X34" s="24">
        <f>IFERROR(IF(Q34="Probabilidad",(I34-(+I34*T34)),IF(Q34="Impacto",I34,"")),"")</f>
        <v>0.7</v>
      </c>
      <c r="Y34" s="54" t="str">
        <f>IFERROR(IF(X34="","",IF(X34&lt;=0.2,"Muy Baja",IF(X34&lt;=0.4,"Baja",IF(X34&lt;=0.6,"Media",IF(X34&lt;=0.8,"Alta","Muy Alta"))))),"")</f>
        <v>Alta</v>
      </c>
      <c r="Z34" s="55">
        <f t="shared" si="2"/>
        <v>0.7</v>
      </c>
      <c r="AA34" s="54" t="str">
        <f>IFERROR(IF(AB34="","",IF(AB34&lt;=0.2,"Leve",IF(AB34&lt;=0.4,"Menor",IF(AB34&lt;=0.6,"Moderado",IF(AB34&lt;=0.8,"Mayor","Catastrófico"))))),"")</f>
        <v>Moderado</v>
      </c>
      <c r="AB34" s="55">
        <f>IFERROR(IF(Q34="Impacto",(M34-(+M34*T34)),IF(Q34="Probabilidad",M34,"")),"")</f>
        <v>0.6</v>
      </c>
      <c r="AC34" s="56" t="str">
        <f t="shared" si="3"/>
        <v>Alto</v>
      </c>
      <c r="AD34" s="57" t="s">
        <v>32</v>
      </c>
      <c r="AE34" s="58"/>
      <c r="AF34" s="48"/>
      <c r="AG34" s="59"/>
      <c r="AH34" s="59"/>
      <c r="AI34" s="58"/>
      <c r="AJ34" s="4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41"/>
      <c r="B35" s="232"/>
      <c r="C35" s="232"/>
      <c r="D35" s="232"/>
      <c r="E35" s="244"/>
      <c r="F35" s="232"/>
      <c r="G35" s="235"/>
      <c r="H35" s="238"/>
      <c r="I35" s="226"/>
      <c r="J35" s="247"/>
      <c r="K35" s="226">
        <f>IF(NOT(ISERROR(MATCH(J35,_xlfn.ANCHORARRAY(E46),0))),I48&amp;"Por favor no seleccionar los criterios de impacto",J35)</f>
        <v>0</v>
      </c>
      <c r="L35" s="238"/>
      <c r="M35" s="226"/>
      <c r="N35" s="229"/>
      <c r="O35" s="60">
        <v>2</v>
      </c>
      <c r="P35" s="161" t="s">
        <v>244</v>
      </c>
      <c r="Q35" s="51" t="str">
        <f t="shared" si="0"/>
        <v>Probabilidad</v>
      </c>
      <c r="R35" s="52" t="s">
        <v>14</v>
      </c>
      <c r="S35" s="52" t="s">
        <v>9</v>
      </c>
      <c r="T35" s="53" t="str">
        <f t="shared" si="1"/>
        <v>40%</v>
      </c>
      <c r="U35" s="52" t="s">
        <v>19</v>
      </c>
      <c r="V35" s="52" t="s">
        <v>23</v>
      </c>
      <c r="W35" s="52" t="s">
        <v>119</v>
      </c>
      <c r="X35" s="24">
        <f>IFERROR(IF(AND(Q34="Probabilidad",Q35="Probabilidad"),(Z34-(+Z34*T35)),IF(Q35="Probabilidad",(I34-(+I34*T35)),IF(Q35="Impacto",Z34,""))),"")</f>
        <v>0.42</v>
      </c>
      <c r="Y35" s="54" t="str">
        <f t="shared" si="4"/>
        <v>Media</v>
      </c>
      <c r="Z35" s="55">
        <f t="shared" si="2"/>
        <v>0.42</v>
      </c>
      <c r="AA35" s="54" t="str">
        <f t="shared" si="5"/>
        <v>Leve</v>
      </c>
      <c r="AB35" s="55">
        <f>IFERROR(IF(AND(Q34="Impacto",Q35="Impacto"),(AB28-(+AB28*T35)),IF(Q35="Impacto",($M$34-(+$M$34*T35)),IF(Q35="Probabilidad",AB28,""))),"")</f>
        <v>0.2</v>
      </c>
      <c r="AC35" s="56" t="str">
        <f t="shared" si="3"/>
        <v>Moderado</v>
      </c>
      <c r="AD35" s="57" t="s">
        <v>31</v>
      </c>
      <c r="AE35" s="58"/>
      <c r="AF35" s="48"/>
      <c r="AG35" s="59"/>
      <c r="AH35" s="59"/>
      <c r="AI35" s="58"/>
      <c r="AJ35" s="4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41"/>
      <c r="B36" s="232"/>
      <c r="C36" s="232"/>
      <c r="D36" s="232"/>
      <c r="E36" s="244"/>
      <c r="F36" s="232"/>
      <c r="G36" s="235"/>
      <c r="H36" s="238"/>
      <c r="I36" s="226"/>
      <c r="J36" s="247"/>
      <c r="K36" s="226">
        <f>IF(NOT(ISERROR(MATCH(J36,_xlfn.ANCHORARRAY(E47),0))),I49&amp;"Por favor no seleccionar los criterios de impacto",J36)</f>
        <v>0</v>
      </c>
      <c r="L36" s="238"/>
      <c r="M36" s="226"/>
      <c r="N36" s="229"/>
      <c r="O36" s="60">
        <v>3</v>
      </c>
      <c r="P36" s="50"/>
      <c r="Q36" s="51" t="str">
        <f t="shared" si="0"/>
        <v/>
      </c>
      <c r="R36" s="52"/>
      <c r="S36" s="52"/>
      <c r="T36" s="53" t="str">
        <f t="shared" si="1"/>
        <v/>
      </c>
      <c r="U36" s="52"/>
      <c r="V36" s="52"/>
      <c r="W36" s="52"/>
      <c r="X36" s="24" t="str">
        <f>IFERROR(IF(AND(Q35="Probabilidad",Q36="Probabilidad"),(Z35-(+Z35*T36)),IF(AND(Q35="Impacto",Q36="Probabilidad"),(Z34-(+Z34*T36)),IF(Q36="Impacto",Z35,""))),"")</f>
        <v/>
      </c>
      <c r="Y36" s="54" t="str">
        <f t="shared" si="4"/>
        <v/>
      </c>
      <c r="Z36" s="55" t="str">
        <f t="shared" si="2"/>
        <v/>
      </c>
      <c r="AA36" s="54" t="str">
        <f t="shared" si="5"/>
        <v/>
      </c>
      <c r="AB36" s="55" t="str">
        <f>IFERROR(IF(AND(Q35="Impacto",Q36="Impacto"),(AB35-(+AB35*T36)),IF(AND(Q35="Probabilidad",Q36="Impacto"),(AB34-(+AB34*T36)),IF(Q36="Probabilidad",AB35,""))),"")</f>
        <v/>
      </c>
      <c r="AC36" s="56" t="str">
        <f t="shared" si="3"/>
        <v/>
      </c>
      <c r="AD36" s="57"/>
      <c r="AE36" s="58"/>
      <c r="AF36" s="48"/>
      <c r="AG36" s="59"/>
      <c r="AH36" s="59"/>
      <c r="AI36" s="58"/>
      <c r="AJ36" s="4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41"/>
      <c r="B37" s="232"/>
      <c r="C37" s="232"/>
      <c r="D37" s="232"/>
      <c r="E37" s="244"/>
      <c r="F37" s="232"/>
      <c r="G37" s="235"/>
      <c r="H37" s="238"/>
      <c r="I37" s="226"/>
      <c r="J37" s="247"/>
      <c r="K37" s="226">
        <f>IF(NOT(ISERROR(MATCH(J37,_xlfn.ANCHORARRAY(E48),0))),I50&amp;"Por favor no seleccionar los criterios de impacto",J37)</f>
        <v>0</v>
      </c>
      <c r="L37" s="238"/>
      <c r="M37" s="226"/>
      <c r="N37" s="229"/>
      <c r="O37" s="60">
        <v>4</v>
      </c>
      <c r="P37" s="49"/>
      <c r="Q37" s="51" t="str">
        <f t="shared" si="0"/>
        <v/>
      </c>
      <c r="R37" s="52"/>
      <c r="S37" s="52"/>
      <c r="T37" s="53" t="str">
        <f t="shared" si="1"/>
        <v/>
      </c>
      <c r="U37" s="52"/>
      <c r="V37" s="52"/>
      <c r="W37" s="52"/>
      <c r="X37" s="24" t="str">
        <f>IFERROR(IF(AND(Q36="Probabilidad",Q37="Probabilidad"),(Z36-(+Z36*T37)),IF(AND(Q36="Impacto",Q37="Probabilidad"),(Z35-(+Z35*T37)),IF(Q37="Impacto",Z36,""))),"")</f>
        <v/>
      </c>
      <c r="Y37" s="54" t="str">
        <f t="shared" si="4"/>
        <v/>
      </c>
      <c r="Z37" s="55" t="str">
        <f t="shared" si="2"/>
        <v/>
      </c>
      <c r="AA37" s="54" t="str">
        <f t="shared" si="5"/>
        <v/>
      </c>
      <c r="AB37" s="55" t="str">
        <f>IFERROR(IF(AND(Q36="Impacto",Q37="Impacto"),(AB36-(+AB36*T37)),IF(AND(Q36="Probabilidad",Q37="Impacto"),(AB35-(+AB35*T37)),IF(Q37="Probabilidad",AB36,""))),"")</f>
        <v/>
      </c>
      <c r="AC37" s="56" t="str">
        <f t="shared" si="3"/>
        <v/>
      </c>
      <c r="AD37" s="57"/>
      <c r="AE37" s="58"/>
      <c r="AF37" s="48"/>
      <c r="AG37" s="59"/>
      <c r="AH37" s="59"/>
      <c r="AI37" s="58"/>
      <c r="AJ37" s="4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41"/>
      <c r="B38" s="232"/>
      <c r="C38" s="232"/>
      <c r="D38" s="232"/>
      <c r="E38" s="244"/>
      <c r="F38" s="232"/>
      <c r="G38" s="235"/>
      <c r="H38" s="238"/>
      <c r="I38" s="226"/>
      <c r="J38" s="247"/>
      <c r="K38" s="226">
        <f>IF(NOT(ISERROR(MATCH(J38,_xlfn.ANCHORARRAY(E49),0))),I51&amp;"Por favor no seleccionar los criterios de impacto",J38)</f>
        <v>0</v>
      </c>
      <c r="L38" s="238"/>
      <c r="M38" s="226"/>
      <c r="N38" s="229"/>
      <c r="O38" s="60">
        <v>5</v>
      </c>
      <c r="P38" s="49"/>
      <c r="Q38" s="51" t="str">
        <f t="shared" si="0"/>
        <v/>
      </c>
      <c r="R38" s="52"/>
      <c r="S38" s="52"/>
      <c r="T38" s="53" t="str">
        <f t="shared" si="1"/>
        <v/>
      </c>
      <c r="U38" s="52"/>
      <c r="V38" s="52"/>
      <c r="W38" s="52"/>
      <c r="X38" s="24" t="str">
        <f>IFERROR(IF(AND(Q37="Probabilidad",Q38="Probabilidad"),(Z37-(+Z37*T38)),IF(AND(Q37="Impacto",Q38="Probabilidad"),(Z36-(+Z36*T38)),IF(Q38="Impacto",Z37,""))),"")</f>
        <v/>
      </c>
      <c r="Y38" s="54" t="str">
        <f t="shared" si="4"/>
        <v/>
      </c>
      <c r="Z38" s="55" t="str">
        <f t="shared" si="2"/>
        <v/>
      </c>
      <c r="AA38" s="54" t="str">
        <f t="shared" si="5"/>
        <v/>
      </c>
      <c r="AB38" s="55" t="str">
        <f>IFERROR(IF(AND(Q37="Impacto",Q38="Impacto"),(AB37-(+AB37*T38)),IF(AND(Q37="Probabilidad",Q38="Impacto"),(AB36-(+AB36*T38)),IF(Q38="Probabilidad",AB37,""))),"")</f>
        <v/>
      </c>
      <c r="AC38" s="56" t="str">
        <f t="shared" si="3"/>
        <v/>
      </c>
      <c r="AD38" s="57"/>
      <c r="AE38" s="58"/>
      <c r="AF38" s="48"/>
      <c r="AG38" s="59"/>
      <c r="AH38" s="59"/>
      <c r="AI38" s="58"/>
      <c r="AJ38" s="4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42"/>
      <c r="B39" s="233"/>
      <c r="C39" s="233"/>
      <c r="D39" s="233"/>
      <c r="E39" s="245"/>
      <c r="F39" s="233"/>
      <c r="G39" s="236"/>
      <c r="H39" s="239"/>
      <c r="I39" s="227"/>
      <c r="J39" s="248"/>
      <c r="K39" s="227">
        <f>IF(NOT(ISERROR(MATCH(J39,_xlfn.ANCHORARRAY(E50),0))),I52&amp;"Por favor no seleccionar los criterios de impacto",J39)</f>
        <v>0</v>
      </c>
      <c r="L39" s="239"/>
      <c r="M39" s="227"/>
      <c r="N39" s="230"/>
      <c r="O39" s="60">
        <v>6</v>
      </c>
      <c r="P39" s="49"/>
      <c r="Q39" s="51" t="str">
        <f t="shared" si="0"/>
        <v/>
      </c>
      <c r="R39" s="52"/>
      <c r="S39" s="52"/>
      <c r="T39" s="53" t="str">
        <f t="shared" si="1"/>
        <v/>
      </c>
      <c r="U39" s="52"/>
      <c r="V39" s="52"/>
      <c r="W39" s="52"/>
      <c r="X39" s="24" t="str">
        <f>IFERROR(IF(AND(Q38="Probabilidad",Q39="Probabilidad"),(Z38-(+Z38*T39)),IF(AND(Q38="Impacto",Q39="Probabilidad"),(Z37-(+Z37*T39)),IF(Q39="Impacto",Z38,""))),"")</f>
        <v/>
      </c>
      <c r="Y39" s="54" t="str">
        <f t="shared" si="4"/>
        <v/>
      </c>
      <c r="Z39" s="55" t="str">
        <f t="shared" si="2"/>
        <v/>
      </c>
      <c r="AA39" s="54" t="str">
        <f t="shared" si="5"/>
        <v/>
      </c>
      <c r="AB39" s="55" t="str">
        <f>IFERROR(IF(AND(Q38="Impacto",Q39="Impacto"),(AB38-(+AB38*T39)),IF(AND(Q38="Probabilidad",Q39="Impacto"),(AB37-(+AB37*T39)),IF(Q39="Probabilidad",AB38,""))),"")</f>
        <v/>
      </c>
      <c r="AC39" s="56" t="str">
        <f t="shared" si="3"/>
        <v/>
      </c>
      <c r="AD39" s="57"/>
      <c r="AE39" s="58"/>
      <c r="AF39" s="48"/>
      <c r="AG39" s="59"/>
      <c r="AH39" s="59"/>
      <c r="AI39" s="58"/>
      <c r="AJ39" s="4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40">
        <v>6</v>
      </c>
      <c r="B40" s="231"/>
      <c r="C40" s="231"/>
      <c r="D40" s="231"/>
      <c r="E40" s="243"/>
      <c r="F40" s="231"/>
      <c r="G40" s="234">
        <v>3000</v>
      </c>
      <c r="H40" s="237" t="str">
        <f>IF(G40&lt;=0,"",IF(G40&lt;=2,"Muy Baja",IF(G40&lt;=24,"Baja",IF(G40&lt;=500,"Media",IF(G40&lt;=5000,"Alta","Muy Alta")))))</f>
        <v>Alta</v>
      </c>
      <c r="I40" s="225">
        <f>IF(H40="","",IF(H40="Muy Baja",0.2,IF(H40="Baja",0.4,IF(H40="Media",0.6,IF(H40="Alta",0.8,IF(H40="Muy Alta",1,))))))</f>
        <v>0.8</v>
      </c>
      <c r="J40" s="246"/>
      <c r="K40" s="225">
        <f>IF(NOT(ISERROR(MATCH(J40,'Tabla Impacto'!$B$221:$B$223,0))),'Tabla Impacto'!$F$223&amp;"Por favor no seleccionar los criterios de impacto(Afectación Económica o presupuestal y Pérdida Reputacional)",J40)</f>
        <v>0</v>
      </c>
      <c r="L40" s="237" t="str">
        <f>IF(OR(K40='Tabla Impacto'!$C$11,K40='Tabla Impacto'!$D$11),"Leve",IF(OR(K40='Tabla Impacto'!$C$12,K40='Tabla Impacto'!$D$12),"Menor",IF(OR(K40='Tabla Impacto'!$C$13,K40='Tabla Impacto'!$D$13),"Moderado",IF(OR(K40='Tabla Impacto'!$C$14,K40='Tabla Impacto'!$D$14),"Mayor",IF(OR(K40='Tabla Impacto'!$C$15,K40='Tabla Impacto'!$D$15),"Catastrófico","")))))</f>
        <v/>
      </c>
      <c r="M40" s="225" t="str">
        <f>IF(L40="","",IF(L40="Leve",0.2,IF(L40="Menor",0.4,IF(L40="Moderado",0.6,IF(L40="Mayor",0.8,IF(L40="Catastrófico",1,))))))</f>
        <v/>
      </c>
      <c r="N40" s="228"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60">
        <v>1</v>
      </c>
      <c r="P40" s="49"/>
      <c r="Q40" s="51" t="str">
        <f t="shared" si="0"/>
        <v/>
      </c>
      <c r="R40" s="52"/>
      <c r="S40" s="52"/>
      <c r="T40" s="53" t="str">
        <f t="shared" si="1"/>
        <v/>
      </c>
      <c r="U40" s="52"/>
      <c r="V40" s="52"/>
      <c r="W40" s="52"/>
      <c r="X40" s="24" t="str">
        <f>IFERROR(IF(Q40="Probabilidad",(I40-(+I40*T40)),IF(Q40="Impacto",I40,"")),"")</f>
        <v/>
      </c>
      <c r="Y40" s="54" t="str">
        <f>IFERROR(IF(X40="","",IF(X40&lt;=0.2,"Muy Baja",IF(X40&lt;=0.4,"Baja",IF(X40&lt;=0.6,"Media",IF(X40&lt;=0.8,"Alta","Muy Alta"))))),"")</f>
        <v/>
      </c>
      <c r="Z40" s="55" t="str">
        <f t="shared" si="2"/>
        <v/>
      </c>
      <c r="AA40" s="54" t="str">
        <f>IFERROR(IF(AB40="","",IF(AB40&lt;=0.2,"Leve",IF(AB40&lt;=0.4,"Menor",IF(AB40&lt;=0.6,"Moderado",IF(AB40&lt;=0.8,"Mayor","Catastrófico"))))),"")</f>
        <v/>
      </c>
      <c r="AB40" s="55" t="str">
        <f>IFERROR(IF(Q40="Impacto",(M40-(+M40*T40)),IF(Q40="Probabilidad",M40,"")),"")</f>
        <v/>
      </c>
      <c r="AC40" s="56" t="str">
        <f t="shared" si="3"/>
        <v/>
      </c>
      <c r="AD40" s="57"/>
      <c r="AE40" s="58"/>
      <c r="AF40" s="48"/>
      <c r="AG40" s="59"/>
      <c r="AH40" s="59"/>
      <c r="AI40" s="58"/>
      <c r="AJ40" s="4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41"/>
      <c r="B41" s="232"/>
      <c r="C41" s="232"/>
      <c r="D41" s="232"/>
      <c r="E41" s="244"/>
      <c r="F41" s="232"/>
      <c r="G41" s="235"/>
      <c r="H41" s="238"/>
      <c r="I41" s="226"/>
      <c r="J41" s="247"/>
      <c r="K41" s="226">
        <f>IF(NOT(ISERROR(MATCH(J41,_xlfn.ANCHORARRAY(E52),0))),I54&amp;"Por favor no seleccionar los criterios de impacto",J41)</f>
        <v>0</v>
      </c>
      <c r="L41" s="238"/>
      <c r="M41" s="226"/>
      <c r="N41" s="229"/>
      <c r="O41" s="60">
        <v>2</v>
      </c>
      <c r="P41" s="49"/>
      <c r="Q41" s="51" t="str">
        <f t="shared" si="0"/>
        <v/>
      </c>
      <c r="R41" s="52"/>
      <c r="S41" s="52"/>
      <c r="T41" s="53" t="str">
        <f t="shared" si="1"/>
        <v/>
      </c>
      <c r="U41" s="52"/>
      <c r="V41" s="52"/>
      <c r="W41" s="52"/>
      <c r="X41" s="24" t="str">
        <f>IFERROR(IF(AND(Q40="Probabilidad",Q41="Probabilidad"),(Z40-(+Z40*T41)),IF(Q41="Probabilidad",(I40-(+I40*T41)),IF(Q41="Impacto",Z40,""))),"")</f>
        <v/>
      </c>
      <c r="Y41" s="54" t="str">
        <f t="shared" si="4"/>
        <v/>
      </c>
      <c r="Z41" s="55" t="str">
        <f t="shared" si="2"/>
        <v/>
      </c>
      <c r="AA41" s="54" t="str">
        <f t="shared" si="5"/>
        <v/>
      </c>
      <c r="AB41" s="55" t="str">
        <f>IFERROR(IF(AND(Q40="Impacto",Q41="Impacto"),(AB34-(+AB34*T41)),IF(Q41="Impacto",($M$40-(+$M$40*T41)),IF(Q41="Probabilidad",AB34,""))),"")</f>
        <v/>
      </c>
      <c r="AC41" s="56" t="str">
        <f t="shared" si="3"/>
        <v/>
      </c>
      <c r="AD41" s="57"/>
      <c r="AE41" s="58"/>
      <c r="AF41" s="48"/>
      <c r="AG41" s="59"/>
      <c r="AH41" s="59"/>
      <c r="AI41" s="58"/>
      <c r="AJ41" s="4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41"/>
      <c r="B42" s="232"/>
      <c r="C42" s="232"/>
      <c r="D42" s="232"/>
      <c r="E42" s="244"/>
      <c r="F42" s="232"/>
      <c r="G42" s="235"/>
      <c r="H42" s="238"/>
      <c r="I42" s="226"/>
      <c r="J42" s="247"/>
      <c r="K42" s="226">
        <f>IF(NOT(ISERROR(MATCH(J42,_xlfn.ANCHORARRAY(E53),0))),I55&amp;"Por favor no seleccionar los criterios de impacto",J42)</f>
        <v>0</v>
      </c>
      <c r="L42" s="238"/>
      <c r="M42" s="226"/>
      <c r="N42" s="229"/>
      <c r="O42" s="60">
        <v>3</v>
      </c>
      <c r="P42" s="50"/>
      <c r="Q42" s="51" t="str">
        <f t="shared" ref="Q42:Q69" si="6">IF(OR(R42="Preventivo",R42="Detectivo"),"Probabilidad",IF(R42="Correctivo","Impacto",""))</f>
        <v/>
      </c>
      <c r="R42" s="52"/>
      <c r="S42" s="52"/>
      <c r="T42" s="53" t="str">
        <f t="shared" ref="T42:T69" si="7">IF(AND(R42="Preventivo",S42="Automático"),"50%",IF(AND(R42="Preventivo",S42="Manual"),"40%",IF(AND(R42="Detectivo",S42="Automático"),"40%",IF(AND(R42="Detectivo",S42="Manual"),"30%",IF(AND(R42="Correctivo",S42="Automático"),"35%",IF(AND(R42="Correctivo",S42="Manual"),"25%",""))))))</f>
        <v/>
      </c>
      <c r="U42" s="52"/>
      <c r="V42" s="52"/>
      <c r="W42" s="52"/>
      <c r="X42" s="24" t="str">
        <f>IFERROR(IF(AND(Q41="Probabilidad",Q42="Probabilidad"),(Z41-(+Z41*T42)),IF(AND(Q41="Impacto",Q42="Probabilidad"),(Z40-(+Z40*T42)),IF(Q42="Impacto",Z41,""))),"")</f>
        <v/>
      </c>
      <c r="Y42" s="54" t="str">
        <f t="shared" si="4"/>
        <v/>
      </c>
      <c r="Z42" s="55" t="str">
        <f t="shared" ref="Z42:Z69" si="8">+X42</f>
        <v/>
      </c>
      <c r="AA42" s="54" t="str">
        <f t="shared" si="5"/>
        <v/>
      </c>
      <c r="AB42" s="55" t="str">
        <f>IFERROR(IF(AND(Q41="Impacto",Q42="Impacto"),(AB41-(+AB41*T42)),IF(AND(Q41="Probabilidad",Q42="Impacto"),(AB40-(+AB40*T42)),IF(Q42="Probabilidad",AB41,""))),"")</f>
        <v/>
      </c>
      <c r="AC42" s="56" t="str">
        <f t="shared" ref="AC42:AC69" si="9">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57"/>
      <c r="AE42" s="58"/>
      <c r="AF42" s="48"/>
      <c r="AG42" s="59"/>
      <c r="AH42" s="59"/>
      <c r="AI42" s="58"/>
      <c r="AJ42" s="4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41"/>
      <c r="B43" s="232"/>
      <c r="C43" s="232"/>
      <c r="D43" s="232"/>
      <c r="E43" s="244"/>
      <c r="F43" s="232"/>
      <c r="G43" s="235"/>
      <c r="H43" s="238"/>
      <c r="I43" s="226"/>
      <c r="J43" s="247"/>
      <c r="K43" s="226">
        <f>IF(NOT(ISERROR(MATCH(J43,_xlfn.ANCHORARRAY(E54),0))),I56&amp;"Por favor no seleccionar los criterios de impacto",J43)</f>
        <v>0</v>
      </c>
      <c r="L43" s="238"/>
      <c r="M43" s="226"/>
      <c r="N43" s="229"/>
      <c r="O43" s="60">
        <v>4</v>
      </c>
      <c r="P43" s="49"/>
      <c r="Q43" s="51" t="str">
        <f t="shared" si="6"/>
        <v/>
      </c>
      <c r="R43" s="52"/>
      <c r="S43" s="52"/>
      <c r="T43" s="53" t="str">
        <f t="shared" si="7"/>
        <v/>
      </c>
      <c r="U43" s="52"/>
      <c r="V43" s="52"/>
      <c r="W43" s="52"/>
      <c r="X43" s="24" t="str">
        <f>IFERROR(IF(AND(Q42="Probabilidad",Q43="Probabilidad"),(Z42-(+Z42*T43)),IF(AND(Q42="Impacto",Q43="Probabilidad"),(Z41-(+Z41*T43)),IF(Q43="Impacto",Z42,""))),"")</f>
        <v/>
      </c>
      <c r="Y43" s="54" t="str">
        <f t="shared" si="4"/>
        <v/>
      </c>
      <c r="Z43" s="55" t="str">
        <f t="shared" si="8"/>
        <v/>
      </c>
      <c r="AA43" s="54" t="str">
        <f t="shared" si="5"/>
        <v/>
      </c>
      <c r="AB43" s="55" t="str">
        <f>IFERROR(IF(AND(Q42="Impacto",Q43="Impacto"),(AB42-(+AB42*T43)),IF(AND(Q42="Probabilidad",Q43="Impacto"),(AB41-(+AB41*T43)),IF(Q43="Probabilidad",AB42,""))),"")</f>
        <v/>
      </c>
      <c r="AC43" s="56" t="str">
        <f t="shared" si="9"/>
        <v/>
      </c>
      <c r="AD43" s="57"/>
      <c r="AE43" s="58"/>
      <c r="AF43" s="48"/>
      <c r="AG43" s="59"/>
      <c r="AH43" s="59"/>
      <c r="AI43" s="58"/>
      <c r="AJ43" s="4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41"/>
      <c r="B44" s="232"/>
      <c r="C44" s="232"/>
      <c r="D44" s="232"/>
      <c r="E44" s="244"/>
      <c r="F44" s="232"/>
      <c r="G44" s="235"/>
      <c r="H44" s="238"/>
      <c r="I44" s="226"/>
      <c r="J44" s="247"/>
      <c r="K44" s="226">
        <f>IF(NOT(ISERROR(MATCH(J44,_xlfn.ANCHORARRAY(E55),0))),I57&amp;"Por favor no seleccionar los criterios de impacto",J44)</f>
        <v>0</v>
      </c>
      <c r="L44" s="238"/>
      <c r="M44" s="226"/>
      <c r="N44" s="229"/>
      <c r="O44" s="60">
        <v>5</v>
      </c>
      <c r="P44" s="49"/>
      <c r="Q44" s="51" t="str">
        <f t="shared" si="6"/>
        <v/>
      </c>
      <c r="R44" s="52"/>
      <c r="S44" s="52"/>
      <c r="T44" s="53" t="str">
        <f t="shared" si="7"/>
        <v/>
      </c>
      <c r="U44" s="52"/>
      <c r="V44" s="52"/>
      <c r="W44" s="52"/>
      <c r="X44" s="24" t="str">
        <f>IFERROR(IF(AND(Q43="Probabilidad",Q44="Probabilidad"),(Z43-(+Z43*T44)),IF(AND(Q43="Impacto",Q44="Probabilidad"),(Z42-(+Z42*T44)),IF(Q44="Impacto",Z43,""))),"")</f>
        <v/>
      </c>
      <c r="Y44" s="54" t="str">
        <f t="shared" si="4"/>
        <v/>
      </c>
      <c r="Z44" s="55" t="str">
        <f t="shared" si="8"/>
        <v/>
      </c>
      <c r="AA44" s="54" t="str">
        <f t="shared" si="5"/>
        <v/>
      </c>
      <c r="AB44" s="55" t="str">
        <f>IFERROR(IF(AND(Q43="Impacto",Q44="Impacto"),(AB43-(+AB43*T44)),IF(AND(Q43="Probabilidad",Q44="Impacto"),(AB42-(+AB42*T44)),IF(Q44="Probabilidad",AB43,""))),"")</f>
        <v/>
      </c>
      <c r="AC44" s="56" t="str">
        <f t="shared" si="9"/>
        <v/>
      </c>
      <c r="AD44" s="57"/>
      <c r="AE44" s="58"/>
      <c r="AF44" s="48"/>
      <c r="AG44" s="59"/>
      <c r="AH44" s="59"/>
      <c r="AI44" s="58"/>
      <c r="AJ44" s="4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42"/>
      <c r="B45" s="233"/>
      <c r="C45" s="233"/>
      <c r="D45" s="233"/>
      <c r="E45" s="245"/>
      <c r="F45" s="233"/>
      <c r="G45" s="236"/>
      <c r="H45" s="239"/>
      <c r="I45" s="227"/>
      <c r="J45" s="248"/>
      <c r="K45" s="227">
        <f>IF(NOT(ISERROR(MATCH(J45,_xlfn.ANCHORARRAY(E56),0))),I58&amp;"Por favor no seleccionar los criterios de impacto",J45)</f>
        <v>0</v>
      </c>
      <c r="L45" s="239"/>
      <c r="M45" s="227"/>
      <c r="N45" s="230"/>
      <c r="O45" s="60">
        <v>6</v>
      </c>
      <c r="P45" s="49"/>
      <c r="Q45" s="51" t="str">
        <f t="shared" si="6"/>
        <v/>
      </c>
      <c r="R45" s="52"/>
      <c r="S45" s="52"/>
      <c r="T45" s="53" t="str">
        <f t="shared" si="7"/>
        <v/>
      </c>
      <c r="U45" s="52"/>
      <c r="V45" s="52"/>
      <c r="W45" s="52"/>
      <c r="X45" s="24" t="str">
        <f>IFERROR(IF(AND(Q44="Probabilidad",Q45="Probabilidad"),(Z44-(+Z44*T45)),IF(AND(Q44="Impacto",Q45="Probabilidad"),(Z43-(+Z43*T45)),IF(Q45="Impacto",Z44,""))),"")</f>
        <v/>
      </c>
      <c r="Y45" s="54" t="str">
        <f t="shared" si="4"/>
        <v/>
      </c>
      <c r="Z45" s="55" t="str">
        <f t="shared" si="8"/>
        <v/>
      </c>
      <c r="AA45" s="54" t="str">
        <f>IFERROR(IF(AB45="","",IF(AB45&lt;=0.2,"Leve",IF(AB45&lt;=0.4,"Menor",IF(AB45&lt;=0.6,"Moderado",IF(AB45&lt;=0.8,"Mayor","Catastrófico"))))),"")</f>
        <v/>
      </c>
      <c r="AB45" s="55" t="str">
        <f>IFERROR(IF(AND(Q44="Impacto",Q45="Impacto"),(AB44-(+AB44*T45)),IF(AND(Q44="Probabilidad",Q45="Impacto"),(AB43-(+AB43*T45)),IF(Q45="Probabilidad",AB44,""))),"")</f>
        <v/>
      </c>
      <c r="AC45" s="56" t="str">
        <f t="shared" si="9"/>
        <v/>
      </c>
      <c r="AD45" s="57"/>
      <c r="AE45" s="58"/>
      <c r="AF45" s="48"/>
      <c r="AG45" s="59"/>
      <c r="AH45" s="59"/>
      <c r="AI45" s="58"/>
      <c r="AJ45" s="4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40">
        <v>7</v>
      </c>
      <c r="B46" s="231" t="s">
        <v>133</v>
      </c>
      <c r="C46" s="231" t="s">
        <v>283</v>
      </c>
      <c r="D46" s="231" t="s">
        <v>284</v>
      </c>
      <c r="E46" s="243" t="s">
        <v>282</v>
      </c>
      <c r="F46" s="231" t="s">
        <v>129</v>
      </c>
      <c r="G46" s="234">
        <v>29</v>
      </c>
      <c r="H46" s="237" t="str">
        <f>IF(G46&lt;=0,"",IF(G46&lt;=2,"Muy Baja",IF(G46&lt;=24,"Baja",IF(G46&lt;=500,"Media",IF(G46&lt;=5000,"Alta","Muy Alta")))))</f>
        <v>Media</v>
      </c>
      <c r="I46" s="225">
        <f>IF(H46="","",IF(H46="Muy Baja",0.2,IF(H46="Baja",0.4,IF(H46="Media",0.6,IF(H46="Alta",0.8,IF(H46="Muy Alta",1,))))))</f>
        <v>0.6</v>
      </c>
      <c r="J46" s="246" t="s">
        <v>151</v>
      </c>
      <c r="K46" s="225" t="str">
        <f>IF(NOT(ISERROR(MATCH(J46,'Tabla Impacto'!$B$221:$B$223,0))),'Tabla Impacto'!$F$223&amp;"Por favor no seleccionar los criterios de impacto(Afectación Económica o presupuestal y Pérdida Reputacional)",J46)</f>
        <v xml:space="preserve">     Entre 100 y 500 SMLMV </v>
      </c>
      <c r="L46" s="237" t="str">
        <f>IF(OR(K46='Tabla Impacto'!$C$11,K46='Tabla Impacto'!$D$11),"Leve",IF(OR(K46='Tabla Impacto'!$C$12,K46='Tabla Impacto'!$D$12),"Menor",IF(OR(K46='Tabla Impacto'!$C$13,K46='Tabla Impacto'!$D$13),"Moderado",IF(OR(K46='Tabla Impacto'!$C$14,K46='Tabla Impacto'!$D$14),"Mayor",IF(OR(K46='Tabla Impacto'!$C$15,K46='Tabla Impacto'!$D$15),"Catastrófico","")))))</f>
        <v>Mayor</v>
      </c>
      <c r="M46" s="225">
        <f>IF(L46="","",IF(L46="Leve",0.2,IF(L46="Menor",0.4,IF(L46="Moderado",0.6,IF(L46="Mayor",0.8,IF(L46="Catastrófico",1,))))))</f>
        <v>0.8</v>
      </c>
      <c r="N46" s="228"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Alto</v>
      </c>
      <c r="O46" s="60">
        <v>1</v>
      </c>
      <c r="P46" s="49" t="s">
        <v>291</v>
      </c>
      <c r="Q46" s="51" t="str">
        <f t="shared" si="6"/>
        <v>Probabilidad</v>
      </c>
      <c r="R46" s="52" t="s">
        <v>14</v>
      </c>
      <c r="S46" s="52" t="s">
        <v>9</v>
      </c>
      <c r="T46" s="53" t="str">
        <f t="shared" si="7"/>
        <v>40%</v>
      </c>
      <c r="U46" s="52" t="s">
        <v>19</v>
      </c>
      <c r="V46" s="52" t="s">
        <v>22</v>
      </c>
      <c r="W46" s="52" t="s">
        <v>119</v>
      </c>
      <c r="X46" s="24">
        <f>IFERROR(IF(Q46="Probabilidad",(I46-(+I46*T46)),IF(Q46="Impacto",I46,"")),"")</f>
        <v>0.36</v>
      </c>
      <c r="Y46" s="54" t="str">
        <f>IFERROR(IF(X46="","",IF(X46&lt;=0.2,"Muy Baja",IF(X46&lt;=0.4,"Baja",IF(X46&lt;=0.6,"Media",IF(X46&lt;=0.8,"Alta","Muy Alta"))))),"")</f>
        <v>Baja</v>
      </c>
      <c r="Z46" s="55">
        <f t="shared" si="8"/>
        <v>0.36</v>
      </c>
      <c r="AA46" s="54" t="str">
        <f>IFERROR(IF(AB46="","",IF(AB46&lt;=0.2,"Leve",IF(AB46&lt;=0.4,"Menor",IF(AB46&lt;=0.6,"Moderado",IF(AB46&lt;=0.8,"Mayor","Catastrófico"))))),"")</f>
        <v>Mayor</v>
      </c>
      <c r="AB46" s="55">
        <f>IFERROR(IF(Q46="Impacto",(M46-(+M46*T46)),IF(Q46="Probabilidad",M46,"")),"")</f>
        <v>0.8</v>
      </c>
      <c r="AC46" s="56" t="str">
        <f t="shared" si="9"/>
        <v>Alto</v>
      </c>
      <c r="AD46" s="57" t="s">
        <v>136</v>
      </c>
      <c r="AE46" s="58" t="s">
        <v>286</v>
      </c>
      <c r="AF46" s="48" t="s">
        <v>287</v>
      </c>
      <c r="AG46" s="59"/>
      <c r="AH46" s="59"/>
      <c r="AI46" s="58"/>
      <c r="AJ46" s="4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41"/>
      <c r="B47" s="232"/>
      <c r="C47" s="232"/>
      <c r="D47" s="232"/>
      <c r="E47" s="244"/>
      <c r="F47" s="232"/>
      <c r="G47" s="235"/>
      <c r="H47" s="238"/>
      <c r="I47" s="226"/>
      <c r="J47" s="247"/>
      <c r="K47" s="226">
        <f>IF(NOT(ISERROR(MATCH(J47,_xlfn.ANCHORARRAY(E58),0))),I60&amp;"Por favor no seleccionar los criterios de impacto",J47)</f>
        <v>0</v>
      </c>
      <c r="L47" s="238"/>
      <c r="M47" s="226"/>
      <c r="N47" s="229"/>
      <c r="O47" s="60">
        <v>2</v>
      </c>
      <c r="P47" s="49" t="s">
        <v>285</v>
      </c>
      <c r="Q47" s="51" t="str">
        <f t="shared" si="6"/>
        <v>Probabilidad</v>
      </c>
      <c r="R47" s="52" t="s">
        <v>14</v>
      </c>
      <c r="S47" s="52" t="s">
        <v>9</v>
      </c>
      <c r="T47" s="53" t="str">
        <f t="shared" si="7"/>
        <v>40%</v>
      </c>
      <c r="U47" s="52" t="s">
        <v>19</v>
      </c>
      <c r="V47" s="52" t="s">
        <v>23</v>
      </c>
      <c r="W47" s="52" t="s">
        <v>119</v>
      </c>
      <c r="X47" s="24">
        <f>IFERROR(IF(AND(Q46="Probabilidad",Q47="Probabilidad"),(Z46-(+Z46*T47)),IF(Q47="Probabilidad",(I46-(+I46*T47)),IF(Q47="Impacto",Z46,""))),"")</f>
        <v>0.216</v>
      </c>
      <c r="Y47" s="54" t="str">
        <f t="shared" si="4"/>
        <v>Baja</v>
      </c>
      <c r="Z47" s="55">
        <f t="shared" si="8"/>
        <v>0.216</v>
      </c>
      <c r="AA47" s="54" t="str">
        <f t="shared" si="5"/>
        <v/>
      </c>
      <c r="AB47" s="55" t="str">
        <f>IFERROR(IF(AND(Q46="Impacto",Q47="Impacto"),(AB40-(+AB40*T47)),IF(Q47="Impacto",($M$46-(+$M$46*T47)),IF(Q47="Probabilidad",AB40,""))),"")</f>
        <v/>
      </c>
      <c r="AC47" s="56" t="str">
        <f t="shared" si="9"/>
        <v/>
      </c>
      <c r="AD47" s="57" t="s">
        <v>136</v>
      </c>
      <c r="AE47" s="58" t="s">
        <v>288</v>
      </c>
      <c r="AF47" s="58" t="s">
        <v>290</v>
      </c>
      <c r="AG47" s="59"/>
      <c r="AH47" s="59"/>
      <c r="AI47" s="58"/>
      <c r="AJ47" s="4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41"/>
      <c r="B48" s="232"/>
      <c r="C48" s="232"/>
      <c r="D48" s="232"/>
      <c r="E48" s="244"/>
      <c r="F48" s="232"/>
      <c r="G48" s="235"/>
      <c r="H48" s="238"/>
      <c r="I48" s="226"/>
      <c r="J48" s="247"/>
      <c r="K48" s="226">
        <f>IF(NOT(ISERROR(MATCH(J48,_xlfn.ANCHORARRAY(E59),0))),I61&amp;"Por favor no seleccionar los criterios de impacto",J48)</f>
        <v>0</v>
      </c>
      <c r="L48" s="238"/>
      <c r="M48" s="226"/>
      <c r="N48" s="229"/>
      <c r="O48" s="60">
        <v>3</v>
      </c>
      <c r="P48" s="50" t="s">
        <v>292</v>
      </c>
      <c r="Q48" s="51" t="str">
        <f t="shared" si="6"/>
        <v>Impacto</v>
      </c>
      <c r="R48" s="52" t="s">
        <v>16</v>
      </c>
      <c r="S48" s="52" t="s">
        <v>9</v>
      </c>
      <c r="T48" s="53" t="str">
        <f t="shared" si="7"/>
        <v>25%</v>
      </c>
      <c r="U48" s="52" t="s">
        <v>19</v>
      </c>
      <c r="V48" s="52" t="s">
        <v>22</v>
      </c>
      <c r="W48" s="52" t="s">
        <v>119</v>
      </c>
      <c r="X48" s="24">
        <f>IFERROR(IF(AND(Q47="Probabilidad",Q48="Probabilidad"),(Z47-(+Z47*T48)),IF(AND(Q47="Impacto",Q48="Probabilidad"),(Z46-(+Z46*T48)),IF(Q48="Impacto",Z47,""))),"")</f>
        <v>0.216</v>
      </c>
      <c r="Y48" s="54" t="str">
        <f t="shared" si="4"/>
        <v>Baja</v>
      </c>
      <c r="Z48" s="55">
        <f t="shared" si="8"/>
        <v>0.216</v>
      </c>
      <c r="AA48" s="54" t="str">
        <f t="shared" si="5"/>
        <v>Moderado</v>
      </c>
      <c r="AB48" s="55">
        <f>IFERROR(IF(AND(Q47="Impacto",Q48="Impacto"),(AB47-(+AB47*T48)),IF(AND(Q47="Probabilidad",Q48="Impacto"),(AB46-(+AB46*T48)),IF(Q48="Probabilidad",AB47,""))),"")</f>
        <v>0.60000000000000009</v>
      </c>
      <c r="AC48" s="56" t="str">
        <f t="shared" si="9"/>
        <v>Moderado</v>
      </c>
      <c r="AD48" s="57" t="s">
        <v>136</v>
      </c>
      <c r="AE48" s="58" t="s">
        <v>289</v>
      </c>
      <c r="AF48" s="58" t="s">
        <v>290</v>
      </c>
      <c r="AG48" s="59"/>
      <c r="AH48" s="59"/>
      <c r="AI48" s="58"/>
      <c r="AJ48" s="4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41"/>
      <c r="B49" s="232"/>
      <c r="C49" s="232"/>
      <c r="D49" s="232"/>
      <c r="E49" s="244"/>
      <c r="F49" s="232"/>
      <c r="G49" s="235"/>
      <c r="H49" s="238"/>
      <c r="I49" s="226"/>
      <c r="J49" s="247"/>
      <c r="K49" s="226">
        <f>IF(NOT(ISERROR(MATCH(J49,_xlfn.ANCHORARRAY(E60),0))),I62&amp;"Por favor no seleccionar los criterios de impacto",J49)</f>
        <v>0</v>
      </c>
      <c r="L49" s="238"/>
      <c r="M49" s="226"/>
      <c r="N49" s="229"/>
      <c r="O49" s="60">
        <v>4</v>
      </c>
      <c r="P49" s="49"/>
      <c r="Q49" s="51" t="str">
        <f t="shared" si="6"/>
        <v/>
      </c>
      <c r="R49" s="52"/>
      <c r="S49" s="52"/>
      <c r="T49" s="53" t="str">
        <f t="shared" si="7"/>
        <v/>
      </c>
      <c r="U49" s="52"/>
      <c r="V49" s="52"/>
      <c r="W49" s="52"/>
      <c r="X49" s="24" t="str">
        <f>IFERROR(IF(AND(Q48="Probabilidad",Q49="Probabilidad"),(Z48-(+Z48*T49)),IF(AND(Q48="Impacto",Q49="Probabilidad"),(Z47-(+Z47*T49)),IF(Q49="Impacto",Z48,""))),"")</f>
        <v/>
      </c>
      <c r="Y49" s="54" t="str">
        <f t="shared" si="4"/>
        <v/>
      </c>
      <c r="Z49" s="55" t="str">
        <f t="shared" si="8"/>
        <v/>
      </c>
      <c r="AA49" s="54" t="str">
        <f t="shared" si="5"/>
        <v/>
      </c>
      <c r="AB49" s="55" t="str">
        <f>IFERROR(IF(AND(Q48="Impacto",Q49="Impacto"),(AB48-(+AB48*T49)),IF(AND(Q48="Probabilidad",Q49="Impacto"),(AB47-(+AB47*T49)),IF(Q49="Probabilidad",AB48,""))),"")</f>
        <v/>
      </c>
      <c r="AC49" s="56" t="str">
        <f t="shared" si="9"/>
        <v/>
      </c>
      <c r="AD49" s="57"/>
      <c r="AE49" s="58"/>
      <c r="AF49" s="48"/>
      <c r="AG49" s="59"/>
      <c r="AH49" s="59"/>
      <c r="AI49" s="58"/>
      <c r="AJ49" s="4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41"/>
      <c r="B50" s="232"/>
      <c r="C50" s="232"/>
      <c r="D50" s="232"/>
      <c r="E50" s="244"/>
      <c r="F50" s="232"/>
      <c r="G50" s="235"/>
      <c r="H50" s="238"/>
      <c r="I50" s="226"/>
      <c r="J50" s="247"/>
      <c r="K50" s="226">
        <f>IF(NOT(ISERROR(MATCH(J50,_xlfn.ANCHORARRAY(E61),0))),I63&amp;"Por favor no seleccionar los criterios de impacto",J50)</f>
        <v>0</v>
      </c>
      <c r="L50" s="238"/>
      <c r="M50" s="226"/>
      <c r="N50" s="229"/>
      <c r="O50" s="60">
        <v>5</v>
      </c>
      <c r="P50" s="49"/>
      <c r="Q50" s="51" t="str">
        <f t="shared" si="6"/>
        <v/>
      </c>
      <c r="R50" s="52"/>
      <c r="S50" s="52"/>
      <c r="T50" s="53" t="str">
        <f t="shared" si="7"/>
        <v/>
      </c>
      <c r="U50" s="52"/>
      <c r="V50" s="52"/>
      <c r="W50" s="52"/>
      <c r="X50" s="24" t="str">
        <f>IFERROR(IF(AND(Q49="Probabilidad",Q50="Probabilidad"),(Z49-(+Z49*T50)),IF(AND(Q49="Impacto",Q50="Probabilidad"),(Z48-(+Z48*T50)),IF(Q50="Impacto",Z49,""))),"")</f>
        <v/>
      </c>
      <c r="Y50" s="54" t="str">
        <f t="shared" si="4"/>
        <v/>
      </c>
      <c r="Z50" s="55" t="str">
        <f t="shared" si="8"/>
        <v/>
      </c>
      <c r="AA50" s="54" t="str">
        <f t="shared" si="5"/>
        <v/>
      </c>
      <c r="AB50" s="55" t="str">
        <f>IFERROR(IF(AND(Q49="Impacto",Q50="Impacto"),(AB49-(+AB49*T50)),IF(AND(Q49="Probabilidad",Q50="Impacto"),(AB48-(+AB48*T50)),IF(Q50="Probabilidad",AB49,""))),"")</f>
        <v/>
      </c>
      <c r="AC50" s="56" t="str">
        <f t="shared" si="9"/>
        <v/>
      </c>
      <c r="AD50" s="57"/>
      <c r="AE50" s="58"/>
      <c r="AF50" s="48"/>
      <c r="AG50" s="59"/>
      <c r="AH50" s="59"/>
      <c r="AI50" s="58"/>
      <c r="AJ50" s="4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42"/>
      <c r="B51" s="233"/>
      <c r="C51" s="233"/>
      <c r="D51" s="233"/>
      <c r="E51" s="245"/>
      <c r="F51" s="233"/>
      <c r="G51" s="236"/>
      <c r="H51" s="239"/>
      <c r="I51" s="227"/>
      <c r="J51" s="248"/>
      <c r="K51" s="227">
        <f>IF(NOT(ISERROR(MATCH(J51,_xlfn.ANCHORARRAY(E62),0))),I64&amp;"Por favor no seleccionar los criterios de impacto",J51)</f>
        <v>0</v>
      </c>
      <c r="L51" s="239"/>
      <c r="M51" s="227"/>
      <c r="N51" s="230"/>
      <c r="O51" s="60">
        <v>6</v>
      </c>
      <c r="P51" s="49"/>
      <c r="Q51" s="51" t="str">
        <f t="shared" si="6"/>
        <v/>
      </c>
      <c r="R51" s="52"/>
      <c r="S51" s="52"/>
      <c r="T51" s="53" t="str">
        <f t="shared" si="7"/>
        <v/>
      </c>
      <c r="U51" s="52"/>
      <c r="V51" s="52"/>
      <c r="W51" s="52"/>
      <c r="X51" s="24" t="str">
        <f>IFERROR(IF(AND(Q50="Probabilidad",Q51="Probabilidad"),(Z50-(+Z50*T51)),IF(AND(Q50="Impacto",Q51="Probabilidad"),(Z49-(+Z49*T51)),IF(Q51="Impacto",Z50,""))),"")</f>
        <v/>
      </c>
      <c r="Y51" s="54" t="str">
        <f t="shared" si="4"/>
        <v/>
      </c>
      <c r="Z51" s="55" t="str">
        <f t="shared" si="8"/>
        <v/>
      </c>
      <c r="AA51" s="54" t="str">
        <f t="shared" si="5"/>
        <v/>
      </c>
      <c r="AB51" s="55" t="str">
        <f>IFERROR(IF(AND(Q50="Impacto",Q51="Impacto"),(AB50-(+AB50*T51)),IF(AND(Q50="Probabilidad",Q51="Impacto"),(AB49-(+AB49*T51)),IF(Q51="Probabilidad",AB50,""))),"")</f>
        <v/>
      </c>
      <c r="AC51" s="56" t="str">
        <f t="shared" si="9"/>
        <v/>
      </c>
      <c r="AD51" s="57"/>
      <c r="AE51" s="58"/>
      <c r="AF51" s="48"/>
      <c r="AG51" s="59"/>
      <c r="AH51" s="59"/>
      <c r="AI51" s="58"/>
      <c r="AJ51" s="4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40">
        <v>8</v>
      </c>
      <c r="B52" s="231" t="s">
        <v>133</v>
      </c>
      <c r="C52" s="231" t="s">
        <v>293</v>
      </c>
      <c r="D52" s="231" t="s">
        <v>294</v>
      </c>
      <c r="E52" s="243" t="s">
        <v>295</v>
      </c>
      <c r="F52" s="231" t="s">
        <v>129</v>
      </c>
      <c r="G52" s="234">
        <v>29</v>
      </c>
      <c r="H52" s="237" t="str">
        <f>IF(G52&lt;=0,"",IF(G52&lt;=2,"Muy Baja",IF(G52&lt;=24,"Baja",IF(G52&lt;=500,"Media",IF(G52&lt;=5000,"Alta","Muy Alta")))))</f>
        <v>Media</v>
      </c>
      <c r="I52" s="225">
        <f>IF(H52="","",IF(H52="Muy Baja",0.2,IF(H52="Baja",0.4,IF(H52="Media",0.6,IF(H52="Alta",0.8,IF(H52="Muy Alta",1,))))))</f>
        <v>0.6</v>
      </c>
      <c r="J52" s="246" t="s">
        <v>151</v>
      </c>
      <c r="K52" s="225" t="str">
        <f>IF(NOT(ISERROR(MATCH(J52,'Tabla Impacto'!$B$221:$B$223,0))),'Tabla Impacto'!$F$223&amp;"Por favor no seleccionar los criterios de impacto(Afectación Económica o presupuestal y Pérdida Reputacional)",J52)</f>
        <v xml:space="preserve">     Entre 100 y 500 SMLMV </v>
      </c>
      <c r="L52" s="237" t="str">
        <f>IF(OR(K52='Tabla Impacto'!$C$11,K52='Tabla Impacto'!$D$11),"Leve",IF(OR(K52='Tabla Impacto'!$C$12,K52='Tabla Impacto'!$D$12),"Menor",IF(OR(K52='Tabla Impacto'!$C$13,K52='Tabla Impacto'!$D$13),"Moderado",IF(OR(K52='Tabla Impacto'!$C$14,K52='Tabla Impacto'!$D$14),"Mayor",IF(OR(K52='Tabla Impacto'!$C$15,K52='Tabla Impacto'!$D$15),"Catastrófico","")))))</f>
        <v>Mayor</v>
      </c>
      <c r="M52" s="225">
        <f>IF(L52="","",IF(L52="Leve",0.2,IF(L52="Menor",0.4,IF(L52="Moderado",0.6,IF(L52="Mayor",0.8,IF(L52="Catastrófico",1,))))))</f>
        <v>0.8</v>
      </c>
      <c r="N52" s="228"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Alto</v>
      </c>
      <c r="O52" s="60">
        <v>1</v>
      </c>
      <c r="P52" s="49" t="s">
        <v>296</v>
      </c>
      <c r="Q52" s="51" t="str">
        <f t="shared" si="6"/>
        <v>Probabilidad</v>
      </c>
      <c r="R52" s="52" t="s">
        <v>14</v>
      </c>
      <c r="S52" s="52" t="s">
        <v>9</v>
      </c>
      <c r="T52" s="53" t="str">
        <f t="shared" si="7"/>
        <v>40%</v>
      </c>
      <c r="U52" s="52" t="s">
        <v>19</v>
      </c>
      <c r="V52" s="52" t="s">
        <v>22</v>
      </c>
      <c r="W52" s="52" t="s">
        <v>119</v>
      </c>
      <c r="X52" s="24">
        <f>IFERROR(IF(Q52="Probabilidad",(I52-(+I52*T52)),IF(Q52="Impacto",I52,"")),"")</f>
        <v>0.36</v>
      </c>
      <c r="Y52" s="54" t="str">
        <f>IFERROR(IF(X52="","",IF(X52&lt;=0.2,"Muy Baja",IF(X52&lt;=0.4,"Baja",IF(X52&lt;=0.6,"Media",IF(X52&lt;=0.8,"Alta","Muy Alta"))))),"")</f>
        <v>Baja</v>
      </c>
      <c r="Z52" s="55">
        <f t="shared" si="8"/>
        <v>0.36</v>
      </c>
      <c r="AA52" s="54" t="str">
        <f>IFERROR(IF(AB52="","",IF(AB52&lt;=0.2,"Leve",IF(AB52&lt;=0.4,"Menor",IF(AB52&lt;=0.6,"Moderado",IF(AB52&lt;=0.8,"Mayor","Catastrófico"))))),"")</f>
        <v>Mayor</v>
      </c>
      <c r="AB52" s="55">
        <f>IFERROR(IF(Q52="Impacto",(M52-(+M52*T52)),IF(Q52="Probabilidad",M52,"")),"")</f>
        <v>0.8</v>
      </c>
      <c r="AC52" s="56" t="str">
        <f t="shared" si="9"/>
        <v>Alto</v>
      </c>
      <c r="AD52" s="57" t="s">
        <v>32</v>
      </c>
      <c r="AE52" s="58"/>
      <c r="AF52" s="48"/>
      <c r="AG52" s="59"/>
      <c r="AH52" s="59"/>
      <c r="AI52" s="58"/>
      <c r="AJ52" s="4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41"/>
      <c r="B53" s="232"/>
      <c r="C53" s="232"/>
      <c r="D53" s="232"/>
      <c r="E53" s="244"/>
      <c r="F53" s="232"/>
      <c r="G53" s="235"/>
      <c r="H53" s="238"/>
      <c r="I53" s="226"/>
      <c r="J53" s="247"/>
      <c r="K53" s="226">
        <f>IF(NOT(ISERROR(MATCH(J53,_xlfn.ANCHORARRAY(E64),0))),I66&amp;"Por favor no seleccionar los criterios de impacto",J53)</f>
        <v>0</v>
      </c>
      <c r="L53" s="238"/>
      <c r="M53" s="226"/>
      <c r="N53" s="229"/>
      <c r="O53" s="60">
        <v>2</v>
      </c>
      <c r="P53" s="49" t="s">
        <v>297</v>
      </c>
      <c r="Q53" s="51" t="str">
        <f t="shared" si="6"/>
        <v>Probabilidad</v>
      </c>
      <c r="R53" s="52" t="s">
        <v>15</v>
      </c>
      <c r="S53" s="52" t="s">
        <v>9</v>
      </c>
      <c r="T53" s="53" t="str">
        <f t="shared" si="7"/>
        <v>30%</v>
      </c>
      <c r="U53" s="52" t="s">
        <v>19</v>
      </c>
      <c r="V53" s="52" t="s">
        <v>22</v>
      </c>
      <c r="W53" s="52" t="s">
        <v>119</v>
      </c>
      <c r="X53" s="24">
        <f>IFERROR(IF(AND(Q52="Probabilidad",Q53="Probabilidad"),(Z52-(+Z52*T53)),IF(Q53="Probabilidad",(I52-(+I52*T53)),IF(Q53="Impacto",Z52,""))),"")</f>
        <v>0.252</v>
      </c>
      <c r="Y53" s="54" t="str">
        <f t="shared" si="4"/>
        <v>Baja</v>
      </c>
      <c r="Z53" s="55">
        <f t="shared" si="8"/>
        <v>0.252</v>
      </c>
      <c r="AA53" s="54" t="str">
        <f t="shared" si="5"/>
        <v>Mayor</v>
      </c>
      <c r="AB53" s="55">
        <f>IFERROR(IF(AND(Q52="Impacto",Q53="Impacto"),(AB46-(+AB46*T53)),IF(Q53="Impacto",($M$52-(+$M$52*T53)),IF(Q53="Probabilidad",AB46,""))),"")</f>
        <v>0.8</v>
      </c>
      <c r="AC53" s="56" t="str">
        <f t="shared" si="9"/>
        <v>Alto</v>
      </c>
      <c r="AD53" s="57" t="s">
        <v>32</v>
      </c>
      <c r="AE53" s="58"/>
      <c r="AF53" s="48"/>
      <c r="AG53" s="59"/>
      <c r="AH53" s="59"/>
      <c r="AI53" s="58"/>
      <c r="AJ53" s="4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41"/>
      <c r="B54" s="232"/>
      <c r="C54" s="232"/>
      <c r="D54" s="232"/>
      <c r="E54" s="244"/>
      <c r="F54" s="232"/>
      <c r="G54" s="235"/>
      <c r="H54" s="238"/>
      <c r="I54" s="226"/>
      <c r="J54" s="247"/>
      <c r="K54" s="226">
        <f>IF(NOT(ISERROR(MATCH(J54,_xlfn.ANCHORARRAY(E65),0))),I67&amp;"Por favor no seleccionar los criterios de impacto",J54)</f>
        <v>0</v>
      </c>
      <c r="L54" s="238"/>
      <c r="M54" s="226"/>
      <c r="N54" s="229"/>
      <c r="O54" s="60">
        <v>3</v>
      </c>
      <c r="P54" s="49" t="s">
        <v>298</v>
      </c>
      <c r="Q54" s="51" t="str">
        <f t="shared" si="6"/>
        <v>Probabilidad</v>
      </c>
      <c r="R54" s="52" t="s">
        <v>14</v>
      </c>
      <c r="S54" s="52" t="s">
        <v>10</v>
      </c>
      <c r="T54" s="53" t="str">
        <f t="shared" si="7"/>
        <v>50%</v>
      </c>
      <c r="U54" s="52" t="s">
        <v>19</v>
      </c>
      <c r="V54" s="52" t="s">
        <v>22</v>
      </c>
      <c r="W54" s="52" t="s">
        <v>119</v>
      </c>
      <c r="X54" s="24">
        <f>IFERROR(IF(AND(Q53="Probabilidad",Q54="Probabilidad"),(Z53-(+Z53*T54)),IF(AND(Q53="Impacto",Q54="Probabilidad"),(Z52-(+Z52*T54)),IF(Q54="Impacto",Z53,""))),"")</f>
        <v>0.126</v>
      </c>
      <c r="Y54" s="54" t="str">
        <f t="shared" si="4"/>
        <v>Muy Baja</v>
      </c>
      <c r="Z54" s="55">
        <f t="shared" si="8"/>
        <v>0.126</v>
      </c>
      <c r="AA54" s="54" t="str">
        <f t="shared" si="5"/>
        <v>Mayor</v>
      </c>
      <c r="AB54" s="55">
        <f>IFERROR(IF(AND(Q53="Impacto",Q54="Impacto"),(AB53-(+AB53*T54)),IF(AND(Q53="Probabilidad",Q54="Impacto"),(AB52-(+AB52*T54)),IF(Q54="Probabilidad",AB53,""))),"")</f>
        <v>0.8</v>
      </c>
      <c r="AC54" s="56" t="str">
        <f t="shared" si="9"/>
        <v>Alto</v>
      </c>
      <c r="AD54" s="57" t="s">
        <v>32</v>
      </c>
      <c r="AE54" s="58"/>
      <c r="AF54" s="48"/>
      <c r="AG54" s="59"/>
      <c r="AH54" s="59"/>
      <c r="AI54" s="58"/>
      <c r="AJ54" s="4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41"/>
      <c r="B55" s="232"/>
      <c r="C55" s="232"/>
      <c r="D55" s="232"/>
      <c r="E55" s="244"/>
      <c r="F55" s="232"/>
      <c r="G55" s="235"/>
      <c r="H55" s="238"/>
      <c r="I55" s="226"/>
      <c r="J55" s="247"/>
      <c r="K55" s="226">
        <f>IF(NOT(ISERROR(MATCH(J55,_xlfn.ANCHORARRAY(E66),0))),I68&amp;"Por favor no seleccionar los criterios de impacto",J55)</f>
        <v>0</v>
      </c>
      <c r="L55" s="238"/>
      <c r="M55" s="226"/>
      <c r="N55" s="229"/>
      <c r="O55" s="60">
        <v>4</v>
      </c>
      <c r="P55" s="49"/>
      <c r="Q55" s="51" t="str">
        <f t="shared" si="6"/>
        <v/>
      </c>
      <c r="R55" s="52"/>
      <c r="S55" s="52"/>
      <c r="T55" s="53" t="str">
        <f t="shared" si="7"/>
        <v/>
      </c>
      <c r="U55" s="52"/>
      <c r="V55" s="52"/>
      <c r="W55" s="52"/>
      <c r="X55" s="24" t="str">
        <f>IFERROR(IF(AND(Q54="Probabilidad",Q55="Probabilidad"),(Z54-(+Z54*T55)),IF(AND(Q54="Impacto",Q55="Probabilidad"),(Z53-(+Z53*T55)),IF(Q55="Impacto",Z54,""))),"")</f>
        <v/>
      </c>
      <c r="Y55" s="54" t="str">
        <f t="shared" si="4"/>
        <v/>
      </c>
      <c r="Z55" s="55" t="str">
        <f t="shared" si="8"/>
        <v/>
      </c>
      <c r="AA55" s="54" t="str">
        <f t="shared" si="5"/>
        <v/>
      </c>
      <c r="AB55" s="55" t="str">
        <f>IFERROR(IF(AND(Q54="Impacto",Q55="Impacto"),(AB54-(+AB54*T55)),IF(AND(Q54="Probabilidad",Q55="Impacto"),(AB53-(+AB53*T55)),IF(Q55="Probabilidad",AB54,""))),"")</f>
        <v/>
      </c>
      <c r="AC55" s="56" t="str">
        <f t="shared" si="9"/>
        <v/>
      </c>
      <c r="AD55" s="57"/>
      <c r="AE55" s="58"/>
      <c r="AF55" s="48"/>
      <c r="AG55" s="59"/>
      <c r="AH55" s="59"/>
      <c r="AI55" s="58"/>
      <c r="AJ55" s="4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41"/>
      <c r="B56" s="232"/>
      <c r="C56" s="232"/>
      <c r="D56" s="232"/>
      <c r="E56" s="244"/>
      <c r="F56" s="232"/>
      <c r="G56" s="235"/>
      <c r="H56" s="238"/>
      <c r="I56" s="226"/>
      <c r="J56" s="247"/>
      <c r="K56" s="226">
        <f>IF(NOT(ISERROR(MATCH(J56,_xlfn.ANCHORARRAY(E67),0))),I69&amp;"Por favor no seleccionar los criterios de impacto",J56)</f>
        <v>0</v>
      </c>
      <c r="L56" s="238"/>
      <c r="M56" s="226"/>
      <c r="N56" s="229"/>
      <c r="O56" s="60">
        <v>5</v>
      </c>
      <c r="P56" s="49"/>
      <c r="Q56" s="51" t="str">
        <f t="shared" si="6"/>
        <v/>
      </c>
      <c r="R56" s="52"/>
      <c r="S56" s="52"/>
      <c r="T56" s="53" t="str">
        <f t="shared" si="7"/>
        <v/>
      </c>
      <c r="U56" s="52"/>
      <c r="V56" s="52"/>
      <c r="W56" s="52"/>
      <c r="X56" s="24" t="str">
        <f>IFERROR(IF(AND(Q55="Probabilidad",Q56="Probabilidad"),(Z55-(+Z55*T56)),IF(AND(Q55="Impacto",Q56="Probabilidad"),(Z54-(+Z54*T56)),IF(Q56="Impacto",Z55,""))),"")</f>
        <v/>
      </c>
      <c r="Y56" s="54" t="str">
        <f t="shared" si="4"/>
        <v/>
      </c>
      <c r="Z56" s="55" t="str">
        <f t="shared" si="8"/>
        <v/>
      </c>
      <c r="AA56" s="54" t="str">
        <f t="shared" si="5"/>
        <v/>
      </c>
      <c r="AB56" s="55" t="str">
        <f>IFERROR(IF(AND(Q55="Impacto",Q56="Impacto"),(AB55-(+AB55*T56)),IF(AND(Q55="Probabilidad",Q56="Impacto"),(AB54-(+AB54*T56)),IF(Q56="Probabilidad",AB55,""))),"")</f>
        <v/>
      </c>
      <c r="AC56" s="56" t="str">
        <f t="shared" si="9"/>
        <v/>
      </c>
      <c r="AD56" s="57"/>
      <c r="AE56" s="58"/>
      <c r="AF56" s="48"/>
      <c r="AG56" s="59"/>
      <c r="AH56" s="59"/>
      <c r="AI56" s="58"/>
      <c r="AJ56" s="4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42"/>
      <c r="B57" s="233"/>
      <c r="C57" s="233"/>
      <c r="D57" s="233"/>
      <c r="E57" s="245"/>
      <c r="F57" s="233"/>
      <c r="G57" s="236"/>
      <c r="H57" s="239"/>
      <c r="I57" s="227"/>
      <c r="J57" s="248"/>
      <c r="K57" s="227">
        <f>IF(NOT(ISERROR(MATCH(J57,_xlfn.ANCHORARRAY(E68),0))),I70&amp;"Por favor no seleccionar los criterios de impacto",J57)</f>
        <v>0</v>
      </c>
      <c r="L57" s="239"/>
      <c r="M57" s="227"/>
      <c r="N57" s="230"/>
      <c r="O57" s="60">
        <v>6</v>
      </c>
      <c r="P57" s="49"/>
      <c r="Q57" s="51" t="str">
        <f t="shared" si="6"/>
        <v/>
      </c>
      <c r="R57" s="52"/>
      <c r="S57" s="52"/>
      <c r="T57" s="53" t="str">
        <f t="shared" si="7"/>
        <v/>
      </c>
      <c r="U57" s="52"/>
      <c r="V57" s="52"/>
      <c r="W57" s="52"/>
      <c r="X57" s="24" t="str">
        <f>IFERROR(IF(AND(Q56="Probabilidad",Q57="Probabilidad"),(Z56-(+Z56*T57)),IF(AND(Q56="Impacto",Q57="Probabilidad"),(Z55-(+Z55*T57)),IF(Q57="Impacto",Z56,""))),"")</f>
        <v/>
      </c>
      <c r="Y57" s="54" t="str">
        <f t="shared" si="4"/>
        <v/>
      </c>
      <c r="Z57" s="55" t="str">
        <f t="shared" si="8"/>
        <v/>
      </c>
      <c r="AA57" s="54" t="str">
        <f t="shared" si="5"/>
        <v/>
      </c>
      <c r="AB57" s="55" t="str">
        <f>IFERROR(IF(AND(Q56="Impacto",Q57="Impacto"),(AB56-(+AB56*T57)),IF(AND(Q56="Probabilidad",Q57="Impacto"),(AB55-(+AB55*T57)),IF(Q57="Probabilidad",AB56,""))),"")</f>
        <v/>
      </c>
      <c r="AC57" s="56" t="str">
        <f t="shared" si="9"/>
        <v/>
      </c>
      <c r="AD57" s="57"/>
      <c r="AE57" s="58"/>
      <c r="AF57" s="48"/>
      <c r="AG57" s="59"/>
      <c r="AH57" s="59"/>
      <c r="AI57" s="58"/>
      <c r="AJ57" s="4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40">
        <v>9</v>
      </c>
      <c r="B58" s="231"/>
      <c r="C58" s="231"/>
      <c r="D58" s="231"/>
      <c r="E58" s="243"/>
      <c r="F58" s="231"/>
      <c r="G58" s="234"/>
      <c r="H58" s="237" t="str">
        <f>IF(G58&lt;=0,"",IF(G58&lt;=2,"Muy Baja",IF(G58&lt;=24,"Baja",IF(G58&lt;=500,"Media",IF(G58&lt;=5000,"Alta","Muy Alta")))))</f>
        <v/>
      </c>
      <c r="I58" s="225" t="str">
        <f>IF(H58="","",IF(H58="Muy Baja",0.2,IF(H58="Baja",0.4,IF(H58="Media",0.6,IF(H58="Alta",0.8,IF(H58="Muy Alta",1,))))))</f>
        <v/>
      </c>
      <c r="J58" s="246"/>
      <c r="K58" s="225">
        <f>IF(NOT(ISERROR(MATCH(J58,'Tabla Impacto'!$B$221:$B$223,0))),'Tabla Impacto'!$F$223&amp;"Por favor no seleccionar los criterios de impacto(Afectación Económica o presupuestal y Pérdida Reputacional)",J58)</f>
        <v>0</v>
      </c>
      <c r="L58" s="237" t="str">
        <f>IF(OR(K58='Tabla Impacto'!$C$11,K58='Tabla Impacto'!$D$11),"Leve",IF(OR(K58='Tabla Impacto'!$C$12,K58='Tabla Impacto'!$D$12),"Menor",IF(OR(K58='Tabla Impacto'!$C$13,K58='Tabla Impacto'!$D$13),"Moderado",IF(OR(K58='Tabla Impacto'!$C$14,K58='Tabla Impacto'!$D$14),"Mayor",IF(OR(K58='Tabla Impacto'!$C$15,K58='Tabla Impacto'!$D$15),"Catastrófico","")))))</f>
        <v/>
      </c>
      <c r="M58" s="225" t="str">
        <f>IF(L58="","",IF(L58="Leve",0.2,IF(L58="Menor",0.4,IF(L58="Moderado",0.6,IF(L58="Mayor",0.8,IF(L58="Catastrófico",1,))))))</f>
        <v/>
      </c>
      <c r="N58" s="228"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60">
        <v>1</v>
      </c>
      <c r="P58" s="49"/>
      <c r="Q58" s="51" t="str">
        <f t="shared" si="6"/>
        <v/>
      </c>
      <c r="R58" s="52"/>
      <c r="S58" s="52"/>
      <c r="T58" s="53" t="str">
        <f t="shared" si="7"/>
        <v/>
      </c>
      <c r="U58" s="52"/>
      <c r="V58" s="52"/>
      <c r="W58" s="52"/>
      <c r="X58" s="24" t="str">
        <f>IFERROR(IF(Q58="Probabilidad",(I58-(+I58*T58)),IF(Q58="Impacto",I58,"")),"")</f>
        <v/>
      </c>
      <c r="Y58" s="54" t="str">
        <f>IFERROR(IF(X58="","",IF(X58&lt;=0.2,"Muy Baja",IF(X58&lt;=0.4,"Baja",IF(X58&lt;=0.6,"Media",IF(X58&lt;=0.8,"Alta","Muy Alta"))))),"")</f>
        <v/>
      </c>
      <c r="Z58" s="55" t="str">
        <f t="shared" si="8"/>
        <v/>
      </c>
      <c r="AA58" s="54" t="str">
        <f>IFERROR(IF(AB58="","",IF(AB58&lt;=0.2,"Leve",IF(AB58&lt;=0.4,"Menor",IF(AB58&lt;=0.6,"Moderado",IF(AB58&lt;=0.8,"Mayor","Catastrófico"))))),"")</f>
        <v/>
      </c>
      <c r="AB58" s="55" t="str">
        <f>IFERROR(IF(Q58="Impacto",(M58-(+M58*T58)),IF(Q58="Probabilidad",M58,"")),"")</f>
        <v/>
      </c>
      <c r="AC58" s="56" t="str">
        <f t="shared" si="9"/>
        <v/>
      </c>
      <c r="AD58" s="57"/>
      <c r="AE58" s="58"/>
      <c r="AF58" s="48"/>
      <c r="AG58" s="59"/>
      <c r="AH58" s="59"/>
      <c r="AI58" s="58"/>
      <c r="AJ58" s="4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41"/>
      <c r="B59" s="232"/>
      <c r="C59" s="232"/>
      <c r="D59" s="232"/>
      <c r="E59" s="244"/>
      <c r="F59" s="232"/>
      <c r="G59" s="235"/>
      <c r="H59" s="238"/>
      <c r="I59" s="226"/>
      <c r="J59" s="247"/>
      <c r="K59" s="226">
        <f>IF(NOT(ISERROR(MATCH(J59,_xlfn.ANCHORARRAY(E70),0))),I72&amp;"Por favor no seleccionar los criterios de impacto",J59)</f>
        <v>0</v>
      </c>
      <c r="L59" s="238"/>
      <c r="M59" s="226"/>
      <c r="N59" s="229"/>
      <c r="O59" s="60">
        <v>2</v>
      </c>
      <c r="P59" s="49"/>
      <c r="Q59" s="51" t="str">
        <f t="shared" si="6"/>
        <v/>
      </c>
      <c r="R59" s="52"/>
      <c r="S59" s="52"/>
      <c r="T59" s="53" t="str">
        <f t="shared" si="7"/>
        <v/>
      </c>
      <c r="U59" s="52"/>
      <c r="V59" s="52"/>
      <c r="W59" s="52"/>
      <c r="X59" s="24" t="str">
        <f>IFERROR(IF(AND(Q58="Probabilidad",Q59="Probabilidad"),(Z58-(+Z58*T59)),IF(Q59="Probabilidad",(I58-(+I58*T59)),IF(Q59="Impacto",Z58,""))),"")</f>
        <v/>
      </c>
      <c r="Y59" s="54" t="str">
        <f t="shared" si="4"/>
        <v/>
      </c>
      <c r="Z59" s="55" t="str">
        <f t="shared" si="8"/>
        <v/>
      </c>
      <c r="AA59" s="54" t="str">
        <f t="shared" si="5"/>
        <v/>
      </c>
      <c r="AB59" s="55" t="str">
        <f>IFERROR(IF(AND(Q58="Impacto",Q59="Impacto"),(AB52-(+AB52*T59)),IF(Q59="Impacto",($M$58-(+$M$58*T59)),IF(Q59="Probabilidad",AB52,""))),"")</f>
        <v/>
      </c>
      <c r="AC59" s="56" t="str">
        <f t="shared" si="9"/>
        <v/>
      </c>
      <c r="AD59" s="57"/>
      <c r="AE59" s="58"/>
      <c r="AF59" s="48"/>
      <c r="AG59" s="59"/>
      <c r="AH59" s="59"/>
      <c r="AI59" s="58"/>
      <c r="AJ59" s="4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41"/>
      <c r="B60" s="232"/>
      <c r="C60" s="232"/>
      <c r="D60" s="232"/>
      <c r="E60" s="244"/>
      <c r="F60" s="232"/>
      <c r="G60" s="235"/>
      <c r="H60" s="238"/>
      <c r="I60" s="226"/>
      <c r="J60" s="247"/>
      <c r="K60" s="226">
        <f>IF(NOT(ISERROR(MATCH(J60,_xlfn.ANCHORARRAY(E71),0))),I73&amp;"Por favor no seleccionar los criterios de impacto",J60)</f>
        <v>0</v>
      </c>
      <c r="L60" s="238"/>
      <c r="M60" s="226"/>
      <c r="N60" s="229"/>
      <c r="O60" s="60">
        <v>3</v>
      </c>
      <c r="P60" s="50"/>
      <c r="Q60" s="51" t="str">
        <f t="shared" si="6"/>
        <v/>
      </c>
      <c r="R60" s="52"/>
      <c r="S60" s="52"/>
      <c r="T60" s="53" t="str">
        <f t="shared" si="7"/>
        <v/>
      </c>
      <c r="U60" s="52"/>
      <c r="V60" s="52"/>
      <c r="W60" s="52"/>
      <c r="X60" s="24" t="str">
        <f>IFERROR(IF(AND(Q59="Probabilidad",Q60="Probabilidad"),(Z59-(+Z59*T60)),IF(AND(Q59="Impacto",Q60="Probabilidad"),(Z58-(+Z58*T60)),IF(Q60="Impacto",Z59,""))),"")</f>
        <v/>
      </c>
      <c r="Y60" s="54" t="str">
        <f t="shared" si="4"/>
        <v/>
      </c>
      <c r="Z60" s="55" t="str">
        <f t="shared" si="8"/>
        <v/>
      </c>
      <c r="AA60" s="54" t="str">
        <f t="shared" si="5"/>
        <v/>
      </c>
      <c r="AB60" s="55" t="str">
        <f>IFERROR(IF(AND(Q59="Impacto",Q60="Impacto"),(AB59-(+AB59*T60)),IF(AND(Q59="Probabilidad",Q60="Impacto"),(AB58-(+AB58*T60)),IF(Q60="Probabilidad",AB59,""))),"")</f>
        <v/>
      </c>
      <c r="AC60" s="56" t="str">
        <f t="shared" si="9"/>
        <v/>
      </c>
      <c r="AD60" s="57"/>
      <c r="AE60" s="58"/>
      <c r="AF60" s="48"/>
      <c r="AG60" s="59"/>
      <c r="AH60" s="59"/>
      <c r="AI60" s="58"/>
      <c r="AJ60" s="4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41"/>
      <c r="B61" s="232"/>
      <c r="C61" s="232"/>
      <c r="D61" s="232"/>
      <c r="E61" s="244"/>
      <c r="F61" s="232"/>
      <c r="G61" s="235"/>
      <c r="H61" s="238"/>
      <c r="I61" s="226"/>
      <c r="J61" s="247"/>
      <c r="K61" s="226">
        <f>IF(NOT(ISERROR(MATCH(J61,_xlfn.ANCHORARRAY(E72),0))),I74&amp;"Por favor no seleccionar los criterios de impacto",J61)</f>
        <v>0</v>
      </c>
      <c r="L61" s="238"/>
      <c r="M61" s="226"/>
      <c r="N61" s="229"/>
      <c r="O61" s="60">
        <v>4</v>
      </c>
      <c r="P61" s="49"/>
      <c r="Q61" s="51" t="str">
        <f t="shared" si="6"/>
        <v/>
      </c>
      <c r="R61" s="52"/>
      <c r="S61" s="52"/>
      <c r="T61" s="53" t="str">
        <f t="shared" si="7"/>
        <v/>
      </c>
      <c r="U61" s="52"/>
      <c r="V61" s="52"/>
      <c r="W61" s="52"/>
      <c r="X61" s="24" t="str">
        <f>IFERROR(IF(AND(Q60="Probabilidad",Q61="Probabilidad"),(Z60-(+Z60*T61)),IF(AND(Q60="Impacto",Q61="Probabilidad"),(Z59-(+Z59*T61)),IF(Q61="Impacto",Z60,""))),"")</f>
        <v/>
      </c>
      <c r="Y61" s="54" t="str">
        <f t="shared" si="4"/>
        <v/>
      </c>
      <c r="Z61" s="55" t="str">
        <f t="shared" si="8"/>
        <v/>
      </c>
      <c r="AA61" s="54" t="str">
        <f t="shared" si="5"/>
        <v/>
      </c>
      <c r="AB61" s="55" t="str">
        <f>IFERROR(IF(AND(Q60="Impacto",Q61="Impacto"),(AB60-(+AB60*T61)),IF(AND(Q60="Probabilidad",Q61="Impacto"),(AB59-(+AB59*T61)),IF(Q61="Probabilidad",AB60,""))),"")</f>
        <v/>
      </c>
      <c r="AC61" s="56" t="str">
        <f t="shared" si="9"/>
        <v/>
      </c>
      <c r="AD61" s="57"/>
      <c r="AE61" s="58"/>
      <c r="AF61" s="48"/>
      <c r="AG61" s="59"/>
      <c r="AH61" s="59"/>
      <c r="AI61" s="58"/>
      <c r="AJ61" s="4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41"/>
      <c r="B62" s="232"/>
      <c r="C62" s="232"/>
      <c r="D62" s="232"/>
      <c r="E62" s="244"/>
      <c r="F62" s="232"/>
      <c r="G62" s="235"/>
      <c r="H62" s="238"/>
      <c r="I62" s="226"/>
      <c r="J62" s="247"/>
      <c r="K62" s="226">
        <f>IF(NOT(ISERROR(MATCH(J62,_xlfn.ANCHORARRAY(E73),0))),I75&amp;"Por favor no seleccionar los criterios de impacto",J62)</f>
        <v>0</v>
      </c>
      <c r="L62" s="238"/>
      <c r="M62" s="226"/>
      <c r="N62" s="229"/>
      <c r="O62" s="60">
        <v>5</v>
      </c>
      <c r="P62" s="49"/>
      <c r="Q62" s="51" t="str">
        <f t="shared" si="6"/>
        <v/>
      </c>
      <c r="R62" s="52"/>
      <c r="S62" s="52"/>
      <c r="T62" s="53" t="str">
        <f t="shared" si="7"/>
        <v/>
      </c>
      <c r="U62" s="52"/>
      <c r="V62" s="52"/>
      <c r="W62" s="52"/>
      <c r="X62" s="24" t="str">
        <f>IFERROR(IF(AND(Q61="Probabilidad",Q62="Probabilidad"),(Z61-(+Z61*T62)),IF(AND(Q61="Impacto",Q62="Probabilidad"),(Z60-(+Z60*T62)),IF(Q62="Impacto",Z61,""))),"")</f>
        <v/>
      </c>
      <c r="Y62" s="54" t="str">
        <f t="shared" si="4"/>
        <v/>
      </c>
      <c r="Z62" s="55" t="str">
        <f t="shared" si="8"/>
        <v/>
      </c>
      <c r="AA62" s="54" t="str">
        <f t="shared" si="5"/>
        <v/>
      </c>
      <c r="AB62" s="55" t="str">
        <f>IFERROR(IF(AND(Q61="Impacto",Q62="Impacto"),(AB61-(+AB61*T62)),IF(AND(Q61="Probabilidad",Q62="Impacto"),(AB60-(+AB60*T62)),IF(Q62="Probabilidad",AB61,""))),"")</f>
        <v/>
      </c>
      <c r="AC62" s="56" t="str">
        <f t="shared" si="9"/>
        <v/>
      </c>
      <c r="AD62" s="57"/>
      <c r="AE62" s="58"/>
      <c r="AF62" s="48"/>
      <c r="AG62" s="59"/>
      <c r="AH62" s="59"/>
      <c r="AI62" s="58"/>
      <c r="AJ62" s="4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42"/>
      <c r="B63" s="233"/>
      <c r="C63" s="233"/>
      <c r="D63" s="233"/>
      <c r="E63" s="245"/>
      <c r="F63" s="233"/>
      <c r="G63" s="236"/>
      <c r="H63" s="239"/>
      <c r="I63" s="227"/>
      <c r="J63" s="248"/>
      <c r="K63" s="227">
        <f>IF(NOT(ISERROR(MATCH(J63,_xlfn.ANCHORARRAY(E74),0))),I76&amp;"Por favor no seleccionar los criterios de impacto",J63)</f>
        <v>0</v>
      </c>
      <c r="L63" s="239"/>
      <c r="M63" s="227"/>
      <c r="N63" s="230"/>
      <c r="O63" s="60">
        <v>6</v>
      </c>
      <c r="P63" s="49"/>
      <c r="Q63" s="51" t="str">
        <f t="shared" si="6"/>
        <v/>
      </c>
      <c r="R63" s="52"/>
      <c r="S63" s="52"/>
      <c r="T63" s="53" t="str">
        <f t="shared" si="7"/>
        <v/>
      </c>
      <c r="U63" s="52"/>
      <c r="V63" s="52"/>
      <c r="W63" s="52"/>
      <c r="X63" s="24" t="str">
        <f>IFERROR(IF(AND(Q62="Probabilidad",Q63="Probabilidad"),(Z62-(+Z62*T63)),IF(AND(Q62="Impacto",Q63="Probabilidad"),(Z61-(+Z61*T63)),IF(Q63="Impacto",Z62,""))),"")</f>
        <v/>
      </c>
      <c r="Y63" s="54" t="str">
        <f t="shared" si="4"/>
        <v/>
      </c>
      <c r="Z63" s="55" t="str">
        <f t="shared" si="8"/>
        <v/>
      </c>
      <c r="AA63" s="54" t="str">
        <f t="shared" si="5"/>
        <v/>
      </c>
      <c r="AB63" s="55" t="str">
        <f>IFERROR(IF(AND(Q62="Impacto",Q63="Impacto"),(AB62-(+AB62*T63)),IF(AND(Q62="Probabilidad",Q63="Impacto"),(AB61-(+AB61*T63)),IF(Q63="Probabilidad",AB62,""))),"")</f>
        <v/>
      </c>
      <c r="AC63" s="56" t="str">
        <f t="shared" si="9"/>
        <v/>
      </c>
      <c r="AD63" s="57"/>
      <c r="AE63" s="58"/>
      <c r="AF63" s="48"/>
      <c r="AG63" s="59"/>
      <c r="AH63" s="59"/>
      <c r="AI63" s="58"/>
      <c r="AJ63" s="4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40">
        <v>10</v>
      </c>
      <c r="B64" s="231"/>
      <c r="C64" s="231"/>
      <c r="D64" s="231"/>
      <c r="E64" s="243"/>
      <c r="F64" s="231"/>
      <c r="G64" s="234"/>
      <c r="H64" s="237" t="str">
        <f>IF(G64&lt;=0,"",IF(G64&lt;=2,"Muy Baja",IF(G64&lt;=24,"Baja",IF(G64&lt;=500,"Media",IF(G64&lt;=5000,"Alta","Muy Alta")))))</f>
        <v/>
      </c>
      <c r="I64" s="225" t="str">
        <f>IF(H64="","",IF(H64="Muy Baja",0.2,IF(H64="Baja",0.4,IF(H64="Media",0.6,IF(H64="Alta",0.8,IF(H64="Muy Alta",1,))))))</f>
        <v/>
      </c>
      <c r="J64" s="246"/>
      <c r="K64" s="225">
        <f>IF(NOT(ISERROR(MATCH(J64,'Tabla Impacto'!$B$221:$B$223,0))),'Tabla Impacto'!$F$223&amp;"Por favor no seleccionar los criterios de impacto(Afectación Económica o presupuestal y Pérdida Reputacional)",J64)</f>
        <v>0</v>
      </c>
      <c r="L64" s="237" t="str">
        <f>IF(OR(K64='Tabla Impacto'!$C$11,K64='Tabla Impacto'!$D$11),"Leve",IF(OR(K64='Tabla Impacto'!$C$12,K64='Tabla Impacto'!$D$12),"Menor",IF(OR(K64='Tabla Impacto'!$C$13,K64='Tabla Impacto'!$D$13),"Moderado",IF(OR(K64='Tabla Impacto'!$C$14,K64='Tabla Impacto'!$D$14),"Mayor",IF(OR(K64='Tabla Impacto'!$C$15,K64='Tabla Impacto'!$D$15),"Catastrófico","")))))</f>
        <v/>
      </c>
      <c r="M64" s="225" t="str">
        <f>IF(L64="","",IF(L64="Leve",0.2,IF(L64="Menor",0.4,IF(L64="Moderado",0.6,IF(L64="Mayor",0.8,IF(L64="Catastrófico",1,))))))</f>
        <v/>
      </c>
      <c r="N64" s="228"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60">
        <v>1</v>
      </c>
      <c r="P64" s="49"/>
      <c r="Q64" s="51" t="str">
        <f t="shared" si="6"/>
        <v/>
      </c>
      <c r="R64" s="52"/>
      <c r="S64" s="52"/>
      <c r="T64" s="53" t="str">
        <f t="shared" si="7"/>
        <v/>
      </c>
      <c r="U64" s="52"/>
      <c r="V64" s="52"/>
      <c r="W64" s="52"/>
      <c r="X64" s="24" t="str">
        <f>IFERROR(IF(Q64="Probabilidad",(I64-(+I64*T64)),IF(Q64="Impacto",I64,"")),"")</f>
        <v/>
      </c>
      <c r="Y64" s="54" t="str">
        <f>IFERROR(IF(X64="","",IF(X64&lt;=0.2,"Muy Baja",IF(X64&lt;=0.4,"Baja",IF(X64&lt;=0.6,"Media",IF(X64&lt;=0.8,"Alta","Muy Alta"))))),"")</f>
        <v/>
      </c>
      <c r="Z64" s="55" t="str">
        <f t="shared" si="8"/>
        <v/>
      </c>
      <c r="AA64" s="54" t="str">
        <f>IFERROR(IF(AB64="","",IF(AB64&lt;=0.2,"Leve",IF(AB64&lt;=0.4,"Menor",IF(AB64&lt;=0.6,"Moderado",IF(AB64&lt;=0.8,"Mayor","Catastrófico"))))),"")</f>
        <v/>
      </c>
      <c r="AB64" s="55" t="str">
        <f>IFERROR(IF(Q64="Impacto",(M64-(+M64*T64)),IF(Q64="Probabilidad",M64,"")),"")</f>
        <v/>
      </c>
      <c r="AC64" s="56" t="str">
        <f t="shared" si="9"/>
        <v/>
      </c>
      <c r="AD64" s="57"/>
      <c r="AE64" s="58"/>
      <c r="AF64" s="48"/>
      <c r="AG64" s="59"/>
      <c r="AH64" s="59"/>
      <c r="AI64" s="58"/>
      <c r="AJ64" s="4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41"/>
      <c r="B65" s="232"/>
      <c r="C65" s="232"/>
      <c r="D65" s="232"/>
      <c r="E65" s="244"/>
      <c r="F65" s="232"/>
      <c r="G65" s="235"/>
      <c r="H65" s="238"/>
      <c r="I65" s="226"/>
      <c r="J65" s="247"/>
      <c r="K65" s="226">
        <f>IF(NOT(ISERROR(MATCH(J65,_xlfn.ANCHORARRAY(E76),0))),I78&amp;"Por favor no seleccionar los criterios de impacto",J65)</f>
        <v>0</v>
      </c>
      <c r="L65" s="238"/>
      <c r="M65" s="226"/>
      <c r="N65" s="229"/>
      <c r="O65" s="60">
        <v>2</v>
      </c>
      <c r="P65" s="49"/>
      <c r="Q65" s="51" t="str">
        <f t="shared" si="6"/>
        <v/>
      </c>
      <c r="R65" s="52"/>
      <c r="S65" s="52"/>
      <c r="T65" s="53" t="str">
        <f t="shared" si="7"/>
        <v/>
      </c>
      <c r="U65" s="52"/>
      <c r="V65" s="52"/>
      <c r="W65" s="52"/>
      <c r="X65" s="24" t="str">
        <f>IFERROR(IF(AND(Q64="Probabilidad",Q65="Probabilidad"),(Z64-(+Z64*T65)),IF(Q65="Probabilidad",(I64-(+I64*T65)),IF(Q65="Impacto",Z64,""))),"")</f>
        <v/>
      </c>
      <c r="Y65" s="54" t="str">
        <f t="shared" si="4"/>
        <v/>
      </c>
      <c r="Z65" s="55" t="str">
        <f t="shared" si="8"/>
        <v/>
      </c>
      <c r="AA65" s="54" t="str">
        <f t="shared" si="5"/>
        <v/>
      </c>
      <c r="AB65" s="55" t="str">
        <f>IFERROR(IF(AND(Q64="Impacto",Q65="Impacto"),(AB58-(+AB58*T65)),IF(Q65="Impacto",($M$64-(+$M$64*T65)),IF(Q65="Probabilidad",AB58,""))),"")</f>
        <v/>
      </c>
      <c r="AC65" s="56" t="str">
        <f t="shared" si="9"/>
        <v/>
      </c>
      <c r="AD65" s="57"/>
      <c r="AE65" s="58"/>
      <c r="AF65" s="48"/>
      <c r="AG65" s="59"/>
      <c r="AH65" s="59"/>
      <c r="AI65" s="58"/>
      <c r="AJ65" s="48"/>
    </row>
    <row r="66" spans="1:36" ht="151.5" customHeight="1" x14ac:dyDescent="0.3">
      <c r="A66" s="241"/>
      <c r="B66" s="232"/>
      <c r="C66" s="232"/>
      <c r="D66" s="232"/>
      <c r="E66" s="244"/>
      <c r="F66" s="232"/>
      <c r="G66" s="235"/>
      <c r="H66" s="238"/>
      <c r="I66" s="226"/>
      <c r="J66" s="247"/>
      <c r="K66" s="226">
        <f>IF(NOT(ISERROR(MATCH(J66,_xlfn.ANCHORARRAY(E77),0))),I79&amp;"Por favor no seleccionar los criterios de impacto",J66)</f>
        <v>0</v>
      </c>
      <c r="L66" s="238"/>
      <c r="M66" s="226"/>
      <c r="N66" s="229"/>
      <c r="O66" s="60">
        <v>3</v>
      </c>
      <c r="P66" s="50"/>
      <c r="Q66" s="51" t="str">
        <f t="shared" si="6"/>
        <v/>
      </c>
      <c r="R66" s="52"/>
      <c r="S66" s="52"/>
      <c r="T66" s="53" t="str">
        <f t="shared" si="7"/>
        <v/>
      </c>
      <c r="U66" s="52"/>
      <c r="V66" s="52"/>
      <c r="W66" s="52"/>
      <c r="X66" s="24" t="str">
        <f>IFERROR(IF(AND(Q65="Probabilidad",Q66="Probabilidad"),(Z65-(+Z65*T66)),IF(AND(Q65="Impacto",Q66="Probabilidad"),(Z64-(+Z64*T66)),IF(Q66="Impacto",Z65,""))),"")</f>
        <v/>
      </c>
      <c r="Y66" s="54" t="str">
        <f t="shared" si="4"/>
        <v/>
      </c>
      <c r="Z66" s="55" t="str">
        <f t="shared" si="8"/>
        <v/>
      </c>
      <c r="AA66" s="54" t="str">
        <f t="shared" si="5"/>
        <v/>
      </c>
      <c r="AB66" s="55" t="str">
        <f>IFERROR(IF(AND(Q65="Impacto",Q66="Impacto"),(AB65-(+AB65*T66)),IF(AND(Q65="Probabilidad",Q66="Impacto"),(AB64-(+AB64*T66)),IF(Q66="Probabilidad",AB65,""))),"")</f>
        <v/>
      </c>
      <c r="AC66" s="56" t="str">
        <f t="shared" si="9"/>
        <v/>
      </c>
      <c r="AD66" s="57"/>
      <c r="AE66" s="58"/>
      <c r="AF66" s="48"/>
      <c r="AG66" s="59"/>
      <c r="AH66" s="59"/>
      <c r="AI66" s="58"/>
      <c r="AJ66" s="48"/>
    </row>
    <row r="67" spans="1:36" ht="151.5" customHeight="1" x14ac:dyDescent="0.3">
      <c r="A67" s="241"/>
      <c r="B67" s="232"/>
      <c r="C67" s="232"/>
      <c r="D67" s="232"/>
      <c r="E67" s="244"/>
      <c r="F67" s="232"/>
      <c r="G67" s="235"/>
      <c r="H67" s="238"/>
      <c r="I67" s="226"/>
      <c r="J67" s="247"/>
      <c r="K67" s="226">
        <f>IF(NOT(ISERROR(MATCH(J67,_xlfn.ANCHORARRAY(E78),0))),I80&amp;"Por favor no seleccionar los criterios de impacto",J67)</f>
        <v>0</v>
      </c>
      <c r="L67" s="238"/>
      <c r="M67" s="226"/>
      <c r="N67" s="229"/>
      <c r="O67" s="60">
        <v>4</v>
      </c>
      <c r="P67" s="49"/>
      <c r="Q67" s="51" t="str">
        <f t="shared" si="6"/>
        <v/>
      </c>
      <c r="R67" s="52"/>
      <c r="S67" s="52"/>
      <c r="T67" s="53" t="str">
        <f t="shared" si="7"/>
        <v/>
      </c>
      <c r="U67" s="52"/>
      <c r="V67" s="52"/>
      <c r="W67" s="52"/>
      <c r="X67" s="24" t="str">
        <f>IFERROR(IF(AND(Q66="Probabilidad",Q67="Probabilidad"),(Z66-(+Z66*T67)),IF(AND(Q66="Impacto",Q67="Probabilidad"),(Z65-(+Z65*T67)),IF(Q67="Impacto",Z66,""))),"")</f>
        <v/>
      </c>
      <c r="Y67" s="54" t="str">
        <f t="shared" si="4"/>
        <v/>
      </c>
      <c r="Z67" s="55" t="str">
        <f t="shared" si="8"/>
        <v/>
      </c>
      <c r="AA67" s="54" t="str">
        <f t="shared" si="5"/>
        <v/>
      </c>
      <c r="AB67" s="55" t="str">
        <f>IFERROR(IF(AND(Q66="Impacto",Q67="Impacto"),(AB66-(+AB66*T67)),IF(AND(Q66="Probabilidad",Q67="Impacto"),(AB65-(+AB65*T67)),IF(Q67="Probabilidad",AB66,""))),"")</f>
        <v/>
      </c>
      <c r="AC67" s="56" t="str">
        <f t="shared" si="9"/>
        <v/>
      </c>
      <c r="AD67" s="57"/>
      <c r="AE67" s="58"/>
      <c r="AF67" s="48"/>
      <c r="AG67" s="59"/>
      <c r="AH67" s="59"/>
      <c r="AI67" s="58"/>
      <c r="AJ67" s="48"/>
    </row>
    <row r="68" spans="1:36" ht="151.5" customHeight="1" x14ac:dyDescent="0.3">
      <c r="A68" s="241"/>
      <c r="B68" s="232"/>
      <c r="C68" s="232"/>
      <c r="D68" s="232"/>
      <c r="E68" s="244"/>
      <c r="F68" s="232"/>
      <c r="G68" s="235"/>
      <c r="H68" s="238"/>
      <c r="I68" s="226"/>
      <c r="J68" s="247"/>
      <c r="K68" s="226">
        <f>IF(NOT(ISERROR(MATCH(J68,_xlfn.ANCHORARRAY(E79),0))),I81&amp;"Por favor no seleccionar los criterios de impacto",J68)</f>
        <v>0</v>
      </c>
      <c r="L68" s="238"/>
      <c r="M68" s="226"/>
      <c r="N68" s="229"/>
      <c r="O68" s="60">
        <v>5</v>
      </c>
      <c r="P68" s="49"/>
      <c r="Q68" s="51" t="str">
        <f t="shared" si="6"/>
        <v/>
      </c>
      <c r="R68" s="52"/>
      <c r="S68" s="52"/>
      <c r="T68" s="53" t="str">
        <f t="shared" si="7"/>
        <v/>
      </c>
      <c r="U68" s="52"/>
      <c r="V68" s="52"/>
      <c r="W68" s="52"/>
      <c r="X68" s="24" t="str">
        <f>IFERROR(IF(AND(Q67="Probabilidad",Q68="Probabilidad"),(Z67-(+Z67*T68)),IF(AND(Q67="Impacto",Q68="Probabilidad"),(Z66-(+Z66*T68)),IF(Q68="Impacto",Z67,""))),"")</f>
        <v/>
      </c>
      <c r="Y68" s="54" t="str">
        <f t="shared" si="4"/>
        <v/>
      </c>
      <c r="Z68" s="55" t="str">
        <f t="shared" si="8"/>
        <v/>
      </c>
      <c r="AA68" s="54" t="str">
        <f t="shared" si="5"/>
        <v/>
      </c>
      <c r="AB68" s="55" t="str">
        <f>IFERROR(IF(AND(Q67="Impacto",Q68="Impacto"),(AB67-(+AB67*T68)),IF(AND(Q67="Probabilidad",Q68="Impacto"),(AB66-(+AB66*T68)),IF(Q68="Probabilidad",AB67,""))),"")</f>
        <v/>
      </c>
      <c r="AC68" s="56" t="str">
        <f t="shared" si="9"/>
        <v/>
      </c>
      <c r="AD68" s="57"/>
      <c r="AE68" s="58"/>
      <c r="AF68" s="48"/>
      <c r="AG68" s="59"/>
      <c r="AH68" s="59"/>
      <c r="AI68" s="58"/>
      <c r="AJ68" s="48"/>
    </row>
    <row r="69" spans="1:36" ht="151.5" customHeight="1" x14ac:dyDescent="0.3">
      <c r="A69" s="242"/>
      <c r="B69" s="233"/>
      <c r="C69" s="233"/>
      <c r="D69" s="233"/>
      <c r="E69" s="245"/>
      <c r="F69" s="233"/>
      <c r="G69" s="236"/>
      <c r="H69" s="239"/>
      <c r="I69" s="227"/>
      <c r="J69" s="248"/>
      <c r="K69" s="227">
        <f>IF(NOT(ISERROR(MATCH(J69,_xlfn.ANCHORARRAY(E80),0))),I82&amp;"Por favor no seleccionar los criterios de impacto",J69)</f>
        <v>0</v>
      </c>
      <c r="L69" s="239"/>
      <c r="M69" s="227"/>
      <c r="N69" s="230"/>
      <c r="O69" s="60">
        <v>6</v>
      </c>
      <c r="P69" s="49"/>
      <c r="Q69" s="51" t="str">
        <f t="shared" si="6"/>
        <v/>
      </c>
      <c r="R69" s="52"/>
      <c r="S69" s="52"/>
      <c r="T69" s="53" t="str">
        <f t="shared" si="7"/>
        <v/>
      </c>
      <c r="U69" s="52"/>
      <c r="V69" s="52"/>
      <c r="W69" s="52"/>
      <c r="X69" s="24" t="str">
        <f>IFERROR(IF(AND(Q68="Probabilidad",Q69="Probabilidad"),(Z68-(+Z68*T69)),IF(AND(Q68="Impacto",Q69="Probabilidad"),(Z67-(+Z67*T69)),IF(Q69="Impacto",Z68,""))),"")</f>
        <v/>
      </c>
      <c r="Y69" s="54" t="str">
        <f t="shared" si="4"/>
        <v/>
      </c>
      <c r="Z69" s="55" t="str">
        <f t="shared" si="8"/>
        <v/>
      </c>
      <c r="AA69" s="54" t="str">
        <f t="shared" si="5"/>
        <v/>
      </c>
      <c r="AB69" s="55" t="str">
        <f>IFERROR(IF(AND(Q68="Impacto",Q69="Impacto"),(AB68-(+AB68*T69)),IF(AND(Q68="Probabilidad",Q69="Impacto"),(AB67-(+AB67*T69)),IF(Q69="Probabilidad",AB68,""))),"")</f>
        <v/>
      </c>
      <c r="AC69" s="56" t="str">
        <f t="shared" si="9"/>
        <v/>
      </c>
      <c r="AD69" s="57"/>
      <c r="AE69" s="58"/>
      <c r="AF69" s="48"/>
      <c r="AG69" s="59"/>
      <c r="AH69" s="59"/>
      <c r="AI69" s="58"/>
      <c r="AJ69" s="48"/>
    </row>
    <row r="70" spans="1:36" ht="49.5" customHeight="1" x14ac:dyDescent="0.3">
      <c r="A70" s="6"/>
      <c r="B70" s="282" t="s">
        <v>131</v>
      </c>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4"/>
    </row>
    <row r="72" spans="1:36" x14ac:dyDescent="0.3">
      <c r="A72" s="1"/>
      <c r="B72" s="25" t="s">
        <v>143</v>
      </c>
      <c r="C72" s="1"/>
      <c r="D72" s="1"/>
      <c r="F72" s="1"/>
    </row>
  </sheetData>
  <sheetProtection algorithmName="SHA-512" hashValue="sVoqu7kJshpFydYKkkW8R62PwbHkQ9zgyUzrQTDSexXBIdbfmbh3HSh+Gofw37b3YGg2PRU2wgjt3LhxsWd93g==" saltValue="gArFcdkKpQaxc61f24i61A==" spinCount="100000" sheet="1" objects="1" scenarios="1"/>
  <dataConsolidate link="1"/>
  <mergeCells count="185">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22:I27"/>
    <mergeCell ref="C16:C21"/>
    <mergeCell ref="D16:D21"/>
    <mergeCell ref="E16:E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J22:J27"/>
    <mergeCell ref="K22:K27"/>
    <mergeCell ref="L22:L27"/>
    <mergeCell ref="B16:B21"/>
    <mergeCell ref="A22:A27"/>
    <mergeCell ref="B22:B27"/>
    <mergeCell ref="C22:C27"/>
    <mergeCell ref="D22:D27"/>
    <mergeCell ref="E22:E27"/>
    <mergeCell ref="F22:F27"/>
    <mergeCell ref="G22:G27"/>
    <mergeCell ref="H22:H27"/>
    <mergeCell ref="AE8:AE9"/>
    <mergeCell ref="Y8:Y9"/>
    <mergeCell ref="Z8:Z9"/>
    <mergeCell ref="G8:G9"/>
    <mergeCell ref="H8:H9"/>
    <mergeCell ref="I8:I9"/>
    <mergeCell ref="L8:L9"/>
    <mergeCell ref="M8:M9"/>
    <mergeCell ref="B8:B9"/>
    <mergeCell ref="N8:N9"/>
    <mergeCell ref="J8:J9"/>
    <mergeCell ref="K8:K9"/>
    <mergeCell ref="Q8:Q9"/>
    <mergeCell ref="R8:W8"/>
    <mergeCell ref="K16:K21"/>
    <mergeCell ref="L16:L21"/>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C4:N4"/>
    <mergeCell ref="O4:Q4"/>
    <mergeCell ref="AA8:AA9"/>
    <mergeCell ref="M16:M21"/>
    <mergeCell ref="N16:N21"/>
    <mergeCell ref="C10:C15"/>
    <mergeCell ref="F10:F15"/>
    <mergeCell ref="G10:G15"/>
    <mergeCell ref="H10:H15"/>
    <mergeCell ref="A10:A15"/>
    <mergeCell ref="B10:B15"/>
    <mergeCell ref="D10:D15"/>
    <mergeCell ref="E10:E15"/>
    <mergeCell ref="N10:N15"/>
    <mergeCell ref="I10:I15"/>
    <mergeCell ref="J10:J15"/>
    <mergeCell ref="K10:K15"/>
    <mergeCell ref="L10:L15"/>
    <mergeCell ref="M10:M15"/>
    <mergeCell ref="F16:F21"/>
    <mergeCell ref="G16:G21"/>
    <mergeCell ref="H16:H21"/>
    <mergeCell ref="I16:I21"/>
    <mergeCell ref="J16:J21"/>
    <mergeCell ref="A16:A21"/>
  </mergeCells>
  <conditionalFormatting sqref="H10 H16">
    <cfRule type="cellIs" dxfId="250" priority="319" operator="equal">
      <formula>"Muy Alta"</formula>
    </cfRule>
    <cfRule type="cellIs" dxfId="249" priority="320" operator="equal">
      <formula>"Alta"</formula>
    </cfRule>
    <cfRule type="cellIs" dxfId="248" priority="321" operator="equal">
      <formula>"Media"</formula>
    </cfRule>
    <cfRule type="cellIs" dxfId="247" priority="322" operator="equal">
      <formula>"Baja"</formula>
    </cfRule>
    <cfRule type="cellIs" dxfId="246" priority="323" operator="equal">
      <formula>"Muy Baja"</formula>
    </cfRule>
  </conditionalFormatting>
  <conditionalFormatting sqref="L10 L16 L22 L28 L34 L40 L46 L52 L58 L64">
    <cfRule type="cellIs" dxfId="245" priority="314" operator="equal">
      <formula>"Catastrófico"</formula>
    </cfRule>
    <cfRule type="cellIs" dxfId="244" priority="315" operator="equal">
      <formula>"Mayor"</formula>
    </cfRule>
    <cfRule type="cellIs" dxfId="243" priority="316" operator="equal">
      <formula>"Moderado"</formula>
    </cfRule>
    <cfRule type="cellIs" dxfId="242" priority="317" operator="equal">
      <formula>"Menor"</formula>
    </cfRule>
    <cfRule type="cellIs" dxfId="241" priority="318" operator="equal">
      <formula>"Leve"</formula>
    </cfRule>
  </conditionalFormatting>
  <conditionalFormatting sqref="N10">
    <cfRule type="cellIs" dxfId="240" priority="310" operator="equal">
      <formula>"Extremo"</formula>
    </cfRule>
    <cfRule type="cellIs" dxfId="239" priority="311" operator="equal">
      <formula>"Alto"</formula>
    </cfRule>
    <cfRule type="cellIs" dxfId="238" priority="312" operator="equal">
      <formula>"Moderado"</formula>
    </cfRule>
    <cfRule type="cellIs" dxfId="237" priority="313" operator="equal">
      <formula>"Bajo"</formula>
    </cfRule>
  </conditionalFormatting>
  <conditionalFormatting sqref="Y10:Y15">
    <cfRule type="cellIs" dxfId="236" priority="305" operator="equal">
      <formula>"Muy Alta"</formula>
    </cfRule>
    <cfRule type="cellIs" dxfId="235" priority="306" operator="equal">
      <formula>"Alta"</formula>
    </cfRule>
    <cfRule type="cellIs" dxfId="234" priority="307" operator="equal">
      <formula>"Media"</formula>
    </cfRule>
    <cfRule type="cellIs" dxfId="233" priority="308" operator="equal">
      <formula>"Baja"</formula>
    </cfRule>
    <cfRule type="cellIs" dxfId="232" priority="309" operator="equal">
      <formula>"Muy Baja"</formula>
    </cfRule>
  </conditionalFormatting>
  <conditionalFormatting sqref="AA10:AA15">
    <cfRule type="cellIs" dxfId="231" priority="300" operator="equal">
      <formula>"Catastrófico"</formula>
    </cfRule>
    <cfRule type="cellIs" dxfId="230" priority="301" operator="equal">
      <formula>"Mayor"</formula>
    </cfRule>
    <cfRule type="cellIs" dxfId="229" priority="302" operator="equal">
      <formula>"Moderado"</formula>
    </cfRule>
    <cfRule type="cellIs" dxfId="228" priority="303" operator="equal">
      <formula>"Menor"</formula>
    </cfRule>
    <cfRule type="cellIs" dxfId="227" priority="304" operator="equal">
      <formula>"Leve"</formula>
    </cfRule>
  </conditionalFormatting>
  <conditionalFormatting sqref="AC10:AC15">
    <cfRule type="cellIs" dxfId="226" priority="296" operator="equal">
      <formula>"Extremo"</formula>
    </cfRule>
    <cfRule type="cellIs" dxfId="225" priority="297" operator="equal">
      <formula>"Alto"</formula>
    </cfRule>
    <cfRule type="cellIs" dxfId="224" priority="298" operator="equal">
      <formula>"Moderado"</formula>
    </cfRule>
    <cfRule type="cellIs" dxfId="223" priority="299" operator="equal">
      <formula>"Bajo"</formula>
    </cfRule>
  </conditionalFormatting>
  <conditionalFormatting sqref="H58">
    <cfRule type="cellIs" dxfId="222" priority="53" operator="equal">
      <formula>"Muy Alta"</formula>
    </cfRule>
    <cfRule type="cellIs" dxfId="221" priority="54" operator="equal">
      <formula>"Alta"</formula>
    </cfRule>
    <cfRule type="cellIs" dxfId="220" priority="55" operator="equal">
      <formula>"Media"</formula>
    </cfRule>
    <cfRule type="cellIs" dxfId="219" priority="56" operator="equal">
      <formula>"Baja"</formula>
    </cfRule>
    <cfRule type="cellIs" dxfId="218" priority="57" operator="equal">
      <formula>"Muy Baja"</formula>
    </cfRule>
  </conditionalFormatting>
  <conditionalFormatting sqref="N16">
    <cfRule type="cellIs" dxfId="217" priority="240" operator="equal">
      <formula>"Extremo"</formula>
    </cfRule>
    <cfRule type="cellIs" dxfId="216" priority="241" operator="equal">
      <formula>"Alto"</formula>
    </cfRule>
    <cfRule type="cellIs" dxfId="215" priority="242" operator="equal">
      <formula>"Moderado"</formula>
    </cfRule>
    <cfRule type="cellIs" dxfId="214" priority="243" operator="equal">
      <formula>"Bajo"</formula>
    </cfRule>
  </conditionalFormatting>
  <conditionalFormatting sqref="Y16:Y21">
    <cfRule type="cellIs" dxfId="213" priority="235" operator="equal">
      <formula>"Muy Alta"</formula>
    </cfRule>
    <cfRule type="cellIs" dxfId="212" priority="236" operator="equal">
      <formula>"Alta"</formula>
    </cfRule>
    <cfRule type="cellIs" dxfId="211" priority="237" operator="equal">
      <formula>"Media"</formula>
    </cfRule>
    <cfRule type="cellIs" dxfId="210" priority="238" operator="equal">
      <formula>"Baja"</formula>
    </cfRule>
    <cfRule type="cellIs" dxfId="209" priority="239" operator="equal">
      <formula>"Muy Baja"</formula>
    </cfRule>
  </conditionalFormatting>
  <conditionalFormatting sqref="AA16:AA21">
    <cfRule type="cellIs" dxfId="208" priority="230" operator="equal">
      <formula>"Catastrófico"</formula>
    </cfRule>
    <cfRule type="cellIs" dxfId="207" priority="231" operator="equal">
      <formula>"Mayor"</formula>
    </cfRule>
    <cfRule type="cellIs" dxfId="206" priority="232" operator="equal">
      <formula>"Moderado"</formula>
    </cfRule>
    <cfRule type="cellIs" dxfId="205" priority="233" operator="equal">
      <formula>"Menor"</formula>
    </cfRule>
    <cfRule type="cellIs" dxfId="204" priority="234" operator="equal">
      <formula>"Leve"</formula>
    </cfRule>
  </conditionalFormatting>
  <conditionalFormatting sqref="AC16:AC21">
    <cfRule type="cellIs" dxfId="203" priority="226" operator="equal">
      <formula>"Extremo"</formula>
    </cfRule>
    <cfRule type="cellIs" dxfId="202" priority="227" operator="equal">
      <formula>"Alto"</formula>
    </cfRule>
    <cfRule type="cellIs" dxfId="201" priority="228" operator="equal">
      <formula>"Moderado"</formula>
    </cfRule>
    <cfRule type="cellIs" dxfId="200" priority="229" operator="equal">
      <formula>"Bajo"</formula>
    </cfRule>
  </conditionalFormatting>
  <conditionalFormatting sqref="H22">
    <cfRule type="cellIs" dxfId="199" priority="221" operator="equal">
      <formula>"Muy Alta"</formula>
    </cfRule>
    <cfRule type="cellIs" dxfId="198" priority="222" operator="equal">
      <formula>"Alta"</formula>
    </cfRule>
    <cfRule type="cellIs" dxfId="197" priority="223" operator="equal">
      <formula>"Media"</formula>
    </cfRule>
    <cfRule type="cellIs" dxfId="196" priority="224" operator="equal">
      <formula>"Baja"</formula>
    </cfRule>
    <cfRule type="cellIs" dxfId="195" priority="225" operator="equal">
      <formula>"Muy Baja"</formula>
    </cfRule>
  </conditionalFormatting>
  <conditionalFormatting sqref="N22">
    <cfRule type="cellIs" dxfId="194" priority="212" operator="equal">
      <formula>"Extremo"</formula>
    </cfRule>
    <cfRule type="cellIs" dxfId="193" priority="213" operator="equal">
      <formula>"Alto"</formula>
    </cfRule>
    <cfRule type="cellIs" dxfId="192" priority="214" operator="equal">
      <formula>"Moderado"</formula>
    </cfRule>
    <cfRule type="cellIs" dxfId="191" priority="215" operator="equal">
      <formula>"Bajo"</formula>
    </cfRule>
  </conditionalFormatting>
  <conditionalFormatting sqref="Y22:Y27">
    <cfRule type="cellIs" dxfId="190" priority="207" operator="equal">
      <formula>"Muy Alta"</formula>
    </cfRule>
    <cfRule type="cellIs" dxfId="189" priority="208" operator="equal">
      <formula>"Alta"</formula>
    </cfRule>
    <cfRule type="cellIs" dxfId="188" priority="209" operator="equal">
      <formula>"Media"</formula>
    </cfRule>
    <cfRule type="cellIs" dxfId="187" priority="210" operator="equal">
      <formula>"Baja"</formula>
    </cfRule>
    <cfRule type="cellIs" dxfId="186" priority="211" operator="equal">
      <formula>"Muy Baja"</formula>
    </cfRule>
  </conditionalFormatting>
  <conditionalFormatting sqref="AA22:AA27">
    <cfRule type="cellIs" dxfId="185" priority="202" operator="equal">
      <formula>"Catastrófico"</formula>
    </cfRule>
    <cfRule type="cellIs" dxfId="184" priority="203" operator="equal">
      <formula>"Mayor"</formula>
    </cfRule>
    <cfRule type="cellIs" dxfId="183" priority="204" operator="equal">
      <formula>"Moderado"</formula>
    </cfRule>
    <cfRule type="cellIs" dxfId="182" priority="205" operator="equal">
      <formula>"Menor"</formula>
    </cfRule>
    <cfRule type="cellIs" dxfId="181" priority="206" operator="equal">
      <formula>"Leve"</formula>
    </cfRule>
  </conditionalFormatting>
  <conditionalFormatting sqref="AC22:AC27">
    <cfRule type="cellIs" dxfId="180" priority="198" operator="equal">
      <formula>"Extremo"</formula>
    </cfRule>
    <cfRule type="cellIs" dxfId="179" priority="199" operator="equal">
      <formula>"Alto"</formula>
    </cfRule>
    <cfRule type="cellIs" dxfId="178" priority="200" operator="equal">
      <formula>"Moderado"</formula>
    </cfRule>
    <cfRule type="cellIs" dxfId="177" priority="201" operator="equal">
      <formula>"Bajo"</formula>
    </cfRule>
  </conditionalFormatting>
  <conditionalFormatting sqref="H28">
    <cfRule type="cellIs" dxfId="176" priority="193" operator="equal">
      <formula>"Muy Alta"</formula>
    </cfRule>
    <cfRule type="cellIs" dxfId="175" priority="194" operator="equal">
      <formula>"Alta"</formula>
    </cfRule>
    <cfRule type="cellIs" dxfId="174" priority="195" operator="equal">
      <formula>"Media"</formula>
    </cfRule>
    <cfRule type="cellIs" dxfId="173" priority="196" operator="equal">
      <formula>"Baja"</formula>
    </cfRule>
    <cfRule type="cellIs" dxfId="172" priority="197" operator="equal">
      <formula>"Muy Baja"</formula>
    </cfRule>
  </conditionalFormatting>
  <conditionalFormatting sqref="N28">
    <cfRule type="cellIs" dxfId="171" priority="184" operator="equal">
      <formula>"Extremo"</formula>
    </cfRule>
    <cfRule type="cellIs" dxfId="170" priority="185" operator="equal">
      <formula>"Alto"</formula>
    </cfRule>
    <cfRule type="cellIs" dxfId="169" priority="186" operator="equal">
      <formula>"Moderado"</formula>
    </cfRule>
    <cfRule type="cellIs" dxfId="168" priority="187" operator="equal">
      <formula>"Bajo"</formula>
    </cfRule>
  </conditionalFormatting>
  <conditionalFormatting sqref="Y28:Y33">
    <cfRule type="cellIs" dxfId="167" priority="179" operator="equal">
      <formula>"Muy Alta"</formula>
    </cfRule>
    <cfRule type="cellIs" dxfId="166" priority="180" operator="equal">
      <formula>"Alta"</formula>
    </cfRule>
    <cfRule type="cellIs" dxfId="165" priority="181" operator="equal">
      <formula>"Media"</formula>
    </cfRule>
    <cfRule type="cellIs" dxfId="164" priority="182" operator="equal">
      <formula>"Baja"</formula>
    </cfRule>
    <cfRule type="cellIs" dxfId="163" priority="183" operator="equal">
      <formula>"Muy Baja"</formula>
    </cfRule>
  </conditionalFormatting>
  <conditionalFormatting sqref="AA28:AA33">
    <cfRule type="cellIs" dxfId="162" priority="174" operator="equal">
      <formula>"Catastrófico"</formula>
    </cfRule>
    <cfRule type="cellIs" dxfId="161" priority="175" operator="equal">
      <formula>"Mayor"</formula>
    </cfRule>
    <cfRule type="cellIs" dxfId="160" priority="176" operator="equal">
      <formula>"Moderado"</formula>
    </cfRule>
    <cfRule type="cellIs" dxfId="159" priority="177" operator="equal">
      <formula>"Menor"</formula>
    </cfRule>
    <cfRule type="cellIs" dxfId="158" priority="178" operator="equal">
      <formula>"Leve"</formula>
    </cfRule>
  </conditionalFormatting>
  <conditionalFormatting sqref="AC28:AC33">
    <cfRule type="cellIs" dxfId="157" priority="170" operator="equal">
      <formula>"Extremo"</formula>
    </cfRule>
    <cfRule type="cellIs" dxfId="156" priority="171" operator="equal">
      <formula>"Alto"</formula>
    </cfRule>
    <cfRule type="cellIs" dxfId="155" priority="172" operator="equal">
      <formula>"Moderado"</formula>
    </cfRule>
    <cfRule type="cellIs" dxfId="154" priority="173" operator="equal">
      <formula>"Bajo"</formula>
    </cfRule>
  </conditionalFormatting>
  <conditionalFormatting sqref="H34">
    <cfRule type="cellIs" dxfId="153" priority="165" operator="equal">
      <formula>"Muy Alta"</formula>
    </cfRule>
    <cfRule type="cellIs" dxfId="152" priority="166" operator="equal">
      <formula>"Alta"</formula>
    </cfRule>
    <cfRule type="cellIs" dxfId="151" priority="167" operator="equal">
      <formula>"Media"</formula>
    </cfRule>
    <cfRule type="cellIs" dxfId="150" priority="168" operator="equal">
      <formula>"Baja"</formula>
    </cfRule>
    <cfRule type="cellIs" dxfId="149" priority="169" operator="equal">
      <formula>"Muy Baja"</formula>
    </cfRule>
  </conditionalFormatting>
  <conditionalFormatting sqref="N34">
    <cfRule type="cellIs" dxfId="148" priority="156" operator="equal">
      <formula>"Extremo"</formula>
    </cfRule>
    <cfRule type="cellIs" dxfId="147" priority="157" operator="equal">
      <formula>"Alto"</formula>
    </cfRule>
    <cfRule type="cellIs" dxfId="146" priority="158" operator="equal">
      <formula>"Moderado"</formula>
    </cfRule>
    <cfRule type="cellIs" dxfId="145" priority="159" operator="equal">
      <formula>"Bajo"</formula>
    </cfRule>
  </conditionalFormatting>
  <conditionalFormatting sqref="Y34:Y39">
    <cfRule type="cellIs" dxfId="144" priority="151" operator="equal">
      <formula>"Muy Alta"</formula>
    </cfRule>
    <cfRule type="cellIs" dxfId="143" priority="152" operator="equal">
      <formula>"Alta"</formula>
    </cfRule>
    <cfRule type="cellIs" dxfId="142" priority="153" operator="equal">
      <formula>"Media"</formula>
    </cfRule>
    <cfRule type="cellIs" dxfId="141" priority="154" operator="equal">
      <formula>"Baja"</formula>
    </cfRule>
    <cfRule type="cellIs" dxfId="140" priority="155" operator="equal">
      <formula>"Muy Baja"</formula>
    </cfRule>
  </conditionalFormatting>
  <conditionalFormatting sqref="AA34:AA39">
    <cfRule type="cellIs" dxfId="139" priority="146" operator="equal">
      <formula>"Catastrófico"</formula>
    </cfRule>
    <cfRule type="cellIs" dxfId="138" priority="147" operator="equal">
      <formula>"Mayor"</formula>
    </cfRule>
    <cfRule type="cellIs" dxfId="137" priority="148" operator="equal">
      <formula>"Moderado"</formula>
    </cfRule>
    <cfRule type="cellIs" dxfId="136" priority="149" operator="equal">
      <formula>"Menor"</formula>
    </cfRule>
    <cfRule type="cellIs" dxfId="135" priority="150" operator="equal">
      <formula>"Leve"</formula>
    </cfRule>
  </conditionalFormatting>
  <conditionalFormatting sqref="AC34:AC39">
    <cfRule type="cellIs" dxfId="134" priority="142" operator="equal">
      <formula>"Extremo"</formula>
    </cfRule>
    <cfRule type="cellIs" dxfId="133" priority="143" operator="equal">
      <formula>"Alto"</formula>
    </cfRule>
    <cfRule type="cellIs" dxfId="132" priority="144" operator="equal">
      <formula>"Moderado"</formula>
    </cfRule>
    <cfRule type="cellIs" dxfId="131" priority="145" operator="equal">
      <formula>"Bajo"</formula>
    </cfRule>
  </conditionalFormatting>
  <conditionalFormatting sqref="H40">
    <cfRule type="cellIs" dxfId="130" priority="137" operator="equal">
      <formula>"Muy Alta"</formula>
    </cfRule>
    <cfRule type="cellIs" dxfId="129" priority="138" operator="equal">
      <formula>"Alta"</formula>
    </cfRule>
    <cfRule type="cellIs" dxfId="128" priority="139" operator="equal">
      <formula>"Media"</formula>
    </cfRule>
    <cfRule type="cellIs" dxfId="127" priority="140" operator="equal">
      <formula>"Baja"</formula>
    </cfRule>
    <cfRule type="cellIs" dxfId="126" priority="141" operator="equal">
      <formula>"Muy Baja"</formula>
    </cfRule>
  </conditionalFormatting>
  <conditionalFormatting sqref="N40">
    <cfRule type="cellIs" dxfId="125" priority="128" operator="equal">
      <formula>"Extremo"</formula>
    </cfRule>
    <cfRule type="cellIs" dxfId="124" priority="129" operator="equal">
      <formula>"Alto"</formula>
    </cfRule>
    <cfRule type="cellIs" dxfId="123" priority="130" operator="equal">
      <formula>"Moderado"</formula>
    </cfRule>
    <cfRule type="cellIs" dxfId="122" priority="131" operator="equal">
      <formula>"Bajo"</formula>
    </cfRule>
  </conditionalFormatting>
  <conditionalFormatting sqref="Y40:Y45">
    <cfRule type="cellIs" dxfId="121" priority="123" operator="equal">
      <formula>"Muy Alta"</formula>
    </cfRule>
    <cfRule type="cellIs" dxfId="120" priority="124" operator="equal">
      <formula>"Alta"</formula>
    </cfRule>
    <cfRule type="cellIs" dxfId="119" priority="125" operator="equal">
      <formula>"Media"</formula>
    </cfRule>
    <cfRule type="cellIs" dxfId="118" priority="126" operator="equal">
      <formula>"Baja"</formula>
    </cfRule>
    <cfRule type="cellIs" dxfId="117" priority="127" operator="equal">
      <formula>"Muy Baja"</formula>
    </cfRule>
  </conditionalFormatting>
  <conditionalFormatting sqref="AA40:AA45">
    <cfRule type="cellIs" dxfId="116" priority="118" operator="equal">
      <formula>"Catastrófico"</formula>
    </cfRule>
    <cfRule type="cellIs" dxfId="115" priority="119" operator="equal">
      <formula>"Mayor"</formula>
    </cfRule>
    <cfRule type="cellIs" dxfId="114" priority="120" operator="equal">
      <formula>"Moderado"</formula>
    </cfRule>
    <cfRule type="cellIs" dxfId="113" priority="121" operator="equal">
      <formula>"Menor"</formula>
    </cfRule>
    <cfRule type="cellIs" dxfId="112" priority="122" operator="equal">
      <formula>"Leve"</formula>
    </cfRule>
  </conditionalFormatting>
  <conditionalFormatting sqref="AC40:AC45">
    <cfRule type="cellIs" dxfId="111" priority="114" operator="equal">
      <formula>"Extremo"</formula>
    </cfRule>
    <cfRule type="cellIs" dxfId="110" priority="115" operator="equal">
      <formula>"Alto"</formula>
    </cfRule>
    <cfRule type="cellIs" dxfId="109" priority="116" operator="equal">
      <formula>"Moderado"</formula>
    </cfRule>
    <cfRule type="cellIs" dxfId="108" priority="117" operator="equal">
      <formula>"Bajo"</formula>
    </cfRule>
  </conditionalFormatting>
  <conditionalFormatting sqref="H46">
    <cfRule type="cellIs" dxfId="107" priority="109" operator="equal">
      <formula>"Muy Alta"</formula>
    </cfRule>
    <cfRule type="cellIs" dxfId="106" priority="110" operator="equal">
      <formula>"Alta"</formula>
    </cfRule>
    <cfRule type="cellIs" dxfId="105" priority="111" operator="equal">
      <formula>"Media"</formula>
    </cfRule>
    <cfRule type="cellIs" dxfId="104" priority="112" operator="equal">
      <formula>"Baja"</formula>
    </cfRule>
    <cfRule type="cellIs" dxfId="103" priority="113" operator="equal">
      <formula>"Muy Baja"</formula>
    </cfRule>
  </conditionalFormatting>
  <conditionalFormatting sqref="N46">
    <cfRule type="cellIs" dxfId="102" priority="100" operator="equal">
      <formula>"Extremo"</formula>
    </cfRule>
    <cfRule type="cellIs" dxfId="101" priority="101" operator="equal">
      <formula>"Alto"</formula>
    </cfRule>
    <cfRule type="cellIs" dxfId="100" priority="102" operator="equal">
      <formula>"Moderado"</formula>
    </cfRule>
    <cfRule type="cellIs" dxfId="99" priority="103" operator="equal">
      <formula>"Bajo"</formula>
    </cfRule>
  </conditionalFormatting>
  <conditionalFormatting sqref="Y46:Y51">
    <cfRule type="cellIs" dxfId="98" priority="95" operator="equal">
      <formula>"Muy Alta"</formula>
    </cfRule>
    <cfRule type="cellIs" dxfId="97" priority="96" operator="equal">
      <formula>"Alta"</formula>
    </cfRule>
    <cfRule type="cellIs" dxfId="96" priority="97" operator="equal">
      <formula>"Media"</formula>
    </cfRule>
    <cfRule type="cellIs" dxfId="95" priority="98" operator="equal">
      <formula>"Baja"</formula>
    </cfRule>
    <cfRule type="cellIs" dxfId="94" priority="99" operator="equal">
      <formula>"Muy Baja"</formula>
    </cfRule>
  </conditionalFormatting>
  <conditionalFormatting sqref="AA46:AA51">
    <cfRule type="cellIs" dxfId="93" priority="90" operator="equal">
      <formula>"Catastrófico"</formula>
    </cfRule>
    <cfRule type="cellIs" dxfId="92" priority="91" operator="equal">
      <formula>"Mayor"</formula>
    </cfRule>
    <cfRule type="cellIs" dxfId="91" priority="92" operator="equal">
      <formula>"Moderado"</formula>
    </cfRule>
    <cfRule type="cellIs" dxfId="90" priority="93" operator="equal">
      <formula>"Menor"</formula>
    </cfRule>
    <cfRule type="cellIs" dxfId="89" priority="94" operator="equal">
      <formula>"Leve"</formula>
    </cfRule>
  </conditionalFormatting>
  <conditionalFormatting sqref="AC46:AC51">
    <cfRule type="cellIs" dxfId="88" priority="86" operator="equal">
      <formula>"Extremo"</formula>
    </cfRule>
    <cfRule type="cellIs" dxfId="87" priority="87" operator="equal">
      <formula>"Alto"</formula>
    </cfRule>
    <cfRule type="cellIs" dxfId="86" priority="88" operator="equal">
      <formula>"Moderado"</formula>
    </cfRule>
    <cfRule type="cellIs" dxfId="85" priority="89" operator="equal">
      <formula>"Bajo"</formula>
    </cfRule>
  </conditionalFormatting>
  <conditionalFormatting sqref="H52">
    <cfRule type="cellIs" dxfId="84" priority="81" operator="equal">
      <formula>"Muy Alta"</formula>
    </cfRule>
    <cfRule type="cellIs" dxfId="83" priority="82" operator="equal">
      <formula>"Alta"</formula>
    </cfRule>
    <cfRule type="cellIs" dxfId="82" priority="83" operator="equal">
      <formula>"Media"</formula>
    </cfRule>
    <cfRule type="cellIs" dxfId="81" priority="84" operator="equal">
      <formula>"Baja"</formula>
    </cfRule>
    <cfRule type="cellIs" dxfId="80" priority="85" operator="equal">
      <formula>"Muy Baja"</formula>
    </cfRule>
  </conditionalFormatting>
  <conditionalFormatting sqref="N52">
    <cfRule type="cellIs" dxfId="79" priority="72" operator="equal">
      <formula>"Extremo"</formula>
    </cfRule>
    <cfRule type="cellIs" dxfId="78" priority="73" operator="equal">
      <formula>"Alto"</formula>
    </cfRule>
    <cfRule type="cellIs" dxfId="77" priority="74" operator="equal">
      <formula>"Moderado"</formula>
    </cfRule>
    <cfRule type="cellIs" dxfId="76" priority="75" operator="equal">
      <formula>"Bajo"</formula>
    </cfRule>
  </conditionalFormatting>
  <conditionalFormatting sqref="Y52:Y57">
    <cfRule type="cellIs" dxfId="75" priority="67" operator="equal">
      <formula>"Muy Alta"</formula>
    </cfRule>
    <cfRule type="cellIs" dxfId="74" priority="68" operator="equal">
      <formula>"Alta"</formula>
    </cfRule>
    <cfRule type="cellIs" dxfId="73" priority="69" operator="equal">
      <formula>"Media"</formula>
    </cfRule>
    <cfRule type="cellIs" dxfId="72" priority="70" operator="equal">
      <formula>"Baja"</formula>
    </cfRule>
    <cfRule type="cellIs" dxfId="71" priority="71" operator="equal">
      <formula>"Muy Baja"</formula>
    </cfRule>
  </conditionalFormatting>
  <conditionalFormatting sqref="AA52:AA57">
    <cfRule type="cellIs" dxfId="70" priority="62" operator="equal">
      <formula>"Catastrófico"</formula>
    </cfRule>
    <cfRule type="cellIs" dxfId="69" priority="63" operator="equal">
      <formula>"Mayor"</formula>
    </cfRule>
    <cfRule type="cellIs" dxfId="68" priority="64" operator="equal">
      <formula>"Moderado"</formula>
    </cfRule>
    <cfRule type="cellIs" dxfId="67" priority="65" operator="equal">
      <formula>"Menor"</formula>
    </cfRule>
    <cfRule type="cellIs" dxfId="66" priority="66" operator="equal">
      <formula>"Leve"</formula>
    </cfRule>
  </conditionalFormatting>
  <conditionalFormatting sqref="AC52:AC57">
    <cfRule type="cellIs" dxfId="65" priority="58" operator="equal">
      <formula>"Extremo"</formula>
    </cfRule>
    <cfRule type="cellIs" dxfId="64" priority="59" operator="equal">
      <formula>"Alto"</formula>
    </cfRule>
    <cfRule type="cellIs" dxfId="63" priority="60" operator="equal">
      <formula>"Moderado"</formula>
    </cfRule>
    <cfRule type="cellIs" dxfId="62" priority="61" operator="equal">
      <formula>"Bajo"</formula>
    </cfRule>
  </conditionalFormatting>
  <conditionalFormatting sqref="N58">
    <cfRule type="cellIs" dxfId="61" priority="44" operator="equal">
      <formula>"Extremo"</formula>
    </cfRule>
    <cfRule type="cellIs" dxfId="60" priority="45" operator="equal">
      <formula>"Alto"</formula>
    </cfRule>
    <cfRule type="cellIs" dxfId="59" priority="46" operator="equal">
      <formula>"Moderado"</formula>
    </cfRule>
    <cfRule type="cellIs" dxfId="58" priority="47" operator="equal">
      <formula>"Bajo"</formula>
    </cfRule>
  </conditionalFormatting>
  <conditionalFormatting sqref="Y58:Y63">
    <cfRule type="cellIs" dxfId="57" priority="39" operator="equal">
      <formula>"Muy Alta"</formula>
    </cfRule>
    <cfRule type="cellIs" dxfId="56" priority="40" operator="equal">
      <formula>"Alta"</formula>
    </cfRule>
    <cfRule type="cellIs" dxfId="55" priority="41" operator="equal">
      <formula>"Media"</formula>
    </cfRule>
    <cfRule type="cellIs" dxfId="54" priority="42" operator="equal">
      <formula>"Baja"</formula>
    </cfRule>
    <cfRule type="cellIs" dxfId="53" priority="43" operator="equal">
      <formula>"Muy Baja"</formula>
    </cfRule>
  </conditionalFormatting>
  <conditionalFormatting sqref="AA58:AA63">
    <cfRule type="cellIs" dxfId="52" priority="34" operator="equal">
      <formula>"Catastrófico"</formula>
    </cfRule>
    <cfRule type="cellIs" dxfId="51" priority="35" operator="equal">
      <formula>"Mayor"</formula>
    </cfRule>
    <cfRule type="cellIs" dxfId="50" priority="36" operator="equal">
      <formula>"Moderado"</formula>
    </cfRule>
    <cfRule type="cellIs" dxfId="49" priority="37" operator="equal">
      <formula>"Menor"</formula>
    </cfRule>
    <cfRule type="cellIs" dxfId="48" priority="38" operator="equal">
      <formula>"Leve"</formula>
    </cfRule>
  </conditionalFormatting>
  <conditionalFormatting sqref="AC58:AC63">
    <cfRule type="cellIs" dxfId="47" priority="30" operator="equal">
      <formula>"Extremo"</formula>
    </cfRule>
    <cfRule type="cellIs" dxfId="46" priority="31" operator="equal">
      <formula>"Alto"</formula>
    </cfRule>
    <cfRule type="cellIs" dxfId="45" priority="32" operator="equal">
      <formula>"Moderado"</formula>
    </cfRule>
    <cfRule type="cellIs" dxfId="44" priority="33" operator="equal">
      <formula>"Bajo"</formula>
    </cfRule>
  </conditionalFormatting>
  <conditionalFormatting sqref="H64">
    <cfRule type="cellIs" dxfId="43" priority="25" operator="equal">
      <formula>"Muy Alta"</formula>
    </cfRule>
    <cfRule type="cellIs" dxfId="42" priority="26" operator="equal">
      <formula>"Alta"</formula>
    </cfRule>
    <cfRule type="cellIs" dxfId="41" priority="27" operator="equal">
      <formula>"Media"</formula>
    </cfRule>
    <cfRule type="cellIs" dxfId="40" priority="28" operator="equal">
      <formula>"Baja"</formula>
    </cfRule>
    <cfRule type="cellIs" dxfId="39" priority="29" operator="equal">
      <formula>"Muy Baja"</formula>
    </cfRule>
  </conditionalFormatting>
  <conditionalFormatting sqref="N64">
    <cfRule type="cellIs" dxfId="38" priority="16" operator="equal">
      <formula>"Extremo"</formula>
    </cfRule>
    <cfRule type="cellIs" dxfId="37" priority="17" operator="equal">
      <formula>"Alto"</formula>
    </cfRule>
    <cfRule type="cellIs" dxfId="36" priority="18" operator="equal">
      <formula>"Moderado"</formula>
    </cfRule>
    <cfRule type="cellIs" dxfId="35" priority="19" operator="equal">
      <formula>"Bajo"</formula>
    </cfRule>
  </conditionalFormatting>
  <conditionalFormatting sqref="Y64:Y69">
    <cfRule type="cellIs" dxfId="34" priority="11" operator="equal">
      <formula>"Muy Alta"</formula>
    </cfRule>
    <cfRule type="cellIs" dxfId="33" priority="12" operator="equal">
      <formula>"Alta"</formula>
    </cfRule>
    <cfRule type="cellIs" dxfId="32" priority="13" operator="equal">
      <formula>"Media"</formula>
    </cfRule>
    <cfRule type="cellIs" dxfId="31" priority="14" operator="equal">
      <formula>"Baja"</formula>
    </cfRule>
    <cfRule type="cellIs" dxfId="30" priority="15" operator="equal">
      <formula>"Muy Baja"</formula>
    </cfRule>
  </conditionalFormatting>
  <conditionalFormatting sqref="AA64:AA69">
    <cfRule type="cellIs" dxfId="29" priority="6" operator="equal">
      <formula>"Catastrófico"</formula>
    </cfRule>
    <cfRule type="cellIs" dxfId="28" priority="7" operator="equal">
      <formula>"Mayor"</formula>
    </cfRule>
    <cfRule type="cellIs" dxfId="27" priority="8" operator="equal">
      <formula>"Moderado"</formula>
    </cfRule>
    <cfRule type="cellIs" dxfId="26" priority="9" operator="equal">
      <formula>"Menor"</formula>
    </cfRule>
    <cfRule type="cellIs" dxfId="25" priority="10" operator="equal">
      <formula>"Leve"</formula>
    </cfRule>
  </conditionalFormatting>
  <conditionalFormatting sqref="AC64:AC69">
    <cfRule type="cellIs" dxfId="24" priority="2" operator="equal">
      <formula>"Extremo"</formula>
    </cfRule>
    <cfRule type="cellIs" dxfId="23" priority="3" operator="equal">
      <formula>"Alto"</formula>
    </cfRule>
    <cfRule type="cellIs" dxfId="22" priority="4" operator="equal">
      <formula>"Moderado"</formula>
    </cfRule>
    <cfRule type="cellIs" dxfId="21" priority="5" operator="equal">
      <formula>"Bajo"</formula>
    </cfRule>
  </conditionalFormatting>
  <conditionalFormatting sqref="K10:K69">
    <cfRule type="containsText" dxfId="20" priority="1" operator="containsText" text="❌">
      <formula>NOT(ISERROR(SEARCH("❌",K10)))</formula>
    </cfRule>
  </conditionalFormatting>
  <pageMargins left="0.7" right="0.7" top="0.75" bottom="0.75" header="0.3" footer="0.3"/>
  <pageSetup scale="19"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49F1C-35A9-4FB2-85EC-F0B696AB7ACB}">
  <sheetPr>
    <tabColor rgb="FF43FF98"/>
  </sheetPr>
  <dimension ref="A1:Y60"/>
  <sheetViews>
    <sheetView tabSelected="1" zoomScale="80" zoomScaleNormal="80" workbookViewId="0">
      <selection activeCell="E27" sqref="E27:E28"/>
    </sheetView>
  </sheetViews>
  <sheetFormatPr baseColWidth="10" defaultRowHeight="15" x14ac:dyDescent="0.25"/>
  <cols>
    <col min="1" max="1" width="47.85546875" customWidth="1"/>
    <col min="2" max="2" width="18.5703125" customWidth="1"/>
    <col min="3" max="3" width="17.5703125" customWidth="1"/>
    <col min="4" max="4" width="56.42578125" customWidth="1"/>
    <col min="5" max="5" width="85.85546875" customWidth="1"/>
    <col min="6" max="14" width="25.42578125" customWidth="1"/>
    <col min="15" max="16" width="15" customWidth="1"/>
    <col min="17" max="17" width="17" customWidth="1"/>
    <col min="18" max="18" width="14.140625" customWidth="1"/>
    <col min="19" max="19" width="26.7109375" customWidth="1"/>
    <col min="20" max="21" width="29.85546875" customWidth="1"/>
    <col min="22" max="22" width="37.5703125" customWidth="1"/>
    <col min="23" max="23" width="32.42578125" customWidth="1"/>
    <col min="24" max="24" width="20.140625" customWidth="1"/>
    <col min="25" max="25" width="33.42578125" customWidth="1"/>
  </cols>
  <sheetData>
    <row r="1" spans="1:25" s="163" customFormat="1" ht="28.5" customHeight="1" x14ac:dyDescent="0.25">
      <c r="A1" s="287" t="s">
        <v>246</v>
      </c>
      <c r="B1" s="287"/>
      <c r="C1" s="287"/>
      <c r="D1" s="162" t="s">
        <v>247</v>
      </c>
      <c r="E1" s="288" t="s">
        <v>248</v>
      </c>
      <c r="F1" s="288"/>
      <c r="G1" s="289" t="s">
        <v>249</v>
      </c>
      <c r="H1" s="290"/>
      <c r="I1" s="290"/>
      <c r="J1" s="290"/>
      <c r="K1" s="290"/>
      <c r="L1" s="290"/>
      <c r="M1" s="290"/>
      <c r="N1" s="290"/>
      <c r="O1" s="290"/>
      <c r="P1" s="290"/>
      <c r="Q1" s="290"/>
      <c r="R1" s="290"/>
      <c r="S1" s="291"/>
      <c r="T1" s="287" t="s">
        <v>250</v>
      </c>
      <c r="U1" s="287"/>
      <c r="V1" s="288" t="s">
        <v>251</v>
      </c>
      <c r="W1" s="288"/>
      <c r="X1" s="286" t="s">
        <v>252</v>
      </c>
      <c r="Y1" s="286"/>
    </row>
    <row r="2" spans="1:25" ht="63.75" x14ac:dyDescent="0.25">
      <c r="A2" s="164" t="s">
        <v>253</v>
      </c>
      <c r="B2" s="164" t="s">
        <v>254</v>
      </c>
      <c r="C2" s="164" t="s">
        <v>255</v>
      </c>
      <c r="D2" s="164" t="s">
        <v>256</v>
      </c>
      <c r="E2" s="165" t="s">
        <v>257</v>
      </c>
      <c r="F2" s="165" t="s">
        <v>24</v>
      </c>
      <c r="G2" s="166" t="s">
        <v>258</v>
      </c>
      <c r="H2" s="166" t="s">
        <v>259</v>
      </c>
      <c r="I2" s="166" t="s">
        <v>260</v>
      </c>
      <c r="J2" s="166" t="s">
        <v>261</v>
      </c>
      <c r="K2" s="166" t="s">
        <v>262</v>
      </c>
      <c r="L2" s="166" t="s">
        <v>263</v>
      </c>
      <c r="M2" s="166" t="s">
        <v>264</v>
      </c>
      <c r="N2" s="166" t="s">
        <v>265</v>
      </c>
      <c r="O2" s="166" t="s">
        <v>265</v>
      </c>
      <c r="P2" s="166" t="s">
        <v>266</v>
      </c>
      <c r="Q2" s="166" t="s">
        <v>267</v>
      </c>
      <c r="R2" s="166" t="s">
        <v>268</v>
      </c>
      <c r="S2" s="166" t="s">
        <v>269</v>
      </c>
      <c r="T2" s="164" t="s">
        <v>34</v>
      </c>
      <c r="U2" s="164" t="s">
        <v>36</v>
      </c>
      <c r="V2" s="165" t="s">
        <v>270</v>
      </c>
      <c r="W2" s="165" t="s">
        <v>24</v>
      </c>
      <c r="X2" s="167" t="s">
        <v>271</v>
      </c>
      <c r="Y2" s="167" t="s">
        <v>272</v>
      </c>
    </row>
    <row r="3" spans="1:25" s="176" customFormat="1" ht="140.25" customHeight="1" x14ac:dyDescent="0.25">
      <c r="A3" s="285" t="str">
        <f>'Mapa final'!E10</f>
        <v>Posibilidad de error en el ingreso  al sistema de información  de los bienes y elementos  en el sistema de inventarios por  falta de verificación de la información registrada en los documentos soportes (facturas, órdenes de compra, actos administrativos -resoluciones-).</v>
      </c>
      <c r="B3" s="285" t="str">
        <f>'Mapa final'!N10</f>
        <v>Moderado</v>
      </c>
      <c r="C3" s="285" t="str">
        <f>'Mapa final'!AC10</f>
        <v>Moderado</v>
      </c>
      <c r="D3" s="183" t="str">
        <f>'Mapa final'!P10</f>
        <v xml:space="preserve">El Servidor Público y/o contratista designado del Grupo de Almacén General realiza la el ingreso de los bienes en el formato Comprobante Entradas de Almacén (GABS-FT-07), y antes de asentar el movimiento en el sistema verifica que la información registrada coincida con la relacionada en los soportes. </v>
      </c>
      <c r="E3" s="182"/>
      <c r="F3" s="169"/>
      <c r="G3" s="170" t="s">
        <v>273</v>
      </c>
      <c r="H3" s="170" t="s">
        <v>274</v>
      </c>
      <c r="I3" s="170" t="s">
        <v>275</v>
      </c>
      <c r="J3" s="170" t="s">
        <v>276</v>
      </c>
      <c r="K3" s="170" t="s">
        <v>277</v>
      </c>
      <c r="L3" s="168" t="s">
        <v>278</v>
      </c>
      <c r="M3" s="170" t="s">
        <v>279</v>
      </c>
      <c r="N3" s="170">
        <f>(IF(G3="Asignado",15,0))+(IF(H3="Adecuado",15,0))+(IF(I3="Oportuna",15,0))+(IF(J3="Prevenir",15,IF(J3="Detectar",10,IF(J3="Corregir",5,0))))+(IF(K3="Confiable",15,0))+(IF(L3="Se investigan y resuelven oportunamente",15,0))+(IF(M3="Completa",10,IF(M3="Incompleta",5,0)))</f>
        <v>100</v>
      </c>
      <c r="O3" s="171" t="str">
        <f>IF(AND(N3&gt;=96,N3&lt;=100),"Fuerte", IF(AND(N3&gt;=86,N3&lt;=95),"Moderado","Débil"))</f>
        <v>Fuerte</v>
      </c>
      <c r="P3" s="171" t="s">
        <v>280</v>
      </c>
      <c r="Q3" s="171" t="str">
        <f>IF(AND(O3="Fuerte",P3="Fuerte"),"Fuerte",IF(AND(O3="Fuerte",P3="Moderado"),"Moderado",IF(AND(O3="Fuerte",P3="Débil"),"Débil",IF(AND(O3="Moderado",P3="Fuerte"),"Moderado",IF(AND(O3="Moderado",P3="Moderado"),"Moderado",IF(AND(O3="Moderado",P3="Débil"),"Débil",IF(AND(O3="Débil",P3="Fuerte"),"Débil",IF(AND(O3="Débil",P3="Moderado"),"Débil",IF(AND(O3="Débil",P3="Débil"),"Débil","No Aplica")))))))))</f>
        <v>Fuerte</v>
      </c>
      <c r="R3" s="172" t="str">
        <f>IF(P3="Fuerte","NO","SI")</f>
        <v>NO</v>
      </c>
      <c r="S3" s="173"/>
      <c r="T3" s="168">
        <f>'Mapa final'!AE10</f>
        <v>0</v>
      </c>
      <c r="U3" s="174">
        <f>'Mapa final'!AG10</f>
        <v>0</v>
      </c>
      <c r="V3" s="169"/>
      <c r="W3" s="169"/>
      <c r="X3" s="175"/>
      <c r="Y3" s="175"/>
    </row>
    <row r="4" spans="1:25" ht="30" hidden="1" x14ac:dyDescent="0.25">
      <c r="A4" s="285"/>
      <c r="B4" s="285"/>
      <c r="C4" s="285"/>
      <c r="D4" s="168">
        <f>'Mapa final'!P11</f>
        <v>0</v>
      </c>
      <c r="E4" s="177"/>
      <c r="F4" s="177"/>
      <c r="G4" s="170" t="s">
        <v>273</v>
      </c>
      <c r="H4" s="170" t="s">
        <v>274</v>
      </c>
      <c r="I4" s="170" t="s">
        <v>275</v>
      </c>
      <c r="J4" s="170" t="s">
        <v>276</v>
      </c>
      <c r="K4" s="170" t="s">
        <v>277</v>
      </c>
      <c r="L4" s="168" t="s">
        <v>278</v>
      </c>
      <c r="M4" s="170" t="s">
        <v>279</v>
      </c>
      <c r="N4" s="170">
        <f t="shared" ref="N4:N60" si="0">(IF(G4="Asignado",15,0))+(IF(H4="Adecuado",15,0))+(IF(I4="Oportuna",15,0))+(IF(J4="Prevenir",15,IF(J4="Detectar",10,IF(J4="Corregir",5,0))))+(IF(K4="Confiable",15,0))+(IF(L4="Se investigan y resuelven oportunamente",15,0))+(IF(M4="Completa",10,IF(M4="Incompleta",5,0)))</f>
        <v>100</v>
      </c>
      <c r="O4" s="171" t="str">
        <f t="shared" ref="O4:O60" si="1">IF(AND(N4&gt;=96,N4&lt;=100),"Fuerte", IF(AND(N4&gt;=86,N4&lt;=95),"Moderado","Débil"))</f>
        <v>Fuerte</v>
      </c>
      <c r="P4" s="171" t="s">
        <v>280</v>
      </c>
      <c r="Q4" s="171" t="str">
        <f t="shared" ref="Q4:Q60" si="2">IF(AND(O4="Fuerte",P4="Fuerte"),"Fuerte",IF(AND(O4="Fuerte",P4="Moderado"),"Moderado",IF(AND(O4="Fuerte",P4="Débil"),"Débil",IF(AND(O4="Moderado",P4="Fuerte"),"Moderado",IF(AND(O4="Moderado",P4="Moderado"),"Moderado",IF(AND(O4="Moderado",P4="Débil"),"Débil",IF(AND(O4="Débil",P4="Fuerte"),"Débil",IF(AND(O4="Débil",P4="Moderado"),"Débil",IF(AND(O4="Débil",P4="Débil"),"Débil","No Aplica")))))))))</f>
        <v>Fuerte</v>
      </c>
      <c r="R4" s="172" t="str">
        <f t="shared" ref="R4:R60" si="3">IF(P4="Fuerte","NO","SI")</f>
        <v>NO</v>
      </c>
      <c r="S4" s="178"/>
      <c r="T4" s="168">
        <f>'Mapa final'!AE11</f>
        <v>0</v>
      </c>
      <c r="U4" s="174">
        <f>'Mapa final'!AG11</f>
        <v>0</v>
      </c>
      <c r="V4" s="177"/>
      <c r="W4" s="177"/>
      <c r="X4" s="178"/>
      <c r="Y4" s="178"/>
    </row>
    <row r="5" spans="1:25" ht="30" hidden="1" x14ac:dyDescent="0.25">
      <c r="A5" s="285"/>
      <c r="B5" s="285"/>
      <c r="C5" s="285"/>
      <c r="D5" s="168">
        <f>'Mapa final'!P12</f>
        <v>0</v>
      </c>
      <c r="E5" s="177"/>
      <c r="F5" s="177"/>
      <c r="G5" s="170" t="s">
        <v>273</v>
      </c>
      <c r="H5" s="170" t="s">
        <v>274</v>
      </c>
      <c r="I5" s="170" t="s">
        <v>275</v>
      </c>
      <c r="J5" s="170" t="s">
        <v>276</v>
      </c>
      <c r="K5" s="170" t="s">
        <v>277</v>
      </c>
      <c r="L5" s="168" t="s">
        <v>278</v>
      </c>
      <c r="M5" s="170" t="s">
        <v>279</v>
      </c>
      <c r="N5" s="170">
        <f t="shared" si="0"/>
        <v>100</v>
      </c>
      <c r="O5" s="171" t="str">
        <f t="shared" si="1"/>
        <v>Fuerte</v>
      </c>
      <c r="P5" s="171" t="s">
        <v>280</v>
      </c>
      <c r="Q5" s="171" t="str">
        <f t="shared" si="2"/>
        <v>Fuerte</v>
      </c>
      <c r="R5" s="172" t="str">
        <f t="shared" si="3"/>
        <v>NO</v>
      </c>
      <c r="S5" s="178"/>
      <c r="T5" s="168">
        <f>'Mapa final'!AE12</f>
        <v>0</v>
      </c>
      <c r="U5" s="174">
        <f>'Mapa final'!AG12</f>
        <v>0</v>
      </c>
      <c r="V5" s="177"/>
      <c r="W5" s="177"/>
      <c r="X5" s="178"/>
      <c r="Y5" s="178"/>
    </row>
    <row r="6" spans="1:25" ht="30" hidden="1" x14ac:dyDescent="0.25">
      <c r="A6" s="285"/>
      <c r="B6" s="285"/>
      <c r="C6" s="285"/>
      <c r="D6" s="168">
        <f>'Mapa final'!P13</f>
        <v>0</v>
      </c>
      <c r="E6" s="177"/>
      <c r="F6" s="177"/>
      <c r="G6" s="170" t="s">
        <v>273</v>
      </c>
      <c r="H6" s="170" t="s">
        <v>274</v>
      </c>
      <c r="I6" s="170" t="s">
        <v>275</v>
      </c>
      <c r="J6" s="170" t="s">
        <v>276</v>
      </c>
      <c r="K6" s="170" t="s">
        <v>277</v>
      </c>
      <c r="L6" s="168" t="s">
        <v>278</v>
      </c>
      <c r="M6" s="170" t="s">
        <v>279</v>
      </c>
      <c r="N6" s="170">
        <f t="shared" si="0"/>
        <v>100</v>
      </c>
      <c r="O6" s="171" t="str">
        <f t="shared" si="1"/>
        <v>Fuerte</v>
      </c>
      <c r="P6" s="171" t="s">
        <v>280</v>
      </c>
      <c r="Q6" s="171" t="str">
        <f t="shared" si="2"/>
        <v>Fuerte</v>
      </c>
      <c r="R6" s="172" t="str">
        <f t="shared" si="3"/>
        <v>NO</v>
      </c>
      <c r="S6" s="178"/>
      <c r="T6" s="168">
        <f>'Mapa final'!AE13</f>
        <v>0</v>
      </c>
      <c r="U6" s="174">
        <f>'Mapa final'!AG13</f>
        <v>0</v>
      </c>
      <c r="V6" s="177"/>
      <c r="W6" s="177"/>
      <c r="X6" s="178"/>
      <c r="Y6" s="178"/>
    </row>
    <row r="7" spans="1:25" ht="30" hidden="1" x14ac:dyDescent="0.25">
      <c r="A7" s="285"/>
      <c r="B7" s="285"/>
      <c r="C7" s="285"/>
      <c r="D7" s="168">
        <f>'Mapa final'!P14</f>
        <v>0</v>
      </c>
      <c r="E7" s="177"/>
      <c r="F7" s="177"/>
      <c r="G7" s="170" t="s">
        <v>273</v>
      </c>
      <c r="H7" s="170" t="s">
        <v>274</v>
      </c>
      <c r="I7" s="170" t="s">
        <v>275</v>
      </c>
      <c r="J7" s="170" t="s">
        <v>276</v>
      </c>
      <c r="K7" s="170" t="s">
        <v>277</v>
      </c>
      <c r="L7" s="168" t="s">
        <v>278</v>
      </c>
      <c r="M7" s="170" t="s">
        <v>279</v>
      </c>
      <c r="N7" s="170">
        <f t="shared" si="0"/>
        <v>100</v>
      </c>
      <c r="O7" s="171" t="str">
        <f t="shared" si="1"/>
        <v>Fuerte</v>
      </c>
      <c r="P7" s="171" t="s">
        <v>280</v>
      </c>
      <c r="Q7" s="171" t="str">
        <f t="shared" si="2"/>
        <v>Fuerte</v>
      </c>
      <c r="R7" s="172" t="str">
        <f t="shared" si="3"/>
        <v>NO</v>
      </c>
      <c r="S7" s="178"/>
      <c r="T7" s="168">
        <f>'Mapa final'!AE14</f>
        <v>0</v>
      </c>
      <c r="U7" s="174">
        <f>'Mapa final'!AG14</f>
        <v>0</v>
      </c>
      <c r="V7" s="177"/>
      <c r="W7" s="177"/>
      <c r="X7" s="178"/>
      <c r="Y7" s="178"/>
    </row>
    <row r="8" spans="1:25" ht="30" hidden="1" x14ac:dyDescent="0.25">
      <c r="A8" s="285"/>
      <c r="B8" s="285"/>
      <c r="C8" s="285"/>
      <c r="D8" s="168">
        <f>'Mapa final'!P15</f>
        <v>0</v>
      </c>
      <c r="E8" s="177"/>
      <c r="F8" s="177"/>
      <c r="G8" s="170" t="s">
        <v>273</v>
      </c>
      <c r="H8" s="170" t="s">
        <v>274</v>
      </c>
      <c r="I8" s="170" t="s">
        <v>275</v>
      </c>
      <c r="J8" s="170" t="s">
        <v>276</v>
      </c>
      <c r="K8" s="170" t="s">
        <v>277</v>
      </c>
      <c r="L8" s="168" t="s">
        <v>278</v>
      </c>
      <c r="M8" s="170" t="s">
        <v>279</v>
      </c>
      <c r="N8" s="170">
        <f t="shared" si="0"/>
        <v>100</v>
      </c>
      <c r="O8" s="171" t="str">
        <f t="shared" si="1"/>
        <v>Fuerte</v>
      </c>
      <c r="P8" s="171" t="s">
        <v>280</v>
      </c>
      <c r="Q8" s="171" t="str">
        <f t="shared" si="2"/>
        <v>Fuerte</v>
      </c>
      <c r="R8" s="172" t="str">
        <f t="shared" si="3"/>
        <v>NO</v>
      </c>
      <c r="S8" s="178"/>
      <c r="T8" s="168">
        <f>'Mapa final'!AE15</f>
        <v>0</v>
      </c>
      <c r="U8" s="174">
        <f>'Mapa final'!AG15</f>
        <v>0</v>
      </c>
      <c r="V8" s="177"/>
      <c r="W8" s="177"/>
      <c r="X8" s="178"/>
      <c r="Y8" s="178"/>
    </row>
    <row r="9" spans="1:25" ht="192" customHeight="1" x14ac:dyDescent="0.25">
      <c r="A9" s="285" t="str">
        <f>'Mapa final'!E16</f>
        <v>Posibilidad de embargo de cuentas bancarias de la Entidad por comparendos, ordenado en procesos de cobro coactivo contra la Unidad Nacional de Protección.</v>
      </c>
      <c r="B9" s="285" t="str">
        <f>'Mapa final'!N16</f>
        <v>Moderado</v>
      </c>
      <c r="C9" s="285" t="str">
        <f>'Mapa final'!AC16</f>
        <v>Bajo</v>
      </c>
      <c r="D9" s="168" t="str">
        <f>'Mapa final'!P16</f>
        <v>El Coordinador Administrativo y/o contratista de  apoyo realizar acciones para que los responsables paguen los comparendos en los Organismos de Tránsito a nivel nacional o se exonere a la Entidad de procesos contravencionales cuando así aplique.</v>
      </c>
      <c r="E9" s="180"/>
      <c r="F9" s="181"/>
      <c r="G9" s="170" t="s">
        <v>273</v>
      </c>
      <c r="H9" s="170" t="s">
        <v>274</v>
      </c>
      <c r="I9" s="170" t="s">
        <v>275</v>
      </c>
      <c r="J9" s="170" t="s">
        <v>276</v>
      </c>
      <c r="K9" s="170" t="s">
        <v>277</v>
      </c>
      <c r="L9" s="168" t="s">
        <v>278</v>
      </c>
      <c r="M9" s="170" t="s">
        <v>279</v>
      </c>
      <c r="N9" s="170">
        <f t="shared" si="0"/>
        <v>100</v>
      </c>
      <c r="O9" s="171" t="str">
        <f t="shared" si="1"/>
        <v>Fuerte</v>
      </c>
      <c r="P9" s="171" t="s">
        <v>280</v>
      </c>
      <c r="Q9" s="171" t="str">
        <f t="shared" si="2"/>
        <v>Fuerte</v>
      </c>
      <c r="R9" s="172" t="str">
        <f t="shared" si="3"/>
        <v>NO</v>
      </c>
      <c r="S9" s="178"/>
      <c r="T9" s="168">
        <f>'Mapa final'!AE16</f>
        <v>0</v>
      </c>
      <c r="U9" s="174">
        <f>'Mapa final'!AG16</f>
        <v>0</v>
      </c>
      <c r="V9" s="177"/>
      <c r="W9" s="177"/>
      <c r="X9" s="178"/>
      <c r="Y9" s="178"/>
    </row>
    <row r="10" spans="1:25" ht="30" hidden="1" x14ac:dyDescent="0.25">
      <c r="A10" s="285"/>
      <c r="B10" s="285"/>
      <c r="C10" s="285"/>
      <c r="D10" s="168">
        <f>'Mapa final'!P17</f>
        <v>0</v>
      </c>
      <c r="E10" s="177"/>
      <c r="F10" s="177"/>
      <c r="G10" s="170" t="s">
        <v>273</v>
      </c>
      <c r="H10" s="170" t="s">
        <v>274</v>
      </c>
      <c r="I10" s="170" t="s">
        <v>275</v>
      </c>
      <c r="J10" s="170" t="s">
        <v>276</v>
      </c>
      <c r="K10" s="170" t="s">
        <v>277</v>
      </c>
      <c r="L10" s="168" t="s">
        <v>278</v>
      </c>
      <c r="M10" s="170" t="s">
        <v>279</v>
      </c>
      <c r="N10" s="170">
        <f t="shared" si="0"/>
        <v>100</v>
      </c>
      <c r="O10" s="171" t="str">
        <f t="shared" si="1"/>
        <v>Fuerte</v>
      </c>
      <c r="P10" s="171" t="s">
        <v>280</v>
      </c>
      <c r="Q10" s="171" t="str">
        <f t="shared" si="2"/>
        <v>Fuerte</v>
      </c>
      <c r="R10" s="172" t="str">
        <f t="shared" si="3"/>
        <v>NO</v>
      </c>
      <c r="S10" s="178"/>
      <c r="T10" s="168">
        <f>'Mapa final'!AE17</f>
        <v>0</v>
      </c>
      <c r="U10" s="174">
        <f>'Mapa final'!AG17</f>
        <v>0</v>
      </c>
      <c r="V10" s="177"/>
      <c r="W10" s="177"/>
      <c r="X10" s="178"/>
      <c r="Y10" s="178"/>
    </row>
    <row r="11" spans="1:25" ht="30" hidden="1" x14ac:dyDescent="0.25">
      <c r="A11" s="285"/>
      <c r="B11" s="285"/>
      <c r="C11" s="285"/>
      <c r="D11" s="168">
        <f>'Mapa final'!P18</f>
        <v>0</v>
      </c>
      <c r="E11" s="177"/>
      <c r="F11" s="177"/>
      <c r="G11" s="170" t="s">
        <v>273</v>
      </c>
      <c r="H11" s="170" t="s">
        <v>274</v>
      </c>
      <c r="I11" s="170" t="s">
        <v>275</v>
      </c>
      <c r="J11" s="170" t="s">
        <v>276</v>
      </c>
      <c r="K11" s="170" t="s">
        <v>277</v>
      </c>
      <c r="L11" s="168" t="s">
        <v>278</v>
      </c>
      <c r="M11" s="170" t="s">
        <v>279</v>
      </c>
      <c r="N11" s="170">
        <f t="shared" si="0"/>
        <v>100</v>
      </c>
      <c r="O11" s="171" t="str">
        <f t="shared" si="1"/>
        <v>Fuerte</v>
      </c>
      <c r="P11" s="171" t="s">
        <v>280</v>
      </c>
      <c r="Q11" s="171" t="str">
        <f t="shared" si="2"/>
        <v>Fuerte</v>
      </c>
      <c r="R11" s="172" t="str">
        <f t="shared" si="3"/>
        <v>NO</v>
      </c>
      <c r="S11" s="178"/>
      <c r="T11" s="168">
        <f>'Mapa final'!AE18</f>
        <v>0</v>
      </c>
      <c r="U11" s="174">
        <f>'Mapa final'!AG18</f>
        <v>0</v>
      </c>
      <c r="V11" s="177"/>
      <c r="W11" s="177"/>
      <c r="X11" s="178"/>
      <c r="Y11" s="178"/>
    </row>
    <row r="12" spans="1:25" ht="30" hidden="1" x14ac:dyDescent="0.25">
      <c r="A12" s="285"/>
      <c r="B12" s="285"/>
      <c r="C12" s="285"/>
      <c r="D12" s="168">
        <f>'Mapa final'!P19</f>
        <v>0</v>
      </c>
      <c r="E12" s="177"/>
      <c r="F12" s="177"/>
      <c r="G12" s="170" t="s">
        <v>273</v>
      </c>
      <c r="H12" s="170" t="s">
        <v>274</v>
      </c>
      <c r="I12" s="170" t="s">
        <v>275</v>
      </c>
      <c r="J12" s="170" t="s">
        <v>276</v>
      </c>
      <c r="K12" s="170" t="s">
        <v>277</v>
      </c>
      <c r="L12" s="168" t="s">
        <v>278</v>
      </c>
      <c r="M12" s="170" t="s">
        <v>279</v>
      </c>
      <c r="N12" s="170">
        <f t="shared" si="0"/>
        <v>100</v>
      </c>
      <c r="O12" s="171" t="str">
        <f t="shared" si="1"/>
        <v>Fuerte</v>
      </c>
      <c r="P12" s="171" t="s">
        <v>280</v>
      </c>
      <c r="Q12" s="171" t="str">
        <f t="shared" si="2"/>
        <v>Fuerte</v>
      </c>
      <c r="R12" s="172" t="str">
        <f t="shared" si="3"/>
        <v>NO</v>
      </c>
      <c r="S12" s="178"/>
      <c r="T12" s="168">
        <f>'Mapa final'!AE19</f>
        <v>0</v>
      </c>
      <c r="U12" s="174">
        <f>'Mapa final'!AG19</f>
        <v>0</v>
      </c>
      <c r="V12" s="177"/>
      <c r="W12" s="177"/>
      <c r="X12" s="178"/>
      <c r="Y12" s="178"/>
    </row>
    <row r="13" spans="1:25" ht="30" hidden="1" x14ac:dyDescent="0.25">
      <c r="A13" s="285"/>
      <c r="B13" s="285"/>
      <c r="C13" s="285"/>
      <c r="D13" s="168">
        <f>'Mapa final'!P20</f>
        <v>0</v>
      </c>
      <c r="E13" s="177"/>
      <c r="F13" s="177"/>
      <c r="G13" s="170" t="s">
        <v>273</v>
      </c>
      <c r="H13" s="170" t="s">
        <v>274</v>
      </c>
      <c r="I13" s="170" t="s">
        <v>275</v>
      </c>
      <c r="J13" s="170" t="s">
        <v>276</v>
      </c>
      <c r="K13" s="170" t="s">
        <v>277</v>
      </c>
      <c r="L13" s="168" t="s">
        <v>278</v>
      </c>
      <c r="M13" s="170" t="s">
        <v>279</v>
      </c>
      <c r="N13" s="170">
        <f t="shared" si="0"/>
        <v>100</v>
      </c>
      <c r="O13" s="171" t="str">
        <f t="shared" si="1"/>
        <v>Fuerte</v>
      </c>
      <c r="P13" s="171" t="s">
        <v>280</v>
      </c>
      <c r="Q13" s="171" t="str">
        <f t="shared" si="2"/>
        <v>Fuerte</v>
      </c>
      <c r="R13" s="172" t="str">
        <f t="shared" si="3"/>
        <v>NO</v>
      </c>
      <c r="S13" s="178"/>
      <c r="T13" s="168">
        <f>'Mapa final'!AE20</f>
        <v>0</v>
      </c>
      <c r="U13" s="174">
        <f>'Mapa final'!AG20</f>
        <v>0</v>
      </c>
      <c r="V13" s="177"/>
      <c r="W13" s="177"/>
      <c r="X13" s="178"/>
      <c r="Y13" s="178"/>
    </row>
    <row r="14" spans="1:25" ht="30" hidden="1" x14ac:dyDescent="0.25">
      <c r="A14" s="285"/>
      <c r="B14" s="285"/>
      <c r="C14" s="285"/>
      <c r="D14" s="168">
        <f>'Mapa final'!P21</f>
        <v>0</v>
      </c>
      <c r="E14" s="177"/>
      <c r="F14" s="177"/>
      <c r="G14" s="170" t="s">
        <v>273</v>
      </c>
      <c r="H14" s="170" t="s">
        <v>274</v>
      </c>
      <c r="I14" s="170" t="s">
        <v>275</v>
      </c>
      <c r="J14" s="170" t="s">
        <v>276</v>
      </c>
      <c r="K14" s="170" t="s">
        <v>277</v>
      </c>
      <c r="L14" s="168" t="s">
        <v>278</v>
      </c>
      <c r="M14" s="170" t="s">
        <v>279</v>
      </c>
      <c r="N14" s="170">
        <f t="shared" si="0"/>
        <v>100</v>
      </c>
      <c r="O14" s="171" t="str">
        <f t="shared" si="1"/>
        <v>Fuerte</v>
      </c>
      <c r="P14" s="171" t="s">
        <v>280</v>
      </c>
      <c r="Q14" s="171" t="str">
        <f t="shared" si="2"/>
        <v>Fuerte</v>
      </c>
      <c r="R14" s="172" t="str">
        <f t="shared" si="3"/>
        <v>NO</v>
      </c>
      <c r="S14" s="178"/>
      <c r="T14" s="168">
        <f>'Mapa final'!AE21</f>
        <v>0</v>
      </c>
      <c r="U14" s="174">
        <f>'Mapa final'!AG21</f>
        <v>0</v>
      </c>
      <c r="V14" s="177"/>
      <c r="W14" s="177"/>
      <c r="X14" s="178"/>
      <c r="Y14" s="178"/>
    </row>
    <row r="15" spans="1:25" ht="181.5" customHeight="1" x14ac:dyDescent="0.25">
      <c r="A15" s="285" t="str">
        <f>'Mapa final'!E22</f>
        <v>Posibilidad de cobro de servicios de mantenimiento de vehículos que no hacen parte del parque automotor de la Unidad Nacional de Protección.</v>
      </c>
      <c r="B15" s="285" t="str">
        <f>'Mapa final'!N22</f>
        <v>Bajo</v>
      </c>
      <c r="C15" s="285" t="str">
        <f>'Mapa final'!AC22</f>
        <v>Bajo</v>
      </c>
      <c r="D15" s="168" t="str">
        <f>'Mapa final'!P22</f>
        <v>El Coordinador Administrativo y/o contratista de  apoyo realizar acciones de seguimiento y control con el contratista, para garantizar que los servicios y la facturación dentro del Contrato de mantenimiento correspondan al parque automotor de la UNP.</v>
      </c>
      <c r="E15" s="179"/>
      <c r="F15" s="181"/>
      <c r="G15" s="170" t="s">
        <v>273</v>
      </c>
      <c r="H15" s="170" t="s">
        <v>274</v>
      </c>
      <c r="I15" s="170" t="s">
        <v>275</v>
      </c>
      <c r="J15" s="170" t="s">
        <v>276</v>
      </c>
      <c r="K15" s="170" t="s">
        <v>277</v>
      </c>
      <c r="L15" s="168" t="s">
        <v>278</v>
      </c>
      <c r="M15" s="170" t="s">
        <v>279</v>
      </c>
      <c r="N15" s="170">
        <f t="shared" si="0"/>
        <v>100</v>
      </c>
      <c r="O15" s="171" t="str">
        <f t="shared" si="1"/>
        <v>Fuerte</v>
      </c>
      <c r="P15" s="171" t="s">
        <v>280</v>
      </c>
      <c r="Q15" s="171" t="str">
        <f t="shared" si="2"/>
        <v>Fuerte</v>
      </c>
      <c r="R15" s="172" t="str">
        <f t="shared" si="3"/>
        <v>NO</v>
      </c>
      <c r="S15" s="178"/>
      <c r="T15" s="168">
        <f>'Mapa final'!AE22</f>
        <v>0</v>
      </c>
      <c r="U15" s="174">
        <f>'Mapa final'!AG22</f>
        <v>0</v>
      </c>
      <c r="V15" s="177"/>
      <c r="W15" s="177"/>
      <c r="X15" s="178"/>
      <c r="Y15" s="178"/>
    </row>
    <row r="16" spans="1:25" ht="30" hidden="1" x14ac:dyDescent="0.25">
      <c r="A16" s="285"/>
      <c r="B16" s="285"/>
      <c r="C16" s="285"/>
      <c r="D16" s="168">
        <f>'Mapa final'!P23</f>
        <v>0</v>
      </c>
      <c r="E16" s="177"/>
      <c r="F16" s="177"/>
      <c r="G16" s="170" t="s">
        <v>273</v>
      </c>
      <c r="H16" s="170" t="s">
        <v>274</v>
      </c>
      <c r="I16" s="170" t="s">
        <v>275</v>
      </c>
      <c r="J16" s="170" t="s">
        <v>276</v>
      </c>
      <c r="K16" s="170" t="s">
        <v>277</v>
      </c>
      <c r="L16" s="168" t="s">
        <v>278</v>
      </c>
      <c r="M16" s="170" t="s">
        <v>279</v>
      </c>
      <c r="N16" s="170">
        <f t="shared" si="0"/>
        <v>100</v>
      </c>
      <c r="O16" s="171" t="str">
        <f t="shared" si="1"/>
        <v>Fuerte</v>
      </c>
      <c r="P16" s="171" t="s">
        <v>280</v>
      </c>
      <c r="Q16" s="171" t="str">
        <f t="shared" si="2"/>
        <v>Fuerte</v>
      </c>
      <c r="R16" s="172" t="str">
        <f t="shared" si="3"/>
        <v>NO</v>
      </c>
      <c r="S16" s="178"/>
      <c r="T16" s="168">
        <f>'Mapa final'!AE23</f>
        <v>0</v>
      </c>
      <c r="U16" s="174">
        <f>'Mapa final'!AG23</f>
        <v>0</v>
      </c>
      <c r="V16" s="177"/>
      <c r="W16" s="177"/>
      <c r="X16" s="178"/>
      <c r="Y16" s="178"/>
    </row>
    <row r="17" spans="1:25" ht="30" hidden="1" x14ac:dyDescent="0.25">
      <c r="A17" s="285"/>
      <c r="B17" s="285"/>
      <c r="C17" s="285"/>
      <c r="D17" s="168">
        <f>'Mapa final'!P24</f>
        <v>0</v>
      </c>
      <c r="E17" s="177"/>
      <c r="F17" s="177"/>
      <c r="G17" s="170" t="s">
        <v>273</v>
      </c>
      <c r="H17" s="170" t="s">
        <v>274</v>
      </c>
      <c r="I17" s="170" t="s">
        <v>275</v>
      </c>
      <c r="J17" s="170" t="s">
        <v>276</v>
      </c>
      <c r="K17" s="170" t="s">
        <v>277</v>
      </c>
      <c r="L17" s="168" t="s">
        <v>278</v>
      </c>
      <c r="M17" s="170" t="s">
        <v>279</v>
      </c>
      <c r="N17" s="170">
        <f t="shared" si="0"/>
        <v>100</v>
      </c>
      <c r="O17" s="171" t="str">
        <f t="shared" si="1"/>
        <v>Fuerte</v>
      </c>
      <c r="P17" s="171" t="s">
        <v>280</v>
      </c>
      <c r="Q17" s="171" t="str">
        <f t="shared" si="2"/>
        <v>Fuerte</v>
      </c>
      <c r="R17" s="172" t="str">
        <f t="shared" si="3"/>
        <v>NO</v>
      </c>
      <c r="S17" s="178"/>
      <c r="T17" s="168">
        <f>'Mapa final'!AE24</f>
        <v>0</v>
      </c>
      <c r="U17" s="174">
        <f>'Mapa final'!AG24</f>
        <v>0</v>
      </c>
      <c r="V17" s="177"/>
      <c r="W17" s="177"/>
      <c r="X17" s="178"/>
      <c r="Y17" s="178"/>
    </row>
    <row r="18" spans="1:25" ht="30" hidden="1" x14ac:dyDescent="0.25">
      <c r="A18" s="285"/>
      <c r="B18" s="285"/>
      <c r="C18" s="285"/>
      <c r="D18" s="168">
        <f>'Mapa final'!P25</f>
        <v>0</v>
      </c>
      <c r="E18" s="177"/>
      <c r="F18" s="177"/>
      <c r="G18" s="170" t="s">
        <v>273</v>
      </c>
      <c r="H18" s="170" t="s">
        <v>274</v>
      </c>
      <c r="I18" s="170" t="s">
        <v>275</v>
      </c>
      <c r="J18" s="170" t="s">
        <v>276</v>
      </c>
      <c r="K18" s="170" t="s">
        <v>277</v>
      </c>
      <c r="L18" s="168" t="s">
        <v>278</v>
      </c>
      <c r="M18" s="170" t="s">
        <v>279</v>
      </c>
      <c r="N18" s="170">
        <f t="shared" si="0"/>
        <v>100</v>
      </c>
      <c r="O18" s="171" t="str">
        <f t="shared" si="1"/>
        <v>Fuerte</v>
      </c>
      <c r="P18" s="171" t="s">
        <v>280</v>
      </c>
      <c r="Q18" s="171" t="str">
        <f t="shared" si="2"/>
        <v>Fuerte</v>
      </c>
      <c r="R18" s="172" t="str">
        <f t="shared" si="3"/>
        <v>NO</v>
      </c>
      <c r="S18" s="178"/>
      <c r="T18" s="168">
        <f>'Mapa final'!AE25</f>
        <v>0</v>
      </c>
      <c r="U18" s="174">
        <f>'Mapa final'!AG25</f>
        <v>0</v>
      </c>
      <c r="V18" s="177"/>
      <c r="W18" s="177"/>
      <c r="X18" s="178"/>
      <c r="Y18" s="178"/>
    </row>
    <row r="19" spans="1:25" ht="30" hidden="1" x14ac:dyDescent="0.25">
      <c r="A19" s="285"/>
      <c r="B19" s="285"/>
      <c r="C19" s="285"/>
      <c r="D19" s="168">
        <f>'Mapa final'!P26</f>
        <v>0</v>
      </c>
      <c r="E19" s="177"/>
      <c r="F19" s="177"/>
      <c r="G19" s="170" t="s">
        <v>273</v>
      </c>
      <c r="H19" s="170" t="s">
        <v>274</v>
      </c>
      <c r="I19" s="170" t="s">
        <v>275</v>
      </c>
      <c r="J19" s="170" t="s">
        <v>276</v>
      </c>
      <c r="K19" s="170" t="s">
        <v>277</v>
      </c>
      <c r="L19" s="168" t="s">
        <v>278</v>
      </c>
      <c r="M19" s="170" t="s">
        <v>279</v>
      </c>
      <c r="N19" s="170">
        <f t="shared" si="0"/>
        <v>100</v>
      </c>
      <c r="O19" s="171" t="str">
        <f t="shared" si="1"/>
        <v>Fuerte</v>
      </c>
      <c r="P19" s="171" t="s">
        <v>280</v>
      </c>
      <c r="Q19" s="171" t="str">
        <f t="shared" si="2"/>
        <v>Fuerte</v>
      </c>
      <c r="R19" s="172" t="str">
        <f t="shared" si="3"/>
        <v>NO</v>
      </c>
      <c r="S19" s="178"/>
      <c r="T19" s="168">
        <f>'Mapa final'!AE26</f>
        <v>0</v>
      </c>
      <c r="U19" s="174">
        <f>'Mapa final'!AG26</f>
        <v>0</v>
      </c>
      <c r="V19" s="177"/>
      <c r="W19" s="177"/>
      <c r="X19" s="178"/>
      <c r="Y19" s="178"/>
    </row>
    <row r="20" spans="1:25" ht="30" hidden="1" x14ac:dyDescent="0.25">
      <c r="A20" s="285"/>
      <c r="B20" s="285"/>
      <c r="C20" s="285"/>
      <c r="D20" s="168">
        <f>'Mapa final'!P27</f>
        <v>0</v>
      </c>
      <c r="E20" s="177"/>
      <c r="F20" s="177"/>
      <c r="G20" s="170" t="s">
        <v>273</v>
      </c>
      <c r="H20" s="170" t="s">
        <v>274</v>
      </c>
      <c r="I20" s="170" t="s">
        <v>275</v>
      </c>
      <c r="J20" s="170" t="s">
        <v>276</v>
      </c>
      <c r="K20" s="170" t="s">
        <v>277</v>
      </c>
      <c r="L20" s="168" t="s">
        <v>278</v>
      </c>
      <c r="M20" s="170" t="s">
        <v>279</v>
      </c>
      <c r="N20" s="170">
        <f t="shared" si="0"/>
        <v>100</v>
      </c>
      <c r="O20" s="171" t="str">
        <f t="shared" si="1"/>
        <v>Fuerte</v>
      </c>
      <c r="P20" s="171" t="s">
        <v>280</v>
      </c>
      <c r="Q20" s="171" t="str">
        <f t="shared" si="2"/>
        <v>Fuerte</v>
      </c>
      <c r="R20" s="172" t="str">
        <f t="shared" si="3"/>
        <v>NO</v>
      </c>
      <c r="S20" s="178"/>
      <c r="T20" s="168">
        <f>'Mapa final'!AE27</f>
        <v>0</v>
      </c>
      <c r="U20" s="174">
        <f>'Mapa final'!AG27</f>
        <v>0</v>
      </c>
      <c r="V20" s="177"/>
      <c r="W20" s="177"/>
      <c r="X20" s="178"/>
      <c r="Y20" s="178"/>
    </row>
    <row r="21" spans="1:25" ht="58.5" customHeight="1" x14ac:dyDescent="0.25">
      <c r="A21" s="285" t="str">
        <f>'Mapa final'!E28</f>
        <v>Posibilidad de pérdida de  bienes  devolutivos  por falta de seguimiento de parte del Supervisor del contrato, servidor público  y/o contratista al no realizar la presentación de los bienes al momento de practicar la toma física del inventario, y perdida de bienes consumibles almacenados en la bodega del almacén general.</v>
      </c>
      <c r="B21" s="285" t="str">
        <f>'Mapa final'!N28</f>
        <v>Moderado</v>
      </c>
      <c r="C21" s="285" t="str">
        <f>'Mapa final'!AC28</f>
        <v>Bajo</v>
      </c>
      <c r="D21" s="183" t="str">
        <f>'Mapa final'!P28</f>
        <v>El Grupo de Almacén General realiza la toma física de los inventarios de bienes devolutivos y cronograma de visitas a nivel nacional.(anual)</v>
      </c>
      <c r="E21" s="182"/>
      <c r="F21" s="169"/>
      <c r="G21" s="170" t="s">
        <v>273</v>
      </c>
      <c r="H21" s="170" t="s">
        <v>274</v>
      </c>
      <c r="I21" s="170" t="s">
        <v>275</v>
      </c>
      <c r="J21" s="170" t="s">
        <v>276</v>
      </c>
      <c r="K21" s="170" t="s">
        <v>277</v>
      </c>
      <c r="L21" s="168" t="s">
        <v>278</v>
      </c>
      <c r="M21" s="170" t="s">
        <v>279</v>
      </c>
      <c r="N21" s="170">
        <f t="shared" si="0"/>
        <v>100</v>
      </c>
      <c r="O21" s="171" t="str">
        <f t="shared" si="1"/>
        <v>Fuerte</v>
      </c>
      <c r="P21" s="171" t="s">
        <v>280</v>
      </c>
      <c r="Q21" s="171" t="str">
        <f t="shared" si="2"/>
        <v>Fuerte</v>
      </c>
      <c r="R21" s="172" t="str">
        <f t="shared" si="3"/>
        <v>NO</v>
      </c>
      <c r="S21" s="178"/>
      <c r="T21" s="168">
        <f>'Mapa final'!AE28</f>
        <v>0</v>
      </c>
      <c r="U21" s="174">
        <f>'Mapa final'!AG28</f>
        <v>0</v>
      </c>
      <c r="V21" s="177"/>
      <c r="W21" s="177"/>
      <c r="X21" s="178"/>
      <c r="Y21" s="178"/>
    </row>
    <row r="22" spans="1:25" ht="66" customHeight="1" x14ac:dyDescent="0.25">
      <c r="A22" s="285"/>
      <c r="B22" s="285"/>
      <c r="C22" s="285"/>
      <c r="D22" s="168" t="str">
        <f>'Mapa final'!P29</f>
        <v>El Servidor Público y/o Contratista designado del Grupo de Almacén General realiza inventarios de bienes consumibles en bodega(cuatrimestral)</v>
      </c>
      <c r="E22" s="177"/>
      <c r="F22" s="177"/>
      <c r="G22" s="170" t="s">
        <v>273</v>
      </c>
      <c r="H22" s="170" t="s">
        <v>274</v>
      </c>
      <c r="I22" s="170" t="s">
        <v>275</v>
      </c>
      <c r="J22" s="170" t="s">
        <v>276</v>
      </c>
      <c r="K22" s="170" t="s">
        <v>277</v>
      </c>
      <c r="L22" s="168" t="s">
        <v>278</v>
      </c>
      <c r="M22" s="170" t="s">
        <v>279</v>
      </c>
      <c r="N22" s="170">
        <f t="shared" si="0"/>
        <v>100</v>
      </c>
      <c r="O22" s="171" t="str">
        <f t="shared" si="1"/>
        <v>Fuerte</v>
      </c>
      <c r="P22" s="171" t="s">
        <v>280</v>
      </c>
      <c r="Q22" s="171" t="str">
        <f t="shared" si="2"/>
        <v>Fuerte</v>
      </c>
      <c r="R22" s="172" t="str">
        <f t="shared" si="3"/>
        <v>NO</v>
      </c>
      <c r="S22" s="178"/>
      <c r="T22" s="168">
        <f>'Mapa final'!AE29</f>
        <v>0</v>
      </c>
      <c r="U22" s="174">
        <f>'Mapa final'!AG29</f>
        <v>0</v>
      </c>
      <c r="V22" s="177"/>
      <c r="W22" s="177"/>
      <c r="X22" s="178"/>
      <c r="Y22" s="178"/>
    </row>
    <row r="23" spans="1:25" ht="30" hidden="1" x14ac:dyDescent="0.25">
      <c r="A23" s="285"/>
      <c r="B23" s="285"/>
      <c r="C23" s="285"/>
      <c r="D23" s="168">
        <f>'Mapa final'!P30</f>
        <v>0</v>
      </c>
      <c r="E23" s="177"/>
      <c r="F23" s="177"/>
      <c r="G23" s="170" t="s">
        <v>273</v>
      </c>
      <c r="H23" s="170" t="s">
        <v>274</v>
      </c>
      <c r="I23" s="170" t="s">
        <v>275</v>
      </c>
      <c r="J23" s="170" t="s">
        <v>276</v>
      </c>
      <c r="K23" s="170" t="s">
        <v>277</v>
      </c>
      <c r="L23" s="168" t="s">
        <v>278</v>
      </c>
      <c r="M23" s="170" t="s">
        <v>279</v>
      </c>
      <c r="N23" s="170">
        <f t="shared" si="0"/>
        <v>100</v>
      </c>
      <c r="O23" s="171" t="str">
        <f t="shared" si="1"/>
        <v>Fuerte</v>
      </c>
      <c r="P23" s="171" t="s">
        <v>280</v>
      </c>
      <c r="Q23" s="171" t="str">
        <f t="shared" si="2"/>
        <v>Fuerte</v>
      </c>
      <c r="R23" s="172" t="str">
        <f t="shared" si="3"/>
        <v>NO</v>
      </c>
      <c r="S23" s="178"/>
      <c r="T23" s="168">
        <f>'Mapa final'!AE30</f>
        <v>0</v>
      </c>
      <c r="U23" s="174">
        <f>'Mapa final'!AG30</f>
        <v>0</v>
      </c>
      <c r="V23" s="177"/>
      <c r="W23" s="177"/>
      <c r="X23" s="178"/>
      <c r="Y23" s="178"/>
    </row>
    <row r="24" spans="1:25" ht="30" hidden="1" x14ac:dyDescent="0.25">
      <c r="A24" s="285"/>
      <c r="B24" s="285"/>
      <c r="C24" s="285"/>
      <c r="D24" s="168">
        <f>'Mapa final'!P31</f>
        <v>0</v>
      </c>
      <c r="E24" s="177"/>
      <c r="F24" s="177"/>
      <c r="G24" s="170" t="s">
        <v>273</v>
      </c>
      <c r="H24" s="170" t="s">
        <v>274</v>
      </c>
      <c r="I24" s="170" t="s">
        <v>275</v>
      </c>
      <c r="J24" s="170" t="s">
        <v>276</v>
      </c>
      <c r="K24" s="170" t="s">
        <v>277</v>
      </c>
      <c r="L24" s="168" t="s">
        <v>278</v>
      </c>
      <c r="M24" s="170" t="s">
        <v>279</v>
      </c>
      <c r="N24" s="170">
        <f t="shared" si="0"/>
        <v>100</v>
      </c>
      <c r="O24" s="171" t="str">
        <f t="shared" si="1"/>
        <v>Fuerte</v>
      </c>
      <c r="P24" s="171" t="s">
        <v>280</v>
      </c>
      <c r="Q24" s="171" t="str">
        <f t="shared" si="2"/>
        <v>Fuerte</v>
      </c>
      <c r="R24" s="172" t="str">
        <f t="shared" si="3"/>
        <v>NO</v>
      </c>
      <c r="S24" s="178"/>
      <c r="T24" s="168">
        <f>'Mapa final'!AE31</f>
        <v>0</v>
      </c>
      <c r="U24" s="174">
        <f>'Mapa final'!AG31</f>
        <v>0</v>
      </c>
      <c r="V24" s="177"/>
      <c r="W24" s="177"/>
      <c r="X24" s="178"/>
      <c r="Y24" s="178"/>
    </row>
    <row r="25" spans="1:25" ht="30" hidden="1" x14ac:dyDescent="0.25">
      <c r="A25" s="285"/>
      <c r="B25" s="285"/>
      <c r="C25" s="285"/>
      <c r="D25" s="168">
        <f>'Mapa final'!P32</f>
        <v>0</v>
      </c>
      <c r="E25" s="177"/>
      <c r="F25" s="177"/>
      <c r="G25" s="170" t="s">
        <v>273</v>
      </c>
      <c r="H25" s="170" t="s">
        <v>274</v>
      </c>
      <c r="I25" s="170" t="s">
        <v>275</v>
      </c>
      <c r="J25" s="170" t="s">
        <v>276</v>
      </c>
      <c r="K25" s="170" t="s">
        <v>277</v>
      </c>
      <c r="L25" s="168" t="s">
        <v>278</v>
      </c>
      <c r="M25" s="170" t="s">
        <v>279</v>
      </c>
      <c r="N25" s="170">
        <f t="shared" si="0"/>
        <v>100</v>
      </c>
      <c r="O25" s="171" t="str">
        <f t="shared" si="1"/>
        <v>Fuerte</v>
      </c>
      <c r="P25" s="171" t="s">
        <v>280</v>
      </c>
      <c r="Q25" s="171" t="str">
        <f t="shared" si="2"/>
        <v>Fuerte</v>
      </c>
      <c r="R25" s="172" t="str">
        <f t="shared" si="3"/>
        <v>NO</v>
      </c>
      <c r="S25" s="178"/>
      <c r="T25" s="168">
        <f>'Mapa final'!AE32</f>
        <v>0</v>
      </c>
      <c r="U25" s="174">
        <f>'Mapa final'!AG32</f>
        <v>0</v>
      </c>
      <c r="V25" s="177"/>
      <c r="W25" s="177"/>
      <c r="X25" s="178"/>
      <c r="Y25" s="178"/>
    </row>
    <row r="26" spans="1:25" ht="30" hidden="1" x14ac:dyDescent="0.25">
      <c r="A26" s="285"/>
      <c r="B26" s="285"/>
      <c r="C26" s="285"/>
      <c r="D26" s="168">
        <f>'Mapa final'!P33</f>
        <v>0</v>
      </c>
      <c r="E26" s="177"/>
      <c r="F26" s="177"/>
      <c r="G26" s="170" t="s">
        <v>273</v>
      </c>
      <c r="H26" s="170" t="s">
        <v>274</v>
      </c>
      <c r="I26" s="170" t="s">
        <v>275</v>
      </c>
      <c r="J26" s="170" t="s">
        <v>276</v>
      </c>
      <c r="K26" s="170" t="s">
        <v>277</v>
      </c>
      <c r="L26" s="168" t="s">
        <v>278</v>
      </c>
      <c r="M26" s="170" t="s">
        <v>279</v>
      </c>
      <c r="N26" s="170">
        <f t="shared" si="0"/>
        <v>100</v>
      </c>
      <c r="O26" s="171" t="str">
        <f t="shared" si="1"/>
        <v>Fuerte</v>
      </c>
      <c r="P26" s="171" t="s">
        <v>280</v>
      </c>
      <c r="Q26" s="171" t="str">
        <f t="shared" si="2"/>
        <v>Fuerte</v>
      </c>
      <c r="R26" s="172" t="str">
        <f t="shared" si="3"/>
        <v>NO</v>
      </c>
      <c r="S26" s="178"/>
      <c r="T26" s="168">
        <f>'Mapa final'!AE33</f>
        <v>0</v>
      </c>
      <c r="U26" s="174">
        <f>'Mapa final'!AG33</f>
        <v>0</v>
      </c>
      <c r="V26" s="177"/>
      <c r="W26" s="177"/>
      <c r="X26" s="178"/>
      <c r="Y26" s="178"/>
    </row>
    <row r="27" spans="1:25" ht="184.5" customHeight="1" x14ac:dyDescent="0.25">
      <c r="A27" s="285" t="str">
        <f>'Mapa final'!E34</f>
        <v>Probabiliad de aprobación de legalizaciones de comisiones de servicio y autorizaciones de viaje con soportes documentales presuntamente fraudulentos para beneficio propio o de un tercero.</v>
      </c>
      <c r="B27" s="285" t="str">
        <f>'Mapa final'!N34</f>
        <v>Alto</v>
      </c>
      <c r="C27" s="285" t="str">
        <f>'Mapa final'!AC35</f>
        <v>Moderado</v>
      </c>
      <c r="D27" s="184" t="str">
        <f>'Mapa final'!P34</f>
        <v>Analista de comisiones corrobora y notifica los casos en los que se evidencie presuntas inconsistencias en los documentos allegados por el funcionario y/o contratista para surtir el proceso de legalización de las comisiones de servicio y /o autorizaciones de viaje al Coordinador del Grupo de Comisiones y Autorizaciones de viaje dichas inconsistencias, quien, bajo su consideración, lo remite al equipo de control y verificación para su analisis. Es importante aclarar que todo documento allegado es verificado para surtir el proceso de legalización.</v>
      </c>
      <c r="E27" s="179"/>
      <c r="F27" s="169" t="s">
        <v>281</v>
      </c>
      <c r="G27" s="170" t="s">
        <v>273</v>
      </c>
      <c r="H27" s="170" t="s">
        <v>274</v>
      </c>
      <c r="I27" s="170" t="s">
        <v>275</v>
      </c>
      <c r="J27" s="170" t="s">
        <v>276</v>
      </c>
      <c r="K27" s="170" t="s">
        <v>277</v>
      </c>
      <c r="L27" s="168" t="s">
        <v>278</v>
      </c>
      <c r="M27" s="170" t="s">
        <v>279</v>
      </c>
      <c r="N27" s="170">
        <f t="shared" si="0"/>
        <v>100</v>
      </c>
      <c r="O27" s="171" t="str">
        <f t="shared" si="1"/>
        <v>Fuerte</v>
      </c>
      <c r="P27" s="171" t="s">
        <v>280</v>
      </c>
      <c r="Q27" s="171" t="str">
        <f t="shared" si="2"/>
        <v>Fuerte</v>
      </c>
      <c r="R27" s="172" t="str">
        <f t="shared" si="3"/>
        <v>NO</v>
      </c>
      <c r="S27" s="178"/>
      <c r="T27" s="168">
        <f>'Mapa final'!AE34</f>
        <v>0</v>
      </c>
      <c r="U27" s="174">
        <f>'Mapa final'!AG34</f>
        <v>0</v>
      </c>
      <c r="V27" s="177"/>
      <c r="W27" s="177"/>
      <c r="X27" s="178"/>
      <c r="Y27" s="178"/>
    </row>
    <row r="28" spans="1:25" ht="126.75" customHeight="1" x14ac:dyDescent="0.25">
      <c r="A28" s="285"/>
      <c r="B28" s="285"/>
      <c r="C28" s="285"/>
      <c r="D28" s="184" t="str">
        <f>'Mapa final'!P35</f>
        <v>Coordinador Grupo de Comisiones de Servicio y Autorizaciones de Viaje y/o servidor publico a quien el delegue aclarar mediante reuniones la responsabilidad y rigurosidad que se debe tener frente al Código de Integridad establecidos por la entidad, como a su vez la normatividad vigente en el proceso de comisiones de servicio y autorizaciones de viaje.</v>
      </c>
      <c r="E28" s="180"/>
      <c r="F28" s="169"/>
      <c r="G28" s="170" t="s">
        <v>273</v>
      </c>
      <c r="H28" s="170" t="s">
        <v>274</v>
      </c>
      <c r="I28" s="170" t="s">
        <v>275</v>
      </c>
      <c r="J28" s="170" t="s">
        <v>276</v>
      </c>
      <c r="K28" s="170" t="s">
        <v>277</v>
      </c>
      <c r="L28" s="168" t="s">
        <v>278</v>
      </c>
      <c r="M28" s="170" t="s">
        <v>279</v>
      </c>
      <c r="N28" s="170">
        <f t="shared" si="0"/>
        <v>100</v>
      </c>
      <c r="O28" s="171" t="str">
        <f t="shared" si="1"/>
        <v>Fuerte</v>
      </c>
      <c r="P28" s="171" t="s">
        <v>280</v>
      </c>
      <c r="Q28" s="171" t="str">
        <f t="shared" si="2"/>
        <v>Fuerte</v>
      </c>
      <c r="R28" s="172" t="str">
        <f t="shared" si="3"/>
        <v>NO</v>
      </c>
      <c r="S28" s="178"/>
      <c r="T28" s="168">
        <f>'Mapa final'!AE35</f>
        <v>0</v>
      </c>
      <c r="U28" s="174">
        <f>'Mapa final'!AG35</f>
        <v>0</v>
      </c>
      <c r="V28" s="177"/>
      <c r="W28" s="177"/>
      <c r="X28" s="178"/>
      <c r="Y28" s="178"/>
    </row>
    <row r="29" spans="1:25" ht="30" hidden="1" x14ac:dyDescent="0.25">
      <c r="A29" s="285"/>
      <c r="B29" s="285"/>
      <c r="C29" s="285"/>
      <c r="D29" s="168">
        <f>'Mapa final'!P36</f>
        <v>0</v>
      </c>
      <c r="E29" s="177"/>
      <c r="F29" s="177"/>
      <c r="G29" s="170" t="s">
        <v>273</v>
      </c>
      <c r="H29" s="170" t="s">
        <v>274</v>
      </c>
      <c r="I29" s="170" t="s">
        <v>275</v>
      </c>
      <c r="J29" s="170" t="s">
        <v>276</v>
      </c>
      <c r="K29" s="170" t="s">
        <v>277</v>
      </c>
      <c r="L29" s="168" t="s">
        <v>278</v>
      </c>
      <c r="M29" s="170" t="s">
        <v>279</v>
      </c>
      <c r="N29" s="170">
        <f t="shared" si="0"/>
        <v>100</v>
      </c>
      <c r="O29" s="171" t="str">
        <f t="shared" si="1"/>
        <v>Fuerte</v>
      </c>
      <c r="P29" s="171" t="s">
        <v>280</v>
      </c>
      <c r="Q29" s="171" t="str">
        <f t="shared" si="2"/>
        <v>Fuerte</v>
      </c>
      <c r="R29" s="172" t="str">
        <f t="shared" si="3"/>
        <v>NO</v>
      </c>
      <c r="S29" s="178"/>
      <c r="T29" s="168">
        <f>'Mapa final'!AE36</f>
        <v>0</v>
      </c>
      <c r="U29" s="174">
        <f>'Mapa final'!AG36</f>
        <v>0</v>
      </c>
      <c r="V29" s="177"/>
      <c r="W29" s="177"/>
      <c r="X29" s="178"/>
      <c r="Y29" s="178"/>
    </row>
    <row r="30" spans="1:25" ht="30" hidden="1" x14ac:dyDescent="0.25">
      <c r="A30" s="285"/>
      <c r="B30" s="285"/>
      <c r="C30" s="285"/>
      <c r="D30" s="168">
        <f>'Mapa final'!P37</f>
        <v>0</v>
      </c>
      <c r="E30" s="177"/>
      <c r="F30" s="177"/>
      <c r="G30" s="170" t="s">
        <v>273</v>
      </c>
      <c r="H30" s="170" t="s">
        <v>274</v>
      </c>
      <c r="I30" s="170" t="s">
        <v>275</v>
      </c>
      <c r="J30" s="170" t="s">
        <v>276</v>
      </c>
      <c r="K30" s="170" t="s">
        <v>277</v>
      </c>
      <c r="L30" s="168" t="s">
        <v>278</v>
      </c>
      <c r="M30" s="170" t="s">
        <v>279</v>
      </c>
      <c r="N30" s="170">
        <f t="shared" si="0"/>
        <v>100</v>
      </c>
      <c r="O30" s="171" t="str">
        <f t="shared" si="1"/>
        <v>Fuerte</v>
      </c>
      <c r="P30" s="171" t="s">
        <v>280</v>
      </c>
      <c r="Q30" s="171" t="str">
        <f t="shared" si="2"/>
        <v>Fuerte</v>
      </c>
      <c r="R30" s="172" t="str">
        <f t="shared" si="3"/>
        <v>NO</v>
      </c>
      <c r="S30" s="178"/>
      <c r="T30" s="168">
        <f>'Mapa final'!AE37</f>
        <v>0</v>
      </c>
      <c r="U30" s="174">
        <f>'Mapa final'!AG37</f>
        <v>0</v>
      </c>
      <c r="V30" s="177"/>
      <c r="W30" s="177"/>
      <c r="X30" s="178"/>
      <c r="Y30" s="178"/>
    </row>
    <row r="31" spans="1:25" ht="30" hidden="1" x14ac:dyDescent="0.25">
      <c r="A31" s="285"/>
      <c r="B31" s="285"/>
      <c r="C31" s="285"/>
      <c r="D31" s="168">
        <f>'Mapa final'!P38</f>
        <v>0</v>
      </c>
      <c r="E31" s="177"/>
      <c r="F31" s="177"/>
      <c r="G31" s="170" t="s">
        <v>273</v>
      </c>
      <c r="H31" s="170" t="s">
        <v>274</v>
      </c>
      <c r="I31" s="170" t="s">
        <v>275</v>
      </c>
      <c r="J31" s="170" t="s">
        <v>276</v>
      </c>
      <c r="K31" s="170" t="s">
        <v>277</v>
      </c>
      <c r="L31" s="168" t="s">
        <v>278</v>
      </c>
      <c r="M31" s="170" t="s">
        <v>279</v>
      </c>
      <c r="N31" s="170">
        <f t="shared" si="0"/>
        <v>100</v>
      </c>
      <c r="O31" s="171" t="str">
        <f t="shared" si="1"/>
        <v>Fuerte</v>
      </c>
      <c r="P31" s="171" t="s">
        <v>280</v>
      </c>
      <c r="Q31" s="171" t="str">
        <f t="shared" si="2"/>
        <v>Fuerte</v>
      </c>
      <c r="R31" s="172" t="str">
        <f t="shared" si="3"/>
        <v>NO</v>
      </c>
      <c r="S31" s="178"/>
      <c r="T31" s="168">
        <f>'Mapa final'!AE38</f>
        <v>0</v>
      </c>
      <c r="U31" s="174">
        <f>'Mapa final'!AG38</f>
        <v>0</v>
      </c>
      <c r="V31" s="177"/>
      <c r="W31" s="177"/>
      <c r="X31" s="178"/>
      <c r="Y31" s="178"/>
    </row>
    <row r="32" spans="1:25" ht="30" hidden="1" x14ac:dyDescent="0.25">
      <c r="A32" s="285"/>
      <c r="B32" s="285"/>
      <c r="C32" s="285"/>
      <c r="D32" s="168">
        <f>'Mapa final'!P39</f>
        <v>0</v>
      </c>
      <c r="E32" s="177"/>
      <c r="F32" s="177"/>
      <c r="G32" s="170" t="s">
        <v>273</v>
      </c>
      <c r="H32" s="170" t="s">
        <v>274</v>
      </c>
      <c r="I32" s="170" t="s">
        <v>275</v>
      </c>
      <c r="J32" s="170" t="s">
        <v>276</v>
      </c>
      <c r="K32" s="170" t="s">
        <v>277</v>
      </c>
      <c r="L32" s="168" t="s">
        <v>278</v>
      </c>
      <c r="M32" s="170" t="s">
        <v>279</v>
      </c>
      <c r="N32" s="170">
        <f t="shared" si="0"/>
        <v>100</v>
      </c>
      <c r="O32" s="171" t="str">
        <f t="shared" si="1"/>
        <v>Fuerte</v>
      </c>
      <c r="P32" s="171" t="s">
        <v>280</v>
      </c>
      <c r="Q32" s="171" t="str">
        <f t="shared" si="2"/>
        <v>Fuerte</v>
      </c>
      <c r="R32" s="172" t="str">
        <f t="shared" si="3"/>
        <v>NO</v>
      </c>
      <c r="S32" s="178"/>
      <c r="T32" s="168">
        <f>'Mapa final'!AE39</f>
        <v>0</v>
      </c>
      <c r="U32" s="174">
        <f>'Mapa final'!AG39</f>
        <v>0</v>
      </c>
      <c r="V32" s="177"/>
      <c r="W32" s="177"/>
      <c r="X32" s="178"/>
      <c r="Y32" s="178"/>
    </row>
    <row r="33" spans="1:25" ht="30" hidden="1" x14ac:dyDescent="0.25">
      <c r="A33" s="285"/>
      <c r="B33" s="285"/>
      <c r="C33" s="285"/>
      <c r="D33" s="168">
        <f>'Mapa final'!P42</f>
        <v>0</v>
      </c>
      <c r="E33" s="177"/>
      <c r="F33" s="177"/>
      <c r="G33" s="170" t="s">
        <v>273</v>
      </c>
      <c r="H33" s="170" t="s">
        <v>274</v>
      </c>
      <c r="I33" s="170" t="s">
        <v>275</v>
      </c>
      <c r="J33" s="170" t="s">
        <v>276</v>
      </c>
      <c r="K33" s="170" t="s">
        <v>277</v>
      </c>
      <c r="L33" s="168" t="s">
        <v>278</v>
      </c>
      <c r="M33" s="170" t="s">
        <v>279</v>
      </c>
      <c r="N33" s="170">
        <f t="shared" si="0"/>
        <v>100</v>
      </c>
      <c r="O33" s="171" t="str">
        <f t="shared" si="1"/>
        <v>Fuerte</v>
      </c>
      <c r="P33" s="171" t="s">
        <v>280</v>
      </c>
      <c r="Q33" s="171" t="str">
        <f t="shared" si="2"/>
        <v>Fuerte</v>
      </c>
      <c r="R33" s="172" t="str">
        <f t="shared" si="3"/>
        <v>NO</v>
      </c>
      <c r="S33" s="178"/>
      <c r="T33" s="168">
        <f>'Mapa final'!AE42</f>
        <v>0</v>
      </c>
      <c r="U33" s="174">
        <f>'Mapa final'!AG42</f>
        <v>0</v>
      </c>
      <c r="V33" s="177"/>
      <c r="W33" s="177"/>
      <c r="X33" s="178"/>
      <c r="Y33" s="178"/>
    </row>
    <row r="34" spans="1:25" ht="30" hidden="1" x14ac:dyDescent="0.25">
      <c r="A34" s="285"/>
      <c r="B34" s="285"/>
      <c r="C34" s="285"/>
      <c r="D34" s="168">
        <f>'Mapa final'!P43</f>
        <v>0</v>
      </c>
      <c r="E34" s="177"/>
      <c r="F34" s="177"/>
      <c r="G34" s="170" t="s">
        <v>273</v>
      </c>
      <c r="H34" s="170" t="s">
        <v>274</v>
      </c>
      <c r="I34" s="170" t="s">
        <v>275</v>
      </c>
      <c r="J34" s="170" t="s">
        <v>276</v>
      </c>
      <c r="K34" s="170" t="s">
        <v>277</v>
      </c>
      <c r="L34" s="168" t="s">
        <v>278</v>
      </c>
      <c r="M34" s="170" t="s">
        <v>279</v>
      </c>
      <c r="N34" s="170">
        <f t="shared" si="0"/>
        <v>100</v>
      </c>
      <c r="O34" s="171" t="str">
        <f t="shared" si="1"/>
        <v>Fuerte</v>
      </c>
      <c r="P34" s="171" t="s">
        <v>280</v>
      </c>
      <c r="Q34" s="171" t="str">
        <f t="shared" si="2"/>
        <v>Fuerte</v>
      </c>
      <c r="R34" s="172" t="str">
        <f t="shared" si="3"/>
        <v>NO</v>
      </c>
      <c r="S34" s="178"/>
      <c r="T34" s="168">
        <f>'Mapa final'!AE43</f>
        <v>0</v>
      </c>
      <c r="U34" s="174">
        <f>'Mapa final'!AG43</f>
        <v>0</v>
      </c>
      <c r="V34" s="177"/>
      <c r="W34" s="177"/>
      <c r="X34" s="178"/>
      <c r="Y34" s="178"/>
    </row>
    <row r="35" spans="1:25" ht="30" hidden="1" x14ac:dyDescent="0.25">
      <c r="A35" s="285"/>
      <c r="B35" s="285"/>
      <c r="C35" s="285"/>
      <c r="D35" s="168">
        <f>'Mapa final'!P44</f>
        <v>0</v>
      </c>
      <c r="E35" s="177"/>
      <c r="F35" s="177"/>
      <c r="G35" s="170" t="s">
        <v>273</v>
      </c>
      <c r="H35" s="170" t="s">
        <v>274</v>
      </c>
      <c r="I35" s="170" t="s">
        <v>275</v>
      </c>
      <c r="J35" s="170" t="s">
        <v>276</v>
      </c>
      <c r="K35" s="170" t="s">
        <v>277</v>
      </c>
      <c r="L35" s="168" t="s">
        <v>278</v>
      </c>
      <c r="M35" s="170" t="s">
        <v>279</v>
      </c>
      <c r="N35" s="170">
        <f t="shared" si="0"/>
        <v>100</v>
      </c>
      <c r="O35" s="171" t="str">
        <f t="shared" si="1"/>
        <v>Fuerte</v>
      </c>
      <c r="P35" s="171" t="s">
        <v>280</v>
      </c>
      <c r="Q35" s="171" t="str">
        <f t="shared" si="2"/>
        <v>Fuerte</v>
      </c>
      <c r="R35" s="172" t="str">
        <f t="shared" si="3"/>
        <v>NO</v>
      </c>
      <c r="S35" s="178"/>
      <c r="T35" s="168">
        <f>'Mapa final'!AE44</f>
        <v>0</v>
      </c>
      <c r="U35" s="174">
        <f>'Mapa final'!AG44</f>
        <v>0</v>
      </c>
      <c r="V35" s="177"/>
      <c r="W35" s="177"/>
      <c r="X35" s="178"/>
      <c r="Y35" s="178"/>
    </row>
    <row r="36" spans="1:25" ht="30" hidden="1" x14ac:dyDescent="0.25">
      <c r="A36" s="285"/>
      <c r="B36" s="285"/>
      <c r="C36" s="285"/>
      <c r="D36" s="168">
        <f>'Mapa final'!P45</f>
        <v>0</v>
      </c>
      <c r="E36" s="177"/>
      <c r="F36" s="177"/>
      <c r="G36" s="170" t="s">
        <v>273</v>
      </c>
      <c r="H36" s="170" t="s">
        <v>274</v>
      </c>
      <c r="I36" s="170" t="s">
        <v>275</v>
      </c>
      <c r="J36" s="170" t="s">
        <v>276</v>
      </c>
      <c r="K36" s="170" t="s">
        <v>277</v>
      </c>
      <c r="L36" s="168" t="s">
        <v>278</v>
      </c>
      <c r="M36" s="170" t="s">
        <v>279</v>
      </c>
      <c r="N36" s="170">
        <f t="shared" si="0"/>
        <v>100</v>
      </c>
      <c r="O36" s="171" t="str">
        <f t="shared" si="1"/>
        <v>Fuerte</v>
      </c>
      <c r="P36" s="171" t="s">
        <v>280</v>
      </c>
      <c r="Q36" s="171" t="str">
        <f t="shared" si="2"/>
        <v>Fuerte</v>
      </c>
      <c r="R36" s="172" t="str">
        <f t="shared" si="3"/>
        <v>NO</v>
      </c>
      <c r="S36" s="178"/>
      <c r="T36" s="168">
        <f>'Mapa final'!AE45</f>
        <v>0</v>
      </c>
      <c r="U36" s="174">
        <f>'Mapa final'!AG45</f>
        <v>0</v>
      </c>
      <c r="V36" s="177"/>
      <c r="W36" s="177"/>
      <c r="X36" s="178"/>
      <c r="Y36" s="178"/>
    </row>
    <row r="37" spans="1:25" ht="90" x14ac:dyDescent="0.25">
      <c r="A37" s="285" t="str">
        <f>'Mapa final'!E46</f>
        <v>Probabilidad de perdida  por hurto o daño permanente de las armas de propiedad de la UNP, asignadas a los funcionarios para la prestacion de las funciones de proteccion de las subdirecciones de Proteccion y subdireccion de proteccion especializada.</v>
      </c>
      <c r="B37" s="285" t="str">
        <f>'Mapa final'!N46</f>
        <v>Alto</v>
      </c>
      <c r="C37" s="285" t="str">
        <f>'Mapa final'!AC46</f>
        <v>Alto</v>
      </c>
      <c r="D37" s="168" t="str">
        <f>'Mapa final'!P46</f>
        <v>1.El coordinador del Grupo de Armamento enviará al Grupo de Comunicaciones solicitudes de publicaciones  mensualmente sobre camapañas de sensibilizacion sobre las vulnerabilidades en materia de seguridad ciudadana.</v>
      </c>
      <c r="E37" s="177"/>
      <c r="F37" s="177"/>
      <c r="G37" s="170" t="s">
        <v>273</v>
      </c>
      <c r="H37" s="170" t="s">
        <v>274</v>
      </c>
      <c r="I37" s="170" t="s">
        <v>275</v>
      </c>
      <c r="J37" s="170" t="s">
        <v>276</v>
      </c>
      <c r="K37" s="170" t="s">
        <v>277</v>
      </c>
      <c r="L37" s="168" t="s">
        <v>278</v>
      </c>
      <c r="M37" s="170" t="s">
        <v>279</v>
      </c>
      <c r="N37" s="170">
        <f t="shared" si="0"/>
        <v>100</v>
      </c>
      <c r="O37" s="171" t="str">
        <f t="shared" si="1"/>
        <v>Fuerte</v>
      </c>
      <c r="P37" s="171" t="s">
        <v>280</v>
      </c>
      <c r="Q37" s="171" t="str">
        <f t="shared" si="2"/>
        <v>Fuerte</v>
      </c>
      <c r="R37" s="172" t="str">
        <f t="shared" si="3"/>
        <v>NO</v>
      </c>
      <c r="S37" s="178"/>
      <c r="T37" s="168" t="str">
        <f>'Mapa final'!AE46</f>
        <v>Realizar campañas de sensibilizacion por medio del Grupo de Comunicaciones acerca de Tips de autoprorección en los desplazamientos</v>
      </c>
      <c r="U37" s="174">
        <f>'Mapa final'!AG46</f>
        <v>0</v>
      </c>
      <c r="V37" s="177"/>
      <c r="W37" s="177"/>
      <c r="X37" s="178"/>
      <c r="Y37" s="178"/>
    </row>
    <row r="38" spans="1:25" ht="90" x14ac:dyDescent="0.25">
      <c r="A38" s="285"/>
      <c r="B38" s="285"/>
      <c r="C38" s="285"/>
      <c r="D38" s="168" t="str">
        <f>'Mapa final'!P47</f>
        <v>2.El coordinador del Grupo de Armamento realizará un memorando con firma de la Secretaría General de manera semestral dirijido a los funcionarios que tienen asignadas armas de fuego y elementos de protección  donde se recava el compromiso del buen uso y ciudado de los elementos asignados.</v>
      </c>
      <c r="E38" s="177"/>
      <c r="F38" s="177"/>
      <c r="G38" s="170" t="s">
        <v>273</v>
      </c>
      <c r="H38" s="170" t="s">
        <v>274</v>
      </c>
      <c r="I38" s="170" t="s">
        <v>275</v>
      </c>
      <c r="J38" s="170" t="s">
        <v>276</v>
      </c>
      <c r="K38" s="170" t="s">
        <v>277</v>
      </c>
      <c r="L38" s="168" t="s">
        <v>278</v>
      </c>
      <c r="M38" s="170" t="s">
        <v>279</v>
      </c>
      <c r="N38" s="170">
        <f t="shared" si="0"/>
        <v>100</v>
      </c>
      <c r="O38" s="171" t="str">
        <f t="shared" si="1"/>
        <v>Fuerte</v>
      </c>
      <c r="P38" s="171" t="s">
        <v>280</v>
      </c>
      <c r="Q38" s="171" t="str">
        <f t="shared" si="2"/>
        <v>Fuerte</v>
      </c>
      <c r="R38" s="172" t="str">
        <f t="shared" si="3"/>
        <v>NO</v>
      </c>
      <c r="S38" s="178"/>
      <c r="T38" s="168" t="str">
        <f>'Mapa final'!AE47</f>
        <v>Realizar memorando con lineamientos acerca del buen uso y cuidado de los elementos asigandos</v>
      </c>
      <c r="U38" s="174">
        <f>'Mapa final'!AG47</f>
        <v>0</v>
      </c>
      <c r="V38" s="177"/>
      <c r="W38" s="177"/>
      <c r="X38" s="178"/>
      <c r="Y38" s="178"/>
    </row>
    <row r="39" spans="1:25" ht="90" x14ac:dyDescent="0.25">
      <c r="A39" s="285"/>
      <c r="B39" s="285"/>
      <c r="C39" s="285"/>
      <c r="D39" s="168" t="str">
        <f>'Mapa final'!P48</f>
        <v>3.El coordinador del Grupo de Armamento  una vez terminado cada uno de los procedimientos existentes ,extrae un listado (bimensual,semestral y anual) con los funcionarios que no cumplen con lo determinado en dichos procedimientos. Este listado se remite al Grupo de Control Interno Disciplinario para lo de su competencia.</v>
      </c>
      <c r="E39" s="177"/>
      <c r="F39" s="177"/>
      <c r="G39" s="170" t="s">
        <v>273</v>
      </c>
      <c r="H39" s="170" t="s">
        <v>274</v>
      </c>
      <c r="I39" s="170" t="s">
        <v>275</v>
      </c>
      <c r="J39" s="170" t="s">
        <v>276</v>
      </c>
      <c r="K39" s="170" t="s">
        <v>277</v>
      </c>
      <c r="L39" s="168" t="s">
        <v>278</v>
      </c>
      <c r="M39" s="170" t="s">
        <v>279</v>
      </c>
      <c r="N39" s="170">
        <f t="shared" si="0"/>
        <v>100</v>
      </c>
      <c r="O39" s="171" t="str">
        <f t="shared" si="1"/>
        <v>Fuerte</v>
      </c>
      <c r="P39" s="171" t="s">
        <v>280</v>
      </c>
      <c r="Q39" s="171" t="str">
        <f t="shared" si="2"/>
        <v>Fuerte</v>
      </c>
      <c r="R39" s="172" t="str">
        <f t="shared" si="3"/>
        <v>NO</v>
      </c>
      <c r="S39" s="178"/>
      <c r="T39" s="168" t="str">
        <f>'Mapa final'!AE48</f>
        <v>Enviar memorando con listado de funcionarios que no cumplieron con los procedimientos</v>
      </c>
      <c r="U39" s="174">
        <f>'Mapa final'!AG48</f>
        <v>0</v>
      </c>
      <c r="V39" s="177"/>
      <c r="W39" s="177"/>
      <c r="X39" s="178"/>
      <c r="Y39" s="178"/>
    </row>
    <row r="40" spans="1:25" ht="30" hidden="1" x14ac:dyDescent="0.25">
      <c r="A40" s="285"/>
      <c r="B40" s="285"/>
      <c r="C40" s="285"/>
      <c r="D40" s="168">
        <f>'Mapa final'!P49</f>
        <v>0</v>
      </c>
      <c r="E40" s="177"/>
      <c r="F40" s="177"/>
      <c r="G40" s="170" t="s">
        <v>273</v>
      </c>
      <c r="H40" s="170" t="s">
        <v>274</v>
      </c>
      <c r="I40" s="170" t="s">
        <v>275</v>
      </c>
      <c r="J40" s="170" t="s">
        <v>276</v>
      </c>
      <c r="K40" s="170" t="s">
        <v>277</v>
      </c>
      <c r="L40" s="168" t="s">
        <v>278</v>
      </c>
      <c r="M40" s="170" t="s">
        <v>279</v>
      </c>
      <c r="N40" s="170">
        <f t="shared" si="0"/>
        <v>100</v>
      </c>
      <c r="O40" s="171" t="str">
        <f t="shared" si="1"/>
        <v>Fuerte</v>
      </c>
      <c r="P40" s="171" t="s">
        <v>280</v>
      </c>
      <c r="Q40" s="171" t="str">
        <f t="shared" si="2"/>
        <v>Fuerte</v>
      </c>
      <c r="R40" s="172" t="str">
        <f t="shared" si="3"/>
        <v>NO</v>
      </c>
      <c r="S40" s="178"/>
      <c r="T40" s="168">
        <f>'Mapa final'!AE49</f>
        <v>0</v>
      </c>
      <c r="U40" s="174">
        <f>'Mapa final'!AG49</f>
        <v>0</v>
      </c>
      <c r="V40" s="177"/>
      <c r="W40" s="177"/>
      <c r="X40" s="178"/>
      <c r="Y40" s="178"/>
    </row>
    <row r="41" spans="1:25" ht="30" hidden="1" x14ac:dyDescent="0.25">
      <c r="A41" s="285"/>
      <c r="B41" s="285"/>
      <c r="C41" s="285"/>
      <c r="D41" s="168">
        <f>'Mapa final'!P50</f>
        <v>0</v>
      </c>
      <c r="E41" s="177"/>
      <c r="F41" s="177"/>
      <c r="G41" s="170" t="s">
        <v>273</v>
      </c>
      <c r="H41" s="170" t="s">
        <v>274</v>
      </c>
      <c r="I41" s="170" t="s">
        <v>275</v>
      </c>
      <c r="J41" s="170" t="s">
        <v>276</v>
      </c>
      <c r="K41" s="170" t="s">
        <v>277</v>
      </c>
      <c r="L41" s="168" t="s">
        <v>278</v>
      </c>
      <c r="M41" s="170" t="s">
        <v>279</v>
      </c>
      <c r="N41" s="170">
        <f t="shared" si="0"/>
        <v>100</v>
      </c>
      <c r="O41" s="171" t="str">
        <f t="shared" si="1"/>
        <v>Fuerte</v>
      </c>
      <c r="P41" s="171" t="s">
        <v>280</v>
      </c>
      <c r="Q41" s="171" t="str">
        <f t="shared" si="2"/>
        <v>Fuerte</v>
      </c>
      <c r="R41" s="172" t="str">
        <f t="shared" si="3"/>
        <v>NO</v>
      </c>
      <c r="S41" s="178"/>
      <c r="T41" s="168">
        <f>'Mapa final'!AE50</f>
        <v>0</v>
      </c>
      <c r="U41" s="174">
        <f>'Mapa final'!AG50</f>
        <v>0</v>
      </c>
      <c r="V41" s="177"/>
      <c r="W41" s="177"/>
      <c r="X41" s="178"/>
      <c r="Y41" s="178"/>
    </row>
    <row r="42" spans="1:25" ht="30" hidden="1" x14ac:dyDescent="0.25">
      <c r="A42" s="285"/>
      <c r="B42" s="285"/>
      <c r="C42" s="285"/>
      <c r="D42" s="168">
        <f>'Mapa final'!P51</f>
        <v>0</v>
      </c>
      <c r="E42" s="177"/>
      <c r="F42" s="177"/>
      <c r="G42" s="170" t="s">
        <v>273</v>
      </c>
      <c r="H42" s="170" t="s">
        <v>274</v>
      </c>
      <c r="I42" s="170" t="s">
        <v>275</v>
      </c>
      <c r="J42" s="170" t="s">
        <v>276</v>
      </c>
      <c r="K42" s="170" t="s">
        <v>277</v>
      </c>
      <c r="L42" s="168" t="s">
        <v>278</v>
      </c>
      <c r="M42" s="170" t="s">
        <v>279</v>
      </c>
      <c r="N42" s="170">
        <f t="shared" si="0"/>
        <v>100</v>
      </c>
      <c r="O42" s="171" t="str">
        <f t="shared" si="1"/>
        <v>Fuerte</v>
      </c>
      <c r="P42" s="171" t="s">
        <v>280</v>
      </c>
      <c r="Q42" s="171" t="str">
        <f t="shared" si="2"/>
        <v>Fuerte</v>
      </c>
      <c r="R42" s="172" t="str">
        <f t="shared" si="3"/>
        <v>NO</v>
      </c>
      <c r="S42" s="178"/>
      <c r="T42" s="168">
        <f>'Mapa final'!AE51</f>
        <v>0</v>
      </c>
      <c r="U42" s="174">
        <f>'Mapa final'!AG51</f>
        <v>0</v>
      </c>
      <c r="V42" s="177"/>
      <c r="W42" s="177"/>
      <c r="X42" s="178"/>
      <c r="Y42" s="178"/>
    </row>
    <row r="43" spans="1:25" ht="75" x14ac:dyDescent="0.25">
      <c r="A43" s="285" t="str">
        <f>'Mapa final'!E52</f>
        <v xml:space="preserve">
Probabilidad de afectación economica por hurto o daño del arma de fuego y elementos de proteccion asignados a los servidores públicos de la entidad para el cumplimiento de las funciones de protección adscritos a las subdirecciones de Proteccion y subdirección especializada de seguridad y protección.</v>
      </c>
      <c r="B43" s="285" t="str">
        <f>'Mapa final'!N52</f>
        <v>Alto</v>
      </c>
      <c r="C43" s="285" t="str">
        <f>'Mapa final'!AC52</f>
        <v>Alto</v>
      </c>
      <c r="D43" s="168" t="str">
        <f>'Mapa final'!P52</f>
        <v>1. El coordinador del Grupo de Armamento enviará al Grupo de Comunicaciones solicitudes de publicaciones mensualmente sobre campañas de sensibilización sobre las vulnerabilidades en materia de seguridad y cuidado con los elementos de protección asignados.</v>
      </c>
      <c r="E43" s="177"/>
      <c r="F43" s="177"/>
      <c r="G43" s="170" t="s">
        <v>273</v>
      </c>
      <c r="H43" s="170" t="s">
        <v>274</v>
      </c>
      <c r="I43" s="170" t="s">
        <v>275</v>
      </c>
      <c r="J43" s="170" t="s">
        <v>276</v>
      </c>
      <c r="K43" s="170" t="s">
        <v>277</v>
      </c>
      <c r="L43" s="168" t="s">
        <v>278</v>
      </c>
      <c r="M43" s="170" t="s">
        <v>279</v>
      </c>
      <c r="N43" s="170">
        <f t="shared" si="0"/>
        <v>100</v>
      </c>
      <c r="O43" s="171" t="str">
        <f t="shared" si="1"/>
        <v>Fuerte</v>
      </c>
      <c r="P43" s="171" t="s">
        <v>280</v>
      </c>
      <c r="Q43" s="171" t="str">
        <f t="shared" si="2"/>
        <v>Fuerte</v>
      </c>
      <c r="R43" s="172" t="str">
        <f t="shared" si="3"/>
        <v>NO</v>
      </c>
      <c r="S43" s="178"/>
      <c r="T43" s="168">
        <f>'Mapa final'!AE52</f>
        <v>0</v>
      </c>
      <c r="U43" s="174">
        <f>'Mapa final'!AG52</f>
        <v>0</v>
      </c>
      <c r="V43" s="177"/>
      <c r="W43" s="177"/>
      <c r="X43" s="178"/>
      <c r="Y43" s="178"/>
    </row>
    <row r="44" spans="1:25" ht="180" x14ac:dyDescent="0.25">
      <c r="A44" s="285"/>
      <c r="B44" s="285"/>
      <c r="C44" s="285"/>
      <c r="D44" s="168" t="str">
        <f>'Mapa final'!P53</f>
        <v>2. El coordinador del Grupo de Armamento realizará un plan de trabajo firmado y autorizado por la Secretaria General con vigencia de un año, en el cual se desarrollen actividades de mantenimiento, supervisión, vigilancia y revisión de las armas de fuego y elementos de protección asignados a los servidores públicos de la entidad, a fin de verificar su estado de funcionamiento y conservación, así mismo se adelantara en este plan de trabajo una campaña de sensibilización y conocimientos de los procedimientos del GAR y decreto 2535 de 1993, y se deberán firmar planillas de asistencia y compromiso del buen uso y cuidado de los elementos asignados.</v>
      </c>
      <c r="E44" s="177"/>
      <c r="F44" s="177"/>
      <c r="G44" s="170" t="s">
        <v>273</v>
      </c>
      <c r="H44" s="170" t="s">
        <v>274</v>
      </c>
      <c r="I44" s="170" t="s">
        <v>275</v>
      </c>
      <c r="J44" s="170" t="s">
        <v>276</v>
      </c>
      <c r="K44" s="170" t="s">
        <v>277</v>
      </c>
      <c r="L44" s="168" t="s">
        <v>278</v>
      </c>
      <c r="M44" s="170" t="s">
        <v>279</v>
      </c>
      <c r="N44" s="170">
        <f t="shared" si="0"/>
        <v>100</v>
      </c>
      <c r="O44" s="171" t="str">
        <f t="shared" si="1"/>
        <v>Fuerte</v>
      </c>
      <c r="P44" s="171" t="s">
        <v>280</v>
      </c>
      <c r="Q44" s="171" t="str">
        <f t="shared" si="2"/>
        <v>Fuerte</v>
      </c>
      <c r="R44" s="172" t="str">
        <f t="shared" si="3"/>
        <v>NO</v>
      </c>
      <c r="S44" s="178"/>
      <c r="T44" s="168">
        <f>'Mapa final'!AE53</f>
        <v>0</v>
      </c>
      <c r="U44" s="174">
        <f>'Mapa final'!AG53</f>
        <v>0</v>
      </c>
      <c r="V44" s="177"/>
      <c r="W44" s="177"/>
      <c r="X44" s="178"/>
      <c r="Y44" s="178"/>
    </row>
    <row r="45" spans="1:25" ht="90" x14ac:dyDescent="0.25">
      <c r="A45" s="285"/>
      <c r="B45" s="285"/>
      <c r="C45" s="285"/>
      <c r="D45" s="168" t="str">
        <f>'Mapa final'!P54</f>
        <v>3. El coordinador del Grupo de Armamento una vez terminado cada uno de los procedimientos existentes, extrae un listado (bimensual, semestral y anual) con los Servidores Públicos que no cumplen con lo determinado en dichos procedimientos. Este listado se remite al Grupo de Control Interno Disciplinario para los procesos de su competencia.</v>
      </c>
      <c r="E45" s="177"/>
      <c r="F45" s="177"/>
      <c r="G45" s="170" t="s">
        <v>273</v>
      </c>
      <c r="H45" s="170" t="s">
        <v>274</v>
      </c>
      <c r="I45" s="170" t="s">
        <v>275</v>
      </c>
      <c r="J45" s="170" t="s">
        <v>276</v>
      </c>
      <c r="K45" s="170" t="s">
        <v>277</v>
      </c>
      <c r="L45" s="168" t="s">
        <v>278</v>
      </c>
      <c r="M45" s="170" t="s">
        <v>279</v>
      </c>
      <c r="N45" s="170">
        <f t="shared" si="0"/>
        <v>100</v>
      </c>
      <c r="O45" s="171" t="str">
        <f t="shared" si="1"/>
        <v>Fuerte</v>
      </c>
      <c r="P45" s="171" t="s">
        <v>280</v>
      </c>
      <c r="Q45" s="171" t="str">
        <f t="shared" si="2"/>
        <v>Fuerte</v>
      </c>
      <c r="R45" s="172" t="str">
        <f t="shared" si="3"/>
        <v>NO</v>
      </c>
      <c r="S45" s="178"/>
      <c r="T45" s="168">
        <f>'Mapa final'!AE54</f>
        <v>0</v>
      </c>
      <c r="U45" s="174">
        <f>'Mapa final'!AG54</f>
        <v>0</v>
      </c>
      <c r="V45" s="177"/>
      <c r="W45" s="177"/>
      <c r="X45" s="178"/>
      <c r="Y45" s="178"/>
    </row>
    <row r="46" spans="1:25" ht="30" hidden="1" x14ac:dyDescent="0.25">
      <c r="A46" s="285"/>
      <c r="B46" s="285"/>
      <c r="C46" s="285"/>
      <c r="D46" s="168">
        <f>'Mapa final'!P55</f>
        <v>0</v>
      </c>
      <c r="E46" s="177"/>
      <c r="F46" s="177"/>
      <c r="G46" s="170" t="s">
        <v>273</v>
      </c>
      <c r="H46" s="170" t="s">
        <v>274</v>
      </c>
      <c r="I46" s="170" t="s">
        <v>275</v>
      </c>
      <c r="J46" s="170" t="s">
        <v>276</v>
      </c>
      <c r="K46" s="170" t="s">
        <v>277</v>
      </c>
      <c r="L46" s="168" t="s">
        <v>278</v>
      </c>
      <c r="M46" s="170" t="s">
        <v>279</v>
      </c>
      <c r="N46" s="170">
        <f t="shared" si="0"/>
        <v>100</v>
      </c>
      <c r="O46" s="171" t="str">
        <f t="shared" si="1"/>
        <v>Fuerte</v>
      </c>
      <c r="P46" s="171" t="s">
        <v>280</v>
      </c>
      <c r="Q46" s="171" t="str">
        <f t="shared" si="2"/>
        <v>Fuerte</v>
      </c>
      <c r="R46" s="172" t="str">
        <f t="shared" si="3"/>
        <v>NO</v>
      </c>
      <c r="S46" s="178"/>
      <c r="T46" s="168">
        <f>'Mapa final'!AE55</f>
        <v>0</v>
      </c>
      <c r="U46" s="174">
        <f>'Mapa final'!AG55</f>
        <v>0</v>
      </c>
      <c r="V46" s="177"/>
      <c r="W46" s="177"/>
      <c r="X46" s="178"/>
      <c r="Y46" s="178"/>
    </row>
    <row r="47" spans="1:25" ht="30" hidden="1" x14ac:dyDescent="0.25">
      <c r="A47" s="285"/>
      <c r="B47" s="285"/>
      <c r="C47" s="285"/>
      <c r="D47" s="168">
        <f>'Mapa final'!P56</f>
        <v>0</v>
      </c>
      <c r="E47" s="177"/>
      <c r="F47" s="177"/>
      <c r="G47" s="170" t="s">
        <v>273</v>
      </c>
      <c r="H47" s="170" t="s">
        <v>274</v>
      </c>
      <c r="I47" s="170" t="s">
        <v>275</v>
      </c>
      <c r="J47" s="170" t="s">
        <v>276</v>
      </c>
      <c r="K47" s="170" t="s">
        <v>277</v>
      </c>
      <c r="L47" s="168" t="s">
        <v>278</v>
      </c>
      <c r="M47" s="170" t="s">
        <v>279</v>
      </c>
      <c r="N47" s="170">
        <f t="shared" si="0"/>
        <v>100</v>
      </c>
      <c r="O47" s="171" t="str">
        <f t="shared" si="1"/>
        <v>Fuerte</v>
      </c>
      <c r="P47" s="171" t="s">
        <v>280</v>
      </c>
      <c r="Q47" s="171" t="str">
        <f t="shared" si="2"/>
        <v>Fuerte</v>
      </c>
      <c r="R47" s="172" t="str">
        <f t="shared" si="3"/>
        <v>NO</v>
      </c>
      <c r="S47" s="178"/>
      <c r="T47" s="168">
        <f>'Mapa final'!AE56</f>
        <v>0</v>
      </c>
      <c r="U47" s="174">
        <f>'Mapa final'!AG56</f>
        <v>0</v>
      </c>
      <c r="V47" s="177"/>
      <c r="W47" s="177"/>
      <c r="X47" s="178"/>
      <c r="Y47" s="178"/>
    </row>
    <row r="48" spans="1:25" ht="30" hidden="1" x14ac:dyDescent="0.25">
      <c r="A48" s="285"/>
      <c r="B48" s="285"/>
      <c r="C48" s="285"/>
      <c r="D48" s="168">
        <f>'Mapa final'!P57</f>
        <v>0</v>
      </c>
      <c r="E48" s="177"/>
      <c r="F48" s="177"/>
      <c r="G48" s="170" t="s">
        <v>273</v>
      </c>
      <c r="H48" s="170" t="s">
        <v>274</v>
      </c>
      <c r="I48" s="170" t="s">
        <v>275</v>
      </c>
      <c r="J48" s="170" t="s">
        <v>276</v>
      </c>
      <c r="K48" s="170" t="s">
        <v>277</v>
      </c>
      <c r="L48" s="168" t="s">
        <v>278</v>
      </c>
      <c r="M48" s="170" t="s">
        <v>279</v>
      </c>
      <c r="N48" s="170">
        <f t="shared" si="0"/>
        <v>100</v>
      </c>
      <c r="O48" s="171" t="str">
        <f t="shared" si="1"/>
        <v>Fuerte</v>
      </c>
      <c r="P48" s="171" t="s">
        <v>280</v>
      </c>
      <c r="Q48" s="171" t="str">
        <f t="shared" si="2"/>
        <v>Fuerte</v>
      </c>
      <c r="R48" s="172" t="str">
        <f t="shared" si="3"/>
        <v>NO</v>
      </c>
      <c r="S48" s="178"/>
      <c r="T48" s="168">
        <f>'Mapa final'!AE57</f>
        <v>0</v>
      </c>
      <c r="U48" s="174">
        <f>'Mapa final'!AG57</f>
        <v>0</v>
      </c>
      <c r="V48" s="177"/>
      <c r="W48" s="177"/>
      <c r="X48" s="178"/>
      <c r="Y48" s="178"/>
    </row>
    <row r="49" spans="1:25" ht="30" hidden="1" x14ac:dyDescent="0.25">
      <c r="A49" s="285">
        <f>'Mapa final'!E58</f>
        <v>0</v>
      </c>
      <c r="B49" s="285" t="str">
        <f>'Mapa final'!N58</f>
        <v/>
      </c>
      <c r="C49" s="285" t="str">
        <f>'Mapa final'!AC58</f>
        <v/>
      </c>
      <c r="D49" s="168">
        <f>'Mapa final'!P58</f>
        <v>0</v>
      </c>
      <c r="E49" s="177"/>
      <c r="F49" s="177"/>
      <c r="G49" s="170" t="s">
        <v>273</v>
      </c>
      <c r="H49" s="170" t="s">
        <v>274</v>
      </c>
      <c r="I49" s="170" t="s">
        <v>275</v>
      </c>
      <c r="J49" s="170" t="s">
        <v>276</v>
      </c>
      <c r="K49" s="170" t="s">
        <v>277</v>
      </c>
      <c r="L49" s="168" t="s">
        <v>278</v>
      </c>
      <c r="M49" s="170" t="s">
        <v>279</v>
      </c>
      <c r="N49" s="170">
        <f t="shared" si="0"/>
        <v>100</v>
      </c>
      <c r="O49" s="171" t="str">
        <f t="shared" si="1"/>
        <v>Fuerte</v>
      </c>
      <c r="P49" s="171" t="s">
        <v>280</v>
      </c>
      <c r="Q49" s="171" t="str">
        <f t="shared" si="2"/>
        <v>Fuerte</v>
      </c>
      <c r="R49" s="172" t="str">
        <f t="shared" si="3"/>
        <v>NO</v>
      </c>
      <c r="S49" s="178"/>
      <c r="T49" s="168">
        <f>'Mapa final'!AE58</f>
        <v>0</v>
      </c>
      <c r="U49" s="174">
        <f>'Mapa final'!AG58</f>
        <v>0</v>
      </c>
      <c r="V49" s="177"/>
      <c r="W49" s="177"/>
      <c r="X49" s="178"/>
      <c r="Y49" s="178"/>
    </row>
    <row r="50" spans="1:25" ht="30" hidden="1" x14ac:dyDescent="0.25">
      <c r="A50" s="285"/>
      <c r="B50" s="285"/>
      <c r="C50" s="285"/>
      <c r="D50" s="168">
        <f>'Mapa final'!P59</f>
        <v>0</v>
      </c>
      <c r="E50" s="177"/>
      <c r="F50" s="177"/>
      <c r="G50" s="170" t="s">
        <v>273</v>
      </c>
      <c r="H50" s="170" t="s">
        <v>274</v>
      </c>
      <c r="I50" s="170" t="s">
        <v>275</v>
      </c>
      <c r="J50" s="170" t="s">
        <v>276</v>
      </c>
      <c r="K50" s="170" t="s">
        <v>277</v>
      </c>
      <c r="L50" s="168" t="s">
        <v>278</v>
      </c>
      <c r="M50" s="170" t="s">
        <v>279</v>
      </c>
      <c r="N50" s="170">
        <f t="shared" si="0"/>
        <v>100</v>
      </c>
      <c r="O50" s="171" t="str">
        <f t="shared" si="1"/>
        <v>Fuerte</v>
      </c>
      <c r="P50" s="171" t="s">
        <v>280</v>
      </c>
      <c r="Q50" s="171" t="str">
        <f t="shared" si="2"/>
        <v>Fuerte</v>
      </c>
      <c r="R50" s="172" t="str">
        <f t="shared" si="3"/>
        <v>NO</v>
      </c>
      <c r="S50" s="178"/>
      <c r="T50" s="168">
        <f>'Mapa final'!AE59</f>
        <v>0</v>
      </c>
      <c r="U50" s="174">
        <f>'Mapa final'!AG59</f>
        <v>0</v>
      </c>
      <c r="V50" s="177"/>
      <c r="W50" s="177"/>
      <c r="X50" s="178"/>
      <c r="Y50" s="178"/>
    </row>
    <row r="51" spans="1:25" ht="30" hidden="1" x14ac:dyDescent="0.25">
      <c r="A51" s="285"/>
      <c r="B51" s="285"/>
      <c r="C51" s="285"/>
      <c r="D51" s="168">
        <f>'Mapa final'!P60</f>
        <v>0</v>
      </c>
      <c r="E51" s="177"/>
      <c r="F51" s="177"/>
      <c r="G51" s="170" t="s">
        <v>273</v>
      </c>
      <c r="H51" s="170" t="s">
        <v>274</v>
      </c>
      <c r="I51" s="170" t="s">
        <v>275</v>
      </c>
      <c r="J51" s="170" t="s">
        <v>276</v>
      </c>
      <c r="K51" s="170" t="s">
        <v>277</v>
      </c>
      <c r="L51" s="168" t="s">
        <v>278</v>
      </c>
      <c r="M51" s="170" t="s">
        <v>279</v>
      </c>
      <c r="N51" s="170">
        <f t="shared" si="0"/>
        <v>100</v>
      </c>
      <c r="O51" s="171" t="str">
        <f t="shared" si="1"/>
        <v>Fuerte</v>
      </c>
      <c r="P51" s="171" t="s">
        <v>280</v>
      </c>
      <c r="Q51" s="171" t="str">
        <f t="shared" si="2"/>
        <v>Fuerte</v>
      </c>
      <c r="R51" s="172" t="str">
        <f t="shared" si="3"/>
        <v>NO</v>
      </c>
      <c r="S51" s="178"/>
      <c r="T51" s="168">
        <f>'Mapa final'!AE60</f>
        <v>0</v>
      </c>
      <c r="U51" s="174">
        <f>'Mapa final'!AG60</f>
        <v>0</v>
      </c>
      <c r="V51" s="177"/>
      <c r="W51" s="177"/>
      <c r="X51" s="178"/>
      <c r="Y51" s="178"/>
    </row>
    <row r="52" spans="1:25" ht="30" hidden="1" x14ac:dyDescent="0.25">
      <c r="A52" s="285"/>
      <c r="B52" s="285"/>
      <c r="C52" s="285"/>
      <c r="D52" s="168">
        <f>'Mapa final'!P61</f>
        <v>0</v>
      </c>
      <c r="E52" s="177"/>
      <c r="F52" s="177"/>
      <c r="G52" s="170" t="s">
        <v>273</v>
      </c>
      <c r="H52" s="170" t="s">
        <v>274</v>
      </c>
      <c r="I52" s="170" t="s">
        <v>275</v>
      </c>
      <c r="J52" s="170" t="s">
        <v>276</v>
      </c>
      <c r="K52" s="170" t="s">
        <v>277</v>
      </c>
      <c r="L52" s="168" t="s">
        <v>278</v>
      </c>
      <c r="M52" s="170" t="s">
        <v>279</v>
      </c>
      <c r="N52" s="170">
        <f t="shared" si="0"/>
        <v>100</v>
      </c>
      <c r="O52" s="171" t="str">
        <f t="shared" si="1"/>
        <v>Fuerte</v>
      </c>
      <c r="P52" s="171" t="s">
        <v>280</v>
      </c>
      <c r="Q52" s="171" t="str">
        <f t="shared" si="2"/>
        <v>Fuerte</v>
      </c>
      <c r="R52" s="172" t="str">
        <f t="shared" si="3"/>
        <v>NO</v>
      </c>
      <c r="S52" s="178"/>
      <c r="T52" s="168">
        <f>'Mapa final'!AE61</f>
        <v>0</v>
      </c>
      <c r="U52" s="174">
        <f>'Mapa final'!AG61</f>
        <v>0</v>
      </c>
      <c r="V52" s="177"/>
      <c r="W52" s="177"/>
      <c r="X52" s="178"/>
      <c r="Y52" s="178"/>
    </row>
    <row r="53" spans="1:25" ht="30" hidden="1" x14ac:dyDescent="0.25">
      <c r="A53" s="285"/>
      <c r="B53" s="285"/>
      <c r="C53" s="285"/>
      <c r="D53" s="168">
        <f>'Mapa final'!P62</f>
        <v>0</v>
      </c>
      <c r="E53" s="177"/>
      <c r="F53" s="177"/>
      <c r="G53" s="170" t="s">
        <v>273</v>
      </c>
      <c r="H53" s="170" t="s">
        <v>274</v>
      </c>
      <c r="I53" s="170" t="s">
        <v>275</v>
      </c>
      <c r="J53" s="170" t="s">
        <v>276</v>
      </c>
      <c r="K53" s="170" t="s">
        <v>277</v>
      </c>
      <c r="L53" s="168" t="s">
        <v>278</v>
      </c>
      <c r="M53" s="170" t="s">
        <v>279</v>
      </c>
      <c r="N53" s="170">
        <f t="shared" si="0"/>
        <v>100</v>
      </c>
      <c r="O53" s="171" t="str">
        <f t="shared" si="1"/>
        <v>Fuerte</v>
      </c>
      <c r="P53" s="171" t="s">
        <v>280</v>
      </c>
      <c r="Q53" s="171" t="str">
        <f t="shared" si="2"/>
        <v>Fuerte</v>
      </c>
      <c r="R53" s="172" t="str">
        <f t="shared" si="3"/>
        <v>NO</v>
      </c>
      <c r="S53" s="178"/>
      <c r="T53" s="168">
        <f>'Mapa final'!AE62</f>
        <v>0</v>
      </c>
      <c r="U53" s="174">
        <f>'Mapa final'!AG62</f>
        <v>0</v>
      </c>
      <c r="V53" s="177"/>
      <c r="W53" s="177"/>
      <c r="X53" s="178"/>
      <c r="Y53" s="178"/>
    </row>
    <row r="54" spans="1:25" ht="30" hidden="1" x14ac:dyDescent="0.25">
      <c r="A54" s="285"/>
      <c r="B54" s="285"/>
      <c r="C54" s="285"/>
      <c r="D54" s="168">
        <f>'Mapa final'!P63</f>
        <v>0</v>
      </c>
      <c r="E54" s="177"/>
      <c r="F54" s="177"/>
      <c r="G54" s="170" t="s">
        <v>273</v>
      </c>
      <c r="H54" s="170" t="s">
        <v>274</v>
      </c>
      <c r="I54" s="170" t="s">
        <v>275</v>
      </c>
      <c r="J54" s="170" t="s">
        <v>276</v>
      </c>
      <c r="K54" s="170" t="s">
        <v>277</v>
      </c>
      <c r="L54" s="168" t="s">
        <v>278</v>
      </c>
      <c r="M54" s="170" t="s">
        <v>279</v>
      </c>
      <c r="N54" s="170">
        <f t="shared" si="0"/>
        <v>100</v>
      </c>
      <c r="O54" s="171" t="str">
        <f t="shared" si="1"/>
        <v>Fuerte</v>
      </c>
      <c r="P54" s="171" t="s">
        <v>280</v>
      </c>
      <c r="Q54" s="171" t="str">
        <f t="shared" si="2"/>
        <v>Fuerte</v>
      </c>
      <c r="R54" s="172" t="str">
        <f t="shared" si="3"/>
        <v>NO</v>
      </c>
      <c r="S54" s="178"/>
      <c r="T54" s="168">
        <f>'Mapa final'!AE63</f>
        <v>0</v>
      </c>
      <c r="U54" s="174">
        <f>'Mapa final'!AG63</f>
        <v>0</v>
      </c>
      <c r="V54" s="177"/>
      <c r="W54" s="177"/>
      <c r="X54" s="178"/>
      <c r="Y54" s="178"/>
    </row>
    <row r="55" spans="1:25" ht="30" hidden="1" x14ac:dyDescent="0.25">
      <c r="A55" s="285">
        <f>'Mapa final'!E64</f>
        <v>0</v>
      </c>
      <c r="B55" s="285" t="str">
        <f>'Mapa final'!N64</f>
        <v/>
      </c>
      <c r="C55" s="285" t="str">
        <f>'Mapa final'!AC64</f>
        <v/>
      </c>
      <c r="D55" s="168">
        <f>'Mapa final'!P64</f>
        <v>0</v>
      </c>
      <c r="E55" s="177"/>
      <c r="F55" s="177"/>
      <c r="G55" s="170" t="s">
        <v>273</v>
      </c>
      <c r="H55" s="170" t="s">
        <v>274</v>
      </c>
      <c r="I55" s="170" t="s">
        <v>275</v>
      </c>
      <c r="J55" s="170" t="s">
        <v>276</v>
      </c>
      <c r="K55" s="170" t="s">
        <v>277</v>
      </c>
      <c r="L55" s="168" t="s">
        <v>278</v>
      </c>
      <c r="M55" s="170" t="s">
        <v>279</v>
      </c>
      <c r="N55" s="170">
        <f t="shared" si="0"/>
        <v>100</v>
      </c>
      <c r="O55" s="171" t="str">
        <f t="shared" si="1"/>
        <v>Fuerte</v>
      </c>
      <c r="P55" s="171" t="s">
        <v>280</v>
      </c>
      <c r="Q55" s="171" t="str">
        <f t="shared" si="2"/>
        <v>Fuerte</v>
      </c>
      <c r="R55" s="172" t="str">
        <f t="shared" si="3"/>
        <v>NO</v>
      </c>
      <c r="S55" s="178"/>
      <c r="T55" s="168">
        <f>'Mapa final'!AE64</f>
        <v>0</v>
      </c>
      <c r="U55" s="174">
        <f>'Mapa final'!AG64</f>
        <v>0</v>
      </c>
      <c r="V55" s="177"/>
      <c r="W55" s="177"/>
      <c r="X55" s="178"/>
      <c r="Y55" s="178"/>
    </row>
    <row r="56" spans="1:25" ht="30" hidden="1" x14ac:dyDescent="0.25">
      <c r="A56" s="285"/>
      <c r="B56" s="285"/>
      <c r="C56" s="285"/>
      <c r="D56" s="168">
        <f>'Mapa final'!P65</f>
        <v>0</v>
      </c>
      <c r="E56" s="177"/>
      <c r="F56" s="177"/>
      <c r="G56" s="170" t="s">
        <v>273</v>
      </c>
      <c r="H56" s="170" t="s">
        <v>274</v>
      </c>
      <c r="I56" s="170" t="s">
        <v>275</v>
      </c>
      <c r="J56" s="170" t="s">
        <v>276</v>
      </c>
      <c r="K56" s="170" t="s">
        <v>277</v>
      </c>
      <c r="L56" s="168" t="s">
        <v>278</v>
      </c>
      <c r="M56" s="170" t="s">
        <v>279</v>
      </c>
      <c r="N56" s="170">
        <f t="shared" si="0"/>
        <v>100</v>
      </c>
      <c r="O56" s="171" t="str">
        <f t="shared" si="1"/>
        <v>Fuerte</v>
      </c>
      <c r="P56" s="171" t="s">
        <v>280</v>
      </c>
      <c r="Q56" s="171" t="str">
        <f t="shared" si="2"/>
        <v>Fuerte</v>
      </c>
      <c r="R56" s="172" t="str">
        <f t="shared" si="3"/>
        <v>NO</v>
      </c>
      <c r="S56" s="178"/>
      <c r="T56" s="168">
        <f>'Mapa final'!AE65</f>
        <v>0</v>
      </c>
      <c r="U56" s="174">
        <f>'Mapa final'!AG65</f>
        <v>0</v>
      </c>
      <c r="V56" s="177"/>
      <c r="W56" s="177"/>
      <c r="X56" s="178"/>
      <c r="Y56" s="178"/>
    </row>
    <row r="57" spans="1:25" ht="30" hidden="1" x14ac:dyDescent="0.25">
      <c r="A57" s="285"/>
      <c r="B57" s="285"/>
      <c r="C57" s="285"/>
      <c r="D57" s="168">
        <f>'Mapa final'!P66</f>
        <v>0</v>
      </c>
      <c r="E57" s="177"/>
      <c r="F57" s="177"/>
      <c r="G57" s="170" t="s">
        <v>273</v>
      </c>
      <c r="H57" s="170" t="s">
        <v>274</v>
      </c>
      <c r="I57" s="170" t="s">
        <v>275</v>
      </c>
      <c r="J57" s="170" t="s">
        <v>276</v>
      </c>
      <c r="K57" s="170" t="s">
        <v>277</v>
      </c>
      <c r="L57" s="168" t="s">
        <v>278</v>
      </c>
      <c r="M57" s="170" t="s">
        <v>279</v>
      </c>
      <c r="N57" s="170">
        <f t="shared" si="0"/>
        <v>100</v>
      </c>
      <c r="O57" s="171" t="str">
        <f t="shared" si="1"/>
        <v>Fuerte</v>
      </c>
      <c r="P57" s="171" t="s">
        <v>280</v>
      </c>
      <c r="Q57" s="171" t="str">
        <f t="shared" si="2"/>
        <v>Fuerte</v>
      </c>
      <c r="R57" s="172" t="str">
        <f t="shared" si="3"/>
        <v>NO</v>
      </c>
      <c r="S57" s="178"/>
      <c r="T57" s="168">
        <f>'Mapa final'!AE66</f>
        <v>0</v>
      </c>
      <c r="U57" s="174">
        <f>'Mapa final'!AG66</f>
        <v>0</v>
      </c>
      <c r="V57" s="177"/>
      <c r="W57" s="177"/>
      <c r="X57" s="178"/>
      <c r="Y57" s="178"/>
    </row>
    <row r="58" spans="1:25" ht="30" hidden="1" x14ac:dyDescent="0.25">
      <c r="A58" s="285"/>
      <c r="B58" s="285"/>
      <c r="C58" s="285"/>
      <c r="D58" s="168">
        <f>'Mapa final'!P67</f>
        <v>0</v>
      </c>
      <c r="E58" s="177"/>
      <c r="F58" s="177"/>
      <c r="G58" s="170" t="s">
        <v>273</v>
      </c>
      <c r="H58" s="170" t="s">
        <v>274</v>
      </c>
      <c r="I58" s="170" t="s">
        <v>275</v>
      </c>
      <c r="J58" s="170" t="s">
        <v>276</v>
      </c>
      <c r="K58" s="170" t="s">
        <v>277</v>
      </c>
      <c r="L58" s="168" t="s">
        <v>278</v>
      </c>
      <c r="M58" s="170" t="s">
        <v>279</v>
      </c>
      <c r="N58" s="170">
        <f t="shared" si="0"/>
        <v>100</v>
      </c>
      <c r="O58" s="171" t="str">
        <f t="shared" si="1"/>
        <v>Fuerte</v>
      </c>
      <c r="P58" s="171" t="s">
        <v>280</v>
      </c>
      <c r="Q58" s="171" t="str">
        <f t="shared" si="2"/>
        <v>Fuerte</v>
      </c>
      <c r="R58" s="172" t="str">
        <f t="shared" si="3"/>
        <v>NO</v>
      </c>
      <c r="S58" s="178"/>
      <c r="T58" s="168">
        <f>'Mapa final'!AE67</f>
        <v>0</v>
      </c>
      <c r="U58" s="174">
        <f>'Mapa final'!AG67</f>
        <v>0</v>
      </c>
      <c r="V58" s="177"/>
      <c r="W58" s="177"/>
      <c r="X58" s="178"/>
      <c r="Y58" s="178"/>
    </row>
    <row r="59" spans="1:25" ht="30" hidden="1" x14ac:dyDescent="0.25">
      <c r="A59" s="285"/>
      <c r="B59" s="285"/>
      <c r="C59" s="285"/>
      <c r="D59" s="168">
        <f>'Mapa final'!P68</f>
        <v>0</v>
      </c>
      <c r="E59" s="177"/>
      <c r="F59" s="177"/>
      <c r="G59" s="170" t="s">
        <v>273</v>
      </c>
      <c r="H59" s="170" t="s">
        <v>274</v>
      </c>
      <c r="I59" s="170" t="s">
        <v>275</v>
      </c>
      <c r="J59" s="170" t="s">
        <v>276</v>
      </c>
      <c r="K59" s="170" t="s">
        <v>277</v>
      </c>
      <c r="L59" s="168" t="s">
        <v>278</v>
      </c>
      <c r="M59" s="170" t="s">
        <v>279</v>
      </c>
      <c r="N59" s="170">
        <f t="shared" si="0"/>
        <v>100</v>
      </c>
      <c r="O59" s="171" t="str">
        <f t="shared" si="1"/>
        <v>Fuerte</v>
      </c>
      <c r="P59" s="171" t="s">
        <v>280</v>
      </c>
      <c r="Q59" s="171" t="str">
        <f t="shared" si="2"/>
        <v>Fuerte</v>
      </c>
      <c r="R59" s="172" t="str">
        <f t="shared" si="3"/>
        <v>NO</v>
      </c>
      <c r="S59" s="178"/>
      <c r="T59" s="168">
        <f>'Mapa final'!AE68</f>
        <v>0</v>
      </c>
      <c r="U59" s="174">
        <f>'Mapa final'!AG68</f>
        <v>0</v>
      </c>
      <c r="V59" s="177"/>
      <c r="W59" s="177"/>
      <c r="X59" s="178"/>
      <c r="Y59" s="178"/>
    </row>
    <row r="60" spans="1:25" ht="30" hidden="1" x14ac:dyDescent="0.25">
      <c r="A60" s="285"/>
      <c r="B60" s="285"/>
      <c r="C60" s="285"/>
      <c r="D60" s="168">
        <f>'Mapa final'!P69</f>
        <v>0</v>
      </c>
      <c r="E60" s="177"/>
      <c r="F60" s="177"/>
      <c r="G60" s="170" t="s">
        <v>273</v>
      </c>
      <c r="H60" s="170" t="s">
        <v>274</v>
      </c>
      <c r="I60" s="170" t="s">
        <v>275</v>
      </c>
      <c r="J60" s="170" t="s">
        <v>276</v>
      </c>
      <c r="K60" s="170" t="s">
        <v>277</v>
      </c>
      <c r="L60" s="168" t="s">
        <v>278</v>
      </c>
      <c r="M60" s="170" t="s">
        <v>279</v>
      </c>
      <c r="N60" s="170">
        <f t="shared" si="0"/>
        <v>100</v>
      </c>
      <c r="O60" s="171" t="str">
        <f t="shared" si="1"/>
        <v>Fuerte</v>
      </c>
      <c r="P60" s="171" t="s">
        <v>280</v>
      </c>
      <c r="Q60" s="171" t="str">
        <f t="shared" si="2"/>
        <v>Fuerte</v>
      </c>
      <c r="R60" s="172" t="str">
        <f t="shared" si="3"/>
        <v>NO</v>
      </c>
      <c r="S60" s="178"/>
      <c r="T60" s="168">
        <f>'Mapa final'!AE69</f>
        <v>0</v>
      </c>
      <c r="U60" s="174">
        <f>'Mapa final'!AG69</f>
        <v>0</v>
      </c>
      <c r="V60" s="177"/>
      <c r="W60" s="177"/>
      <c r="X60" s="178"/>
      <c r="Y60" s="178"/>
    </row>
  </sheetData>
  <mergeCells count="36">
    <mergeCell ref="X1:Y1"/>
    <mergeCell ref="A1:C1"/>
    <mergeCell ref="E1:F1"/>
    <mergeCell ref="G1:S1"/>
    <mergeCell ref="T1:U1"/>
    <mergeCell ref="V1:W1"/>
    <mergeCell ref="A3:A8"/>
    <mergeCell ref="B3:B8"/>
    <mergeCell ref="C3:C8"/>
    <mergeCell ref="A9:A14"/>
    <mergeCell ref="B9:B14"/>
    <mergeCell ref="C9:C14"/>
    <mergeCell ref="A15:A20"/>
    <mergeCell ref="B15:B20"/>
    <mergeCell ref="C15:C20"/>
    <mergeCell ref="A21:A26"/>
    <mergeCell ref="B21:B26"/>
    <mergeCell ref="C21:C26"/>
    <mergeCell ref="A27:A32"/>
    <mergeCell ref="B27:B32"/>
    <mergeCell ref="C27:C32"/>
    <mergeCell ref="A33:A36"/>
    <mergeCell ref="B33:B36"/>
    <mergeCell ref="C33:C36"/>
    <mergeCell ref="A37:A42"/>
    <mergeCell ref="B37:B42"/>
    <mergeCell ref="C37:C42"/>
    <mergeCell ref="A43:A48"/>
    <mergeCell ref="B43:B48"/>
    <mergeCell ref="C43:C48"/>
    <mergeCell ref="A49:A54"/>
    <mergeCell ref="B49:B54"/>
    <mergeCell ref="C49:C54"/>
    <mergeCell ref="A55:A60"/>
    <mergeCell ref="B55:B60"/>
    <mergeCell ref="C55:C60"/>
  </mergeCells>
  <conditionalFormatting sqref="B3:C60">
    <cfRule type="containsText" dxfId="19" priority="77" operator="containsText" text="Bajo">
      <formula>NOT(ISERROR(SEARCH("Bajo",B3)))</formula>
    </cfRule>
    <cfRule type="containsText" dxfId="18" priority="78" operator="containsText" text="Moderado">
      <formula>NOT(ISERROR(SEARCH("Moderado",B3)))</formula>
    </cfRule>
    <cfRule type="containsText" dxfId="17" priority="79" operator="containsText" text="Alto">
      <formula>NOT(ISERROR(SEARCH("Alto",B3)))</formula>
    </cfRule>
    <cfRule type="containsText" dxfId="16" priority="80" operator="containsText" text="Extremo">
      <formula>NOT(ISERROR(SEARCH("Extremo",B3)))</formula>
    </cfRule>
  </conditionalFormatting>
  <dataValidations count="8">
    <dataValidation type="list" allowBlank="1" showInputMessage="1" showErrorMessage="1" sqref="M3:M60" xr:uid="{64E6D34B-8EFB-4CC1-9192-5BECDA560AD1}">
      <formula1>"Completa, Incompleta, No existe"</formula1>
    </dataValidation>
    <dataValidation type="list" allowBlank="1" showInputMessage="1" showErrorMessage="1" sqref="L3:L60" xr:uid="{82CB8099-A09F-4A63-85BD-0CA00784A98B}">
      <formula1>"Se investigan y resuelven oportunamente, No se investigan y resuelven oportunamente"</formula1>
    </dataValidation>
    <dataValidation type="list" allowBlank="1" showInputMessage="1" showErrorMessage="1" sqref="K3:K60" xr:uid="{352CC990-0BA6-4CBF-9AFD-EE7B6B6E434C}">
      <formula1>"Confiable, No Confiable"</formula1>
    </dataValidation>
    <dataValidation type="list" allowBlank="1" showInputMessage="1" showErrorMessage="1" sqref="J3:J60" xr:uid="{6CDB8685-8D48-4E0F-AC29-C85ADCDDA64F}">
      <formula1>"Prevenir, Detectar, Corregir, No es un control"</formula1>
    </dataValidation>
    <dataValidation type="list" allowBlank="1" showInputMessage="1" showErrorMessage="1" sqref="I3:I60" xr:uid="{8BA9F19D-4718-4D79-9943-685F8259DEC9}">
      <formula1>"Oportuna, Inoportuna"</formula1>
    </dataValidation>
    <dataValidation type="list" allowBlank="1" showInputMessage="1" showErrorMessage="1" sqref="H3:H60" xr:uid="{C62507F8-0AF5-4539-868E-A2A21EFEFAE1}">
      <formula1>"Adecuado, Inadecuado"</formula1>
    </dataValidation>
    <dataValidation type="list" allowBlank="1" showInputMessage="1" showErrorMessage="1" sqref="G3:G60" xr:uid="{DBB187D5-5B27-4E9E-89BA-A36DDB94C1FD}">
      <formula1>"Asignado,No Asignado"</formula1>
    </dataValidation>
    <dataValidation type="list" showInputMessage="1" showErrorMessage="1" sqref="P3:P60" xr:uid="{CFEBDBEA-1460-458A-9D4E-CE4E91299EA5}">
      <formula1>"Fuerte, Moderado, Débil"</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2" zoomScale="46" zoomScaleNormal="46" workbookViewId="0">
      <selection activeCell="AB46" sqref="AB46:AG51"/>
    </sheetView>
  </sheetViews>
  <sheetFormatPr baseColWidth="10" defaultRowHeight="15" x14ac:dyDescent="0.25"/>
  <cols>
    <col min="2" max="39" width="5.7109375" customWidth="1"/>
    <col min="41" max="46" width="5.7109375" customWidth="1"/>
  </cols>
  <sheetData>
    <row r="1" spans="1:99"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row>
    <row r="2" spans="1:99" ht="18" customHeight="1" x14ac:dyDescent="0.25">
      <c r="A2" s="99"/>
      <c r="B2" s="292" t="s">
        <v>161</v>
      </c>
      <c r="C2" s="292"/>
      <c r="D2" s="292"/>
      <c r="E2" s="292"/>
      <c r="F2" s="292"/>
      <c r="G2" s="292"/>
      <c r="H2" s="292"/>
      <c r="I2" s="292"/>
      <c r="J2" s="330" t="s">
        <v>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row>
    <row r="3" spans="1:99" ht="18.75" customHeight="1" x14ac:dyDescent="0.25">
      <c r="A3" s="99"/>
      <c r="B3" s="292"/>
      <c r="C3" s="292"/>
      <c r="D3" s="292"/>
      <c r="E3" s="292"/>
      <c r="F3" s="292"/>
      <c r="G3" s="292"/>
      <c r="H3" s="292"/>
      <c r="I3" s="292"/>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row>
    <row r="4" spans="1:99" ht="15" customHeight="1" x14ac:dyDescent="0.25">
      <c r="A4" s="99"/>
      <c r="B4" s="292"/>
      <c r="C4" s="292"/>
      <c r="D4" s="292"/>
      <c r="E4" s="292"/>
      <c r="F4" s="292"/>
      <c r="G4" s="292"/>
      <c r="H4" s="292"/>
      <c r="I4" s="292"/>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row>
    <row r="5" spans="1:99" ht="15.75" thickBot="1" x14ac:dyDescent="0.3">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row>
    <row r="6" spans="1:99" ht="15" customHeight="1" x14ac:dyDescent="0.25">
      <c r="A6" s="99"/>
      <c r="B6" s="342" t="s">
        <v>4</v>
      </c>
      <c r="C6" s="342"/>
      <c r="D6" s="343"/>
      <c r="E6" s="331" t="s">
        <v>116</v>
      </c>
      <c r="F6" s="332"/>
      <c r="G6" s="332"/>
      <c r="H6" s="332"/>
      <c r="I6" s="333"/>
      <c r="J6" s="327" t="str">
        <f>IF(AND('Mapa final'!$H$10="Muy Alta",'Mapa final'!$L$10="Leve"),CONCATENATE("R",'Mapa final'!$A$10),"")</f>
        <v/>
      </c>
      <c r="K6" s="328"/>
      <c r="L6" s="328" t="str">
        <f>IF(AND('Mapa final'!$H$16="Muy Alta",'Mapa final'!$L$16="Leve"),CONCATENATE("R",'Mapa final'!$A$16),"")</f>
        <v/>
      </c>
      <c r="M6" s="328"/>
      <c r="N6" s="328" t="str">
        <f>IF(AND('Mapa final'!$H$22="Muy Alta",'Mapa final'!$L$22="Leve"),CONCATENATE("R",'Mapa final'!$A$22),"")</f>
        <v/>
      </c>
      <c r="O6" s="329"/>
      <c r="P6" s="327" t="str">
        <f>IF(AND('Mapa final'!$H$10="Muy Alta",'Mapa final'!$L$10="Menor"),CONCATENATE("R",'Mapa final'!$A$10),"")</f>
        <v/>
      </c>
      <c r="Q6" s="328"/>
      <c r="R6" s="328" t="str">
        <f>IF(AND('Mapa final'!$H$16="Muy Alta",'Mapa final'!$L$16="Menor"),CONCATENATE("R",'Mapa final'!$A$16),"")</f>
        <v/>
      </c>
      <c r="S6" s="328"/>
      <c r="T6" s="328" t="str">
        <f>IF(AND('Mapa final'!$H$22="Muy Alta",'Mapa final'!$L$22="Menor"),CONCATENATE("R",'Mapa final'!$A$22),"")</f>
        <v/>
      </c>
      <c r="U6" s="329"/>
      <c r="V6" s="327" t="str">
        <f>IF(AND('Mapa final'!$H$10="Muy Alta",'Mapa final'!$L$10="Moderado"),CONCATENATE("R",'Mapa final'!$A$10),"")</f>
        <v/>
      </c>
      <c r="W6" s="328"/>
      <c r="X6" s="328" t="str">
        <f>IF(AND('Mapa final'!$H$16="Muy Alta",'Mapa final'!$L$16="Moderado"),CONCATENATE("R",'Mapa final'!$A$16),"")</f>
        <v/>
      </c>
      <c r="Y6" s="328"/>
      <c r="Z6" s="328" t="str">
        <f>IF(AND('Mapa final'!$H$22="Muy Alta",'Mapa final'!$L$22="Moderado"),CONCATENATE("R",'Mapa final'!$A$22),"")</f>
        <v/>
      </c>
      <c r="AA6" s="329"/>
      <c r="AB6" s="327" t="str">
        <f>IF(AND('Mapa final'!$H$10="Muy Alta",'Mapa final'!$L$10="Mayor"),CONCATENATE("R",'Mapa final'!$A$10),"")</f>
        <v/>
      </c>
      <c r="AC6" s="328"/>
      <c r="AD6" s="328" t="str">
        <f>IF(AND('Mapa final'!$H$16="Muy Alta",'Mapa final'!$L$16="Mayor"),CONCATENATE("R",'Mapa final'!$A$16),"")</f>
        <v/>
      </c>
      <c r="AE6" s="328"/>
      <c r="AF6" s="328" t="str">
        <f>IF(AND('Mapa final'!$H$22="Muy Alta",'Mapa final'!$L$22="Mayor"),CONCATENATE("R",'Mapa final'!$A$22),"")</f>
        <v/>
      </c>
      <c r="AG6" s="329"/>
      <c r="AH6" s="317" t="str">
        <f>IF(AND('Mapa final'!$H$10="Muy Alta",'Mapa final'!$L$10="Catastrófico"),CONCATENATE("R",'Mapa final'!$A$10),"")</f>
        <v/>
      </c>
      <c r="AI6" s="318"/>
      <c r="AJ6" s="318" t="str">
        <f>IF(AND('Mapa final'!$H$16="Muy Alta",'Mapa final'!$L$16="Catastrófico"),CONCATENATE("R",'Mapa final'!$A$16),"")</f>
        <v/>
      </c>
      <c r="AK6" s="318"/>
      <c r="AL6" s="318" t="str">
        <f>IF(AND('Mapa final'!$H$22="Muy Alta",'Mapa final'!$L$22="Catastrófico"),CONCATENATE("R",'Mapa final'!$A$22),"")</f>
        <v/>
      </c>
      <c r="AM6" s="319"/>
      <c r="AO6" s="344" t="s">
        <v>79</v>
      </c>
      <c r="AP6" s="345"/>
      <c r="AQ6" s="345"/>
      <c r="AR6" s="345"/>
      <c r="AS6" s="345"/>
      <c r="AT6" s="346"/>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row>
    <row r="7" spans="1:99" ht="15" customHeight="1" x14ac:dyDescent="0.25">
      <c r="A7" s="99"/>
      <c r="B7" s="342"/>
      <c r="C7" s="342"/>
      <c r="D7" s="343"/>
      <c r="E7" s="334"/>
      <c r="F7" s="335"/>
      <c r="G7" s="335"/>
      <c r="H7" s="335"/>
      <c r="I7" s="336"/>
      <c r="J7" s="320"/>
      <c r="K7" s="321"/>
      <c r="L7" s="321"/>
      <c r="M7" s="321"/>
      <c r="N7" s="321"/>
      <c r="O7" s="323"/>
      <c r="P7" s="320"/>
      <c r="Q7" s="321"/>
      <c r="R7" s="321"/>
      <c r="S7" s="321"/>
      <c r="T7" s="321"/>
      <c r="U7" s="323"/>
      <c r="V7" s="320"/>
      <c r="W7" s="321"/>
      <c r="X7" s="321"/>
      <c r="Y7" s="321"/>
      <c r="Z7" s="321"/>
      <c r="AA7" s="323"/>
      <c r="AB7" s="320"/>
      <c r="AC7" s="321"/>
      <c r="AD7" s="321"/>
      <c r="AE7" s="321"/>
      <c r="AF7" s="321"/>
      <c r="AG7" s="323"/>
      <c r="AH7" s="311"/>
      <c r="AI7" s="312"/>
      <c r="AJ7" s="312"/>
      <c r="AK7" s="312"/>
      <c r="AL7" s="312"/>
      <c r="AM7" s="313"/>
      <c r="AN7" s="99"/>
      <c r="AO7" s="347"/>
      <c r="AP7" s="348"/>
      <c r="AQ7" s="348"/>
      <c r="AR7" s="348"/>
      <c r="AS7" s="348"/>
      <c r="AT7" s="34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row>
    <row r="8" spans="1:99" ht="15" customHeight="1" x14ac:dyDescent="0.25">
      <c r="A8" s="99"/>
      <c r="B8" s="342"/>
      <c r="C8" s="342"/>
      <c r="D8" s="343"/>
      <c r="E8" s="334"/>
      <c r="F8" s="335"/>
      <c r="G8" s="335"/>
      <c r="H8" s="335"/>
      <c r="I8" s="336"/>
      <c r="J8" s="320" t="str">
        <f>IF(AND('Mapa final'!$H$28="Muy Alta",'Mapa final'!$L$28="Leve"),CONCATENATE("R",'Mapa final'!$A$28),"")</f>
        <v/>
      </c>
      <c r="K8" s="321"/>
      <c r="L8" s="322" t="str">
        <f>IF(AND('Mapa final'!$H$34="Muy Alta",'Mapa final'!$L$34="Leve"),CONCATENATE("R",'Mapa final'!$A$34),"")</f>
        <v/>
      </c>
      <c r="M8" s="322"/>
      <c r="N8" s="322" t="str">
        <f>IF(AND('Mapa final'!$H$40="Muy Alta",'Mapa final'!$L$40="Leve"),CONCATENATE("R",'Mapa final'!$A$40),"")</f>
        <v/>
      </c>
      <c r="O8" s="323"/>
      <c r="P8" s="320" t="str">
        <f>IF(AND('Mapa final'!$H$28="Muy Alta",'Mapa final'!$L$28="Menor"),CONCATENATE("R",'Mapa final'!$A$28),"")</f>
        <v/>
      </c>
      <c r="Q8" s="321"/>
      <c r="R8" s="322" t="str">
        <f>IF(AND('Mapa final'!$H$34="Muy Alta",'Mapa final'!$L$34="Menor"),CONCATENATE("R",'Mapa final'!$A$34),"")</f>
        <v/>
      </c>
      <c r="S8" s="322"/>
      <c r="T8" s="322" t="str">
        <f>IF(AND('Mapa final'!$H$40="Muy Alta",'Mapa final'!$L$40="Menor"),CONCATENATE("R",'Mapa final'!$A$40),"")</f>
        <v/>
      </c>
      <c r="U8" s="323"/>
      <c r="V8" s="320" t="str">
        <f>IF(AND('Mapa final'!$H$28="Muy Alta",'Mapa final'!$L$28="Moderado"),CONCATENATE("R",'Mapa final'!$A$28),"")</f>
        <v/>
      </c>
      <c r="W8" s="321"/>
      <c r="X8" s="322" t="str">
        <f>IF(AND('Mapa final'!$H$34="Muy Alta",'Mapa final'!$L$34="Moderado"),CONCATENATE("R",'Mapa final'!$A$34),"")</f>
        <v>R5</v>
      </c>
      <c r="Y8" s="322"/>
      <c r="Z8" s="322" t="str">
        <f>IF(AND('Mapa final'!$H$40="Muy Alta",'Mapa final'!$L$40="Moderado"),CONCATENATE("R",'Mapa final'!$A$40),"")</f>
        <v/>
      </c>
      <c r="AA8" s="323"/>
      <c r="AB8" s="320" t="str">
        <f>IF(AND('Mapa final'!$H$28="Muy Alta",'Mapa final'!$L$28="Mayor"),CONCATENATE("R",'Mapa final'!$A$28),"")</f>
        <v/>
      </c>
      <c r="AC8" s="321"/>
      <c r="AD8" s="322" t="str">
        <f>IF(AND('Mapa final'!$H$34="Muy Alta",'Mapa final'!$L$34="Mayor"),CONCATENATE("R",'Mapa final'!$A$34),"")</f>
        <v/>
      </c>
      <c r="AE8" s="322"/>
      <c r="AF8" s="322" t="str">
        <f>IF(AND('Mapa final'!$H$40="Muy Alta",'Mapa final'!$L$40="Mayor"),CONCATENATE("R",'Mapa final'!$A$40),"")</f>
        <v/>
      </c>
      <c r="AG8" s="323"/>
      <c r="AH8" s="311" t="str">
        <f>IF(AND('Mapa final'!$H$28="Muy Alta",'Mapa final'!$L$28="Catastrófico"),CONCATENATE("R",'Mapa final'!$A$28),"")</f>
        <v/>
      </c>
      <c r="AI8" s="312"/>
      <c r="AJ8" s="312" t="str">
        <f>IF(AND('Mapa final'!$H$34="Muy Alta",'Mapa final'!$L$34="Catastrófico"),CONCATENATE("R",'Mapa final'!$A$34),"")</f>
        <v/>
      </c>
      <c r="AK8" s="312"/>
      <c r="AL8" s="312" t="str">
        <f>IF(AND('Mapa final'!$H$40="Muy Alta",'Mapa final'!$L$40="Catastrófico"),CONCATENATE("R",'Mapa final'!$A$40),"")</f>
        <v/>
      </c>
      <c r="AM8" s="313"/>
      <c r="AN8" s="99"/>
      <c r="AO8" s="347"/>
      <c r="AP8" s="348"/>
      <c r="AQ8" s="348"/>
      <c r="AR8" s="348"/>
      <c r="AS8" s="348"/>
      <c r="AT8" s="34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row>
    <row r="9" spans="1:99" ht="15" customHeight="1" x14ac:dyDescent="0.25">
      <c r="A9" s="99"/>
      <c r="B9" s="342"/>
      <c r="C9" s="342"/>
      <c r="D9" s="343"/>
      <c r="E9" s="334"/>
      <c r="F9" s="335"/>
      <c r="G9" s="335"/>
      <c r="H9" s="335"/>
      <c r="I9" s="336"/>
      <c r="J9" s="320"/>
      <c r="K9" s="321"/>
      <c r="L9" s="322"/>
      <c r="M9" s="322"/>
      <c r="N9" s="322"/>
      <c r="O9" s="323"/>
      <c r="P9" s="320"/>
      <c r="Q9" s="321"/>
      <c r="R9" s="322"/>
      <c r="S9" s="322"/>
      <c r="T9" s="322"/>
      <c r="U9" s="323"/>
      <c r="V9" s="320"/>
      <c r="W9" s="321"/>
      <c r="X9" s="322"/>
      <c r="Y9" s="322"/>
      <c r="Z9" s="322"/>
      <c r="AA9" s="323"/>
      <c r="AB9" s="320"/>
      <c r="AC9" s="321"/>
      <c r="AD9" s="322"/>
      <c r="AE9" s="322"/>
      <c r="AF9" s="322"/>
      <c r="AG9" s="323"/>
      <c r="AH9" s="311"/>
      <c r="AI9" s="312"/>
      <c r="AJ9" s="312"/>
      <c r="AK9" s="312"/>
      <c r="AL9" s="312"/>
      <c r="AM9" s="313"/>
      <c r="AN9" s="99"/>
      <c r="AO9" s="347"/>
      <c r="AP9" s="348"/>
      <c r="AQ9" s="348"/>
      <c r="AR9" s="348"/>
      <c r="AS9" s="348"/>
      <c r="AT9" s="34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row>
    <row r="10" spans="1:99" ht="15" customHeight="1" x14ac:dyDescent="0.25">
      <c r="A10" s="99"/>
      <c r="B10" s="342"/>
      <c r="C10" s="342"/>
      <c r="D10" s="343"/>
      <c r="E10" s="334"/>
      <c r="F10" s="335"/>
      <c r="G10" s="335"/>
      <c r="H10" s="335"/>
      <c r="I10" s="336"/>
      <c r="J10" s="320" t="str">
        <f>IF(AND('Mapa final'!$H$46="Muy Alta",'Mapa final'!$L$46="Leve"),CONCATENATE("R",'Mapa final'!$A$46),"")</f>
        <v/>
      </c>
      <c r="K10" s="321"/>
      <c r="L10" s="322" t="str">
        <f>IF(AND('Mapa final'!$H$52="Muy Alta",'Mapa final'!$L$52="Leve"),CONCATENATE("R",'Mapa final'!$A$52),"")</f>
        <v/>
      </c>
      <c r="M10" s="322"/>
      <c r="N10" s="322" t="str">
        <f>IF(AND('Mapa final'!$H$58="Muy Alta",'Mapa final'!$L$58="Leve"),CONCATENATE("R",'Mapa final'!$A$58),"")</f>
        <v/>
      </c>
      <c r="O10" s="323"/>
      <c r="P10" s="320" t="str">
        <f>IF(AND('Mapa final'!$H$46="Muy Alta",'Mapa final'!$L$46="Menor"),CONCATENATE("R",'Mapa final'!$A$46),"")</f>
        <v/>
      </c>
      <c r="Q10" s="321"/>
      <c r="R10" s="322" t="str">
        <f>IF(AND('Mapa final'!$H$52="Muy Alta",'Mapa final'!$L$52="Menor"),CONCATENATE("R",'Mapa final'!$A$52),"")</f>
        <v/>
      </c>
      <c r="S10" s="322"/>
      <c r="T10" s="322" t="str">
        <f>IF(AND('Mapa final'!$H$58="Muy Alta",'Mapa final'!$L$58="Menor"),CONCATENATE("R",'Mapa final'!$A$58),"")</f>
        <v/>
      </c>
      <c r="U10" s="323"/>
      <c r="V10" s="320" t="str">
        <f>IF(AND('Mapa final'!$H$46="Muy Alta",'Mapa final'!$L$46="Moderado"),CONCATENATE("R",'Mapa final'!$A$46),"")</f>
        <v/>
      </c>
      <c r="W10" s="321"/>
      <c r="X10" s="322" t="str">
        <f>IF(AND('Mapa final'!$H$52="Muy Alta",'Mapa final'!$L$52="Moderado"),CONCATENATE("R",'Mapa final'!$A$52),"")</f>
        <v/>
      </c>
      <c r="Y10" s="322"/>
      <c r="Z10" s="322" t="str">
        <f>IF(AND('Mapa final'!$H$58="Muy Alta",'Mapa final'!$L$58="Moderado"),CONCATENATE("R",'Mapa final'!$A$58),"")</f>
        <v/>
      </c>
      <c r="AA10" s="323"/>
      <c r="AB10" s="320" t="str">
        <f>IF(AND('Mapa final'!$H$46="Muy Alta",'Mapa final'!$L$46="Mayor"),CONCATENATE("R",'Mapa final'!$A$46),"")</f>
        <v/>
      </c>
      <c r="AC10" s="321"/>
      <c r="AD10" s="322" t="str">
        <f>IF(AND('Mapa final'!$H$52="Muy Alta",'Mapa final'!$L$52="Mayor"),CONCATENATE("R",'Mapa final'!$A$52),"")</f>
        <v/>
      </c>
      <c r="AE10" s="322"/>
      <c r="AF10" s="322" t="str">
        <f>IF(AND('Mapa final'!$H$58="Muy Alta",'Mapa final'!$L$58="Mayor"),CONCATENATE("R",'Mapa final'!$A$58),"")</f>
        <v/>
      </c>
      <c r="AG10" s="323"/>
      <c r="AH10" s="311" t="str">
        <f>IF(AND('Mapa final'!$H$46="Muy Alta",'Mapa final'!$L$46="Catastrófico"),CONCATENATE("R",'Mapa final'!$A$46),"")</f>
        <v/>
      </c>
      <c r="AI10" s="312"/>
      <c r="AJ10" s="312" t="str">
        <f>IF(AND('Mapa final'!$H$52="Muy Alta",'Mapa final'!$L$52="Catastrófico"),CONCATENATE("R",'Mapa final'!$A$52),"")</f>
        <v/>
      </c>
      <c r="AK10" s="312"/>
      <c r="AL10" s="312" t="str">
        <f>IF(AND('Mapa final'!$H$58="Muy Alta",'Mapa final'!$L$58="Catastrófico"),CONCATENATE("R",'Mapa final'!$A$58),"")</f>
        <v/>
      </c>
      <c r="AM10" s="313"/>
      <c r="AN10" s="99"/>
      <c r="AO10" s="347"/>
      <c r="AP10" s="348"/>
      <c r="AQ10" s="348"/>
      <c r="AR10" s="348"/>
      <c r="AS10" s="348"/>
      <c r="AT10" s="34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row>
    <row r="11" spans="1:99" ht="15" customHeight="1" x14ac:dyDescent="0.25">
      <c r="A11" s="99"/>
      <c r="B11" s="342"/>
      <c r="C11" s="342"/>
      <c r="D11" s="343"/>
      <c r="E11" s="334"/>
      <c r="F11" s="335"/>
      <c r="G11" s="335"/>
      <c r="H11" s="335"/>
      <c r="I11" s="336"/>
      <c r="J11" s="320"/>
      <c r="K11" s="321"/>
      <c r="L11" s="322"/>
      <c r="M11" s="322"/>
      <c r="N11" s="322"/>
      <c r="O11" s="323"/>
      <c r="P11" s="320"/>
      <c r="Q11" s="321"/>
      <c r="R11" s="322"/>
      <c r="S11" s="322"/>
      <c r="T11" s="322"/>
      <c r="U11" s="323"/>
      <c r="V11" s="320"/>
      <c r="W11" s="321"/>
      <c r="X11" s="322"/>
      <c r="Y11" s="322"/>
      <c r="Z11" s="322"/>
      <c r="AA11" s="323"/>
      <c r="AB11" s="320"/>
      <c r="AC11" s="321"/>
      <c r="AD11" s="322"/>
      <c r="AE11" s="322"/>
      <c r="AF11" s="322"/>
      <c r="AG11" s="323"/>
      <c r="AH11" s="311"/>
      <c r="AI11" s="312"/>
      <c r="AJ11" s="312"/>
      <c r="AK11" s="312"/>
      <c r="AL11" s="312"/>
      <c r="AM11" s="313"/>
      <c r="AN11" s="99"/>
      <c r="AO11" s="347"/>
      <c r="AP11" s="348"/>
      <c r="AQ11" s="348"/>
      <c r="AR11" s="348"/>
      <c r="AS11" s="348"/>
      <c r="AT11" s="34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row>
    <row r="12" spans="1:99" ht="15" customHeight="1" x14ac:dyDescent="0.25">
      <c r="A12" s="99"/>
      <c r="B12" s="342"/>
      <c r="C12" s="342"/>
      <c r="D12" s="343"/>
      <c r="E12" s="334"/>
      <c r="F12" s="335"/>
      <c r="G12" s="335"/>
      <c r="H12" s="335"/>
      <c r="I12" s="336"/>
      <c r="J12" s="320" t="str">
        <f>IF(AND('Mapa final'!$H$64="Muy Alta",'Mapa final'!$L$64="Leve"),CONCATENATE("R",'Mapa final'!$A$64),"")</f>
        <v/>
      </c>
      <c r="K12" s="321"/>
      <c r="L12" s="322" t="str">
        <f>IF(AND('Mapa final'!$H$70="Muy Alta",'Mapa final'!$L$70="Leve"),CONCATENATE("R",'Mapa final'!$A$70),"")</f>
        <v/>
      </c>
      <c r="M12" s="322"/>
      <c r="N12" s="322" t="str">
        <f>IF(AND('Mapa final'!$H$76="Muy Alta",'Mapa final'!$L$76="Leve"),CONCATENATE("R",'Mapa final'!$A$76),"")</f>
        <v/>
      </c>
      <c r="O12" s="323"/>
      <c r="P12" s="320" t="str">
        <f>IF(AND('Mapa final'!$H$64="Muy Alta",'Mapa final'!$L$64="Menor"),CONCATENATE("R",'Mapa final'!$A$64),"")</f>
        <v/>
      </c>
      <c r="Q12" s="321"/>
      <c r="R12" s="322" t="str">
        <f>IF(AND('Mapa final'!$H$70="Muy Alta",'Mapa final'!$L$70="Menor"),CONCATENATE("R",'Mapa final'!$A$70),"")</f>
        <v/>
      </c>
      <c r="S12" s="322"/>
      <c r="T12" s="322" t="str">
        <f>IF(AND('Mapa final'!$H$76="Muy Alta",'Mapa final'!$L$76="Menor"),CONCATENATE("R",'Mapa final'!$A$76),"")</f>
        <v/>
      </c>
      <c r="U12" s="323"/>
      <c r="V12" s="320" t="str">
        <f>IF(AND('Mapa final'!$H$64="Muy Alta",'Mapa final'!$L$64="Moderado"),CONCATENATE("R",'Mapa final'!$A$64),"")</f>
        <v/>
      </c>
      <c r="W12" s="321"/>
      <c r="X12" s="322" t="str">
        <f>IF(AND('Mapa final'!$H$70="Muy Alta",'Mapa final'!$L$70="Moderado"),CONCATENATE("R",'Mapa final'!$A$70),"")</f>
        <v/>
      </c>
      <c r="Y12" s="322"/>
      <c r="Z12" s="322" t="str">
        <f>IF(AND('Mapa final'!$H$76="Muy Alta",'Mapa final'!$L$76="Moderado"),CONCATENATE("R",'Mapa final'!$A$76),"")</f>
        <v/>
      </c>
      <c r="AA12" s="323"/>
      <c r="AB12" s="320" t="str">
        <f>IF(AND('Mapa final'!$H$64="Muy Alta",'Mapa final'!$L$64="Mayor"),CONCATENATE("R",'Mapa final'!$A$64),"")</f>
        <v/>
      </c>
      <c r="AC12" s="321"/>
      <c r="AD12" s="322" t="str">
        <f>IF(AND('Mapa final'!$H$70="Muy Alta",'Mapa final'!$L$70="Mayor"),CONCATENATE("R",'Mapa final'!$A$70),"")</f>
        <v/>
      </c>
      <c r="AE12" s="322"/>
      <c r="AF12" s="322" t="str">
        <f>IF(AND('Mapa final'!$H$76="Muy Alta",'Mapa final'!$L$76="Mayor"),CONCATENATE("R",'Mapa final'!$A$76),"")</f>
        <v/>
      </c>
      <c r="AG12" s="323"/>
      <c r="AH12" s="311" t="str">
        <f>IF(AND('Mapa final'!$H$64="Muy Alta",'Mapa final'!$L$64="Catastrófico"),CONCATENATE("R",'Mapa final'!$A$64),"")</f>
        <v/>
      </c>
      <c r="AI12" s="312"/>
      <c r="AJ12" s="312" t="str">
        <f>IF(AND('Mapa final'!$H$70="Muy Alta",'Mapa final'!$L$70="Catastrófico"),CONCATENATE("R",'Mapa final'!$A$70),"")</f>
        <v/>
      </c>
      <c r="AK12" s="312"/>
      <c r="AL12" s="312" t="str">
        <f>IF(AND('Mapa final'!$H$76="Muy Alta",'Mapa final'!$L$76="Catastrófico"),CONCATENATE("R",'Mapa final'!$A$76),"")</f>
        <v/>
      </c>
      <c r="AM12" s="313"/>
      <c r="AN12" s="99"/>
      <c r="AO12" s="347"/>
      <c r="AP12" s="348"/>
      <c r="AQ12" s="348"/>
      <c r="AR12" s="348"/>
      <c r="AS12" s="348"/>
      <c r="AT12" s="34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row>
    <row r="13" spans="1:99" ht="15.75" customHeight="1" thickBot="1" x14ac:dyDescent="0.3">
      <c r="A13" s="99"/>
      <c r="B13" s="342"/>
      <c r="C13" s="342"/>
      <c r="D13" s="343"/>
      <c r="E13" s="337"/>
      <c r="F13" s="338"/>
      <c r="G13" s="338"/>
      <c r="H13" s="338"/>
      <c r="I13" s="339"/>
      <c r="J13" s="320"/>
      <c r="K13" s="321"/>
      <c r="L13" s="321"/>
      <c r="M13" s="321"/>
      <c r="N13" s="321"/>
      <c r="O13" s="323"/>
      <c r="P13" s="320"/>
      <c r="Q13" s="321"/>
      <c r="R13" s="321"/>
      <c r="S13" s="321"/>
      <c r="T13" s="321"/>
      <c r="U13" s="323"/>
      <c r="V13" s="320"/>
      <c r="W13" s="321"/>
      <c r="X13" s="321"/>
      <c r="Y13" s="321"/>
      <c r="Z13" s="321"/>
      <c r="AA13" s="323"/>
      <c r="AB13" s="320"/>
      <c r="AC13" s="321"/>
      <c r="AD13" s="321"/>
      <c r="AE13" s="321"/>
      <c r="AF13" s="321"/>
      <c r="AG13" s="323"/>
      <c r="AH13" s="314"/>
      <c r="AI13" s="315"/>
      <c r="AJ13" s="315"/>
      <c r="AK13" s="315"/>
      <c r="AL13" s="315"/>
      <c r="AM13" s="316"/>
      <c r="AN13" s="99"/>
      <c r="AO13" s="350"/>
      <c r="AP13" s="351"/>
      <c r="AQ13" s="351"/>
      <c r="AR13" s="351"/>
      <c r="AS13" s="351"/>
      <c r="AT13" s="352"/>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row>
    <row r="14" spans="1:99" ht="15" customHeight="1" x14ac:dyDescent="0.25">
      <c r="A14" s="99"/>
      <c r="B14" s="342"/>
      <c r="C14" s="342"/>
      <c r="D14" s="343"/>
      <c r="E14" s="331" t="s">
        <v>115</v>
      </c>
      <c r="F14" s="332"/>
      <c r="G14" s="332"/>
      <c r="H14" s="332"/>
      <c r="I14" s="332"/>
      <c r="J14" s="308" t="str">
        <f>IF(AND('Mapa final'!$H$10="Alta",'Mapa final'!$L$10="Leve"),CONCATENATE("R",'Mapa final'!$A$10),"")</f>
        <v/>
      </c>
      <c r="K14" s="309"/>
      <c r="L14" s="309" t="str">
        <f>IF(AND('Mapa final'!$H$16="Alta",'Mapa final'!$L$16="Leve"),CONCATENATE("R",'Mapa final'!$A$16),"")</f>
        <v/>
      </c>
      <c r="M14" s="309"/>
      <c r="N14" s="309" t="str">
        <f>IF(AND('Mapa final'!$H$22="Alta",'Mapa final'!$L$22="Leve"),CONCATENATE("R",'Mapa final'!$A$22),"")</f>
        <v/>
      </c>
      <c r="O14" s="310"/>
      <c r="P14" s="308" t="str">
        <f>IF(AND('Mapa final'!$H$10="Alta",'Mapa final'!$L$10="Menor"),CONCATENATE("R",'Mapa final'!$A$10),"")</f>
        <v/>
      </c>
      <c r="Q14" s="309"/>
      <c r="R14" s="309" t="str">
        <f>IF(AND('Mapa final'!$H$16="Alta",'Mapa final'!$L$16="Menor"),CONCATENATE("R",'Mapa final'!$A$16),"")</f>
        <v/>
      </c>
      <c r="S14" s="309"/>
      <c r="T14" s="309" t="str">
        <f>IF(AND('Mapa final'!$H$22="Alta",'Mapa final'!$L$22="Menor"),CONCATENATE("R",'Mapa final'!$A$22),"")</f>
        <v/>
      </c>
      <c r="U14" s="310"/>
      <c r="V14" s="327" t="str">
        <f>IF(AND('Mapa final'!$H$10="Alta",'Mapa final'!$L$10="Moderado"),CONCATENATE("R",'Mapa final'!$A$10),"")</f>
        <v/>
      </c>
      <c r="W14" s="328"/>
      <c r="X14" s="328" t="str">
        <f>IF(AND('Mapa final'!$H$16="Alta",'Mapa final'!$L$16="Moderado"),CONCATENATE("R",'Mapa final'!$A$16),"")</f>
        <v/>
      </c>
      <c r="Y14" s="328"/>
      <c r="Z14" s="328" t="str">
        <f>IF(AND('Mapa final'!$H$22="Alta",'Mapa final'!$L$22="Moderado"),CONCATENATE("R",'Mapa final'!$A$22),"")</f>
        <v/>
      </c>
      <c r="AA14" s="329"/>
      <c r="AB14" s="327" t="str">
        <f>IF(AND('Mapa final'!$H$10="Alta",'Mapa final'!$L$10="Mayor"),CONCATENATE("R",'Mapa final'!$A$10),"")</f>
        <v/>
      </c>
      <c r="AC14" s="328"/>
      <c r="AD14" s="328" t="str">
        <f>IF(AND('Mapa final'!$H$16="Alta",'Mapa final'!$L$16="Mayor"),CONCATENATE("R",'Mapa final'!$A$16),"")</f>
        <v/>
      </c>
      <c r="AE14" s="328"/>
      <c r="AF14" s="328" t="str">
        <f>IF(AND('Mapa final'!$H$22="Alta",'Mapa final'!$L$22="Mayor"),CONCATENATE("R",'Mapa final'!$A$22),"")</f>
        <v/>
      </c>
      <c r="AG14" s="329"/>
      <c r="AH14" s="317" t="str">
        <f>IF(AND('Mapa final'!$H$10="Alta",'Mapa final'!$L$10="Catastrófico"),CONCATENATE("R",'Mapa final'!$A$10),"")</f>
        <v/>
      </c>
      <c r="AI14" s="318"/>
      <c r="AJ14" s="318" t="str">
        <f>IF(AND('Mapa final'!$H$16="Alta",'Mapa final'!$L$16="Catastrófico"),CONCATENATE("R",'Mapa final'!$A$16),"")</f>
        <v/>
      </c>
      <c r="AK14" s="318"/>
      <c r="AL14" s="318" t="str">
        <f>IF(AND('Mapa final'!$H$22="Alta",'Mapa final'!$L$22="Catastrófico"),CONCATENATE("R",'Mapa final'!$A$22),"")</f>
        <v/>
      </c>
      <c r="AM14" s="319"/>
      <c r="AN14" s="99"/>
      <c r="AO14" s="353" t="s">
        <v>80</v>
      </c>
      <c r="AP14" s="354"/>
      <c r="AQ14" s="354"/>
      <c r="AR14" s="354"/>
      <c r="AS14" s="354"/>
      <c r="AT14" s="355"/>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row>
    <row r="15" spans="1:99" ht="15" customHeight="1" x14ac:dyDescent="0.25">
      <c r="A15" s="99"/>
      <c r="B15" s="342"/>
      <c r="C15" s="342"/>
      <c r="D15" s="343"/>
      <c r="E15" s="334"/>
      <c r="F15" s="335"/>
      <c r="G15" s="335"/>
      <c r="H15" s="335"/>
      <c r="I15" s="340"/>
      <c r="J15" s="302"/>
      <c r="K15" s="303"/>
      <c r="L15" s="303"/>
      <c r="M15" s="303"/>
      <c r="N15" s="303"/>
      <c r="O15" s="304"/>
      <c r="P15" s="302"/>
      <c r="Q15" s="303"/>
      <c r="R15" s="303"/>
      <c r="S15" s="303"/>
      <c r="T15" s="303"/>
      <c r="U15" s="304"/>
      <c r="V15" s="320"/>
      <c r="W15" s="321"/>
      <c r="X15" s="321"/>
      <c r="Y15" s="321"/>
      <c r="Z15" s="321"/>
      <c r="AA15" s="323"/>
      <c r="AB15" s="320"/>
      <c r="AC15" s="321"/>
      <c r="AD15" s="321"/>
      <c r="AE15" s="321"/>
      <c r="AF15" s="321"/>
      <c r="AG15" s="323"/>
      <c r="AH15" s="311"/>
      <c r="AI15" s="312"/>
      <c r="AJ15" s="312"/>
      <c r="AK15" s="312"/>
      <c r="AL15" s="312"/>
      <c r="AM15" s="313"/>
      <c r="AN15" s="99"/>
      <c r="AO15" s="356"/>
      <c r="AP15" s="357"/>
      <c r="AQ15" s="357"/>
      <c r="AR15" s="357"/>
      <c r="AS15" s="357"/>
      <c r="AT15" s="358"/>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row>
    <row r="16" spans="1:99" ht="15" customHeight="1" x14ac:dyDescent="0.25">
      <c r="A16" s="99"/>
      <c r="B16" s="342"/>
      <c r="C16" s="342"/>
      <c r="D16" s="343"/>
      <c r="E16" s="334"/>
      <c r="F16" s="335"/>
      <c r="G16" s="335"/>
      <c r="H16" s="335"/>
      <c r="I16" s="340"/>
      <c r="J16" s="302" t="str">
        <f>IF(AND('Mapa final'!$H$28="Alta",'Mapa final'!$L$28="Leve"),CONCATENATE("R",'Mapa final'!$A$28),"")</f>
        <v/>
      </c>
      <c r="K16" s="303"/>
      <c r="L16" s="303" t="str">
        <f>IF(AND('Mapa final'!$H$34="Alta",'Mapa final'!$L$34="Leve"),CONCATENATE("R",'Mapa final'!$A$34),"")</f>
        <v/>
      </c>
      <c r="M16" s="303"/>
      <c r="N16" s="303" t="str">
        <f>IF(AND('Mapa final'!$H$40="Alta",'Mapa final'!$L$40="Leve"),CONCATENATE("R",'Mapa final'!$A$40),"")</f>
        <v/>
      </c>
      <c r="O16" s="304"/>
      <c r="P16" s="302" t="str">
        <f>IF(AND('Mapa final'!$H$28="Alta",'Mapa final'!$L$28="Menor"),CONCATENATE("R",'Mapa final'!$A$28),"")</f>
        <v/>
      </c>
      <c r="Q16" s="303"/>
      <c r="R16" s="303" t="str">
        <f>IF(AND('Mapa final'!$H$34="Alta",'Mapa final'!$L$34="Menor"),CONCATENATE("R",'Mapa final'!$A$34),"")</f>
        <v/>
      </c>
      <c r="S16" s="303"/>
      <c r="T16" s="303" t="str">
        <f>IF(AND('Mapa final'!$H$40="Alta",'Mapa final'!$L$40="Menor"),CONCATENATE("R",'Mapa final'!$A$40),"")</f>
        <v/>
      </c>
      <c r="U16" s="304"/>
      <c r="V16" s="320" t="str">
        <f>IF(AND('Mapa final'!$H$28="Alta",'Mapa final'!$L$28="Moderado"),CONCATENATE("R",'Mapa final'!$A$28),"")</f>
        <v/>
      </c>
      <c r="W16" s="321"/>
      <c r="X16" s="322" t="str">
        <f>IF(AND('Mapa final'!$H$34="Alta",'Mapa final'!$L$34="Moderado"),CONCATENATE("R",'Mapa final'!$A$34),"")</f>
        <v/>
      </c>
      <c r="Y16" s="322"/>
      <c r="Z16" s="322" t="str">
        <f>IF(AND('Mapa final'!$H$40="Alta",'Mapa final'!$L$40="Moderado"),CONCATENATE("R",'Mapa final'!$A$40),"")</f>
        <v/>
      </c>
      <c r="AA16" s="323"/>
      <c r="AB16" s="320" t="str">
        <f>IF(AND('Mapa final'!$H$28="Alta",'Mapa final'!$L$28="Mayor"),CONCATENATE("R",'Mapa final'!$A$28),"")</f>
        <v/>
      </c>
      <c r="AC16" s="321"/>
      <c r="AD16" s="322" t="str">
        <f>IF(AND('Mapa final'!$H$34="Alta",'Mapa final'!$L$34="Mayor"),CONCATENATE("R",'Mapa final'!$A$34),"")</f>
        <v/>
      </c>
      <c r="AE16" s="322"/>
      <c r="AF16" s="322" t="str">
        <f>IF(AND('Mapa final'!$H$40="Alta",'Mapa final'!$L$40="Mayor"),CONCATENATE("R",'Mapa final'!$A$40),"")</f>
        <v/>
      </c>
      <c r="AG16" s="323"/>
      <c r="AH16" s="311" t="str">
        <f>IF(AND('Mapa final'!$H$28="Alta",'Mapa final'!$L$28="Catastrófico"),CONCATENATE("R",'Mapa final'!$A$28),"")</f>
        <v/>
      </c>
      <c r="AI16" s="312"/>
      <c r="AJ16" s="312" t="str">
        <f>IF(AND('Mapa final'!$H$34="Alta",'Mapa final'!$L$34="Catastrófico"),CONCATENATE("R",'Mapa final'!$A$34),"")</f>
        <v/>
      </c>
      <c r="AK16" s="312"/>
      <c r="AL16" s="312" t="str">
        <f>IF(AND('Mapa final'!$H$40="Alta",'Mapa final'!$L$40="Catastrófico"),CONCATENATE("R",'Mapa final'!$A$40),"")</f>
        <v/>
      </c>
      <c r="AM16" s="313"/>
      <c r="AN16" s="99"/>
      <c r="AO16" s="356"/>
      <c r="AP16" s="357"/>
      <c r="AQ16" s="357"/>
      <c r="AR16" s="357"/>
      <c r="AS16" s="357"/>
      <c r="AT16" s="358"/>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row>
    <row r="17" spans="1:80" ht="15" customHeight="1" x14ac:dyDescent="0.25">
      <c r="A17" s="99"/>
      <c r="B17" s="342"/>
      <c r="C17" s="342"/>
      <c r="D17" s="343"/>
      <c r="E17" s="334"/>
      <c r="F17" s="335"/>
      <c r="G17" s="335"/>
      <c r="H17" s="335"/>
      <c r="I17" s="340"/>
      <c r="J17" s="302"/>
      <c r="K17" s="303"/>
      <c r="L17" s="303"/>
      <c r="M17" s="303"/>
      <c r="N17" s="303"/>
      <c r="O17" s="304"/>
      <c r="P17" s="302"/>
      <c r="Q17" s="303"/>
      <c r="R17" s="303"/>
      <c r="S17" s="303"/>
      <c r="T17" s="303"/>
      <c r="U17" s="304"/>
      <c r="V17" s="320"/>
      <c r="W17" s="321"/>
      <c r="X17" s="322"/>
      <c r="Y17" s="322"/>
      <c r="Z17" s="322"/>
      <c r="AA17" s="323"/>
      <c r="AB17" s="320"/>
      <c r="AC17" s="321"/>
      <c r="AD17" s="322"/>
      <c r="AE17" s="322"/>
      <c r="AF17" s="322"/>
      <c r="AG17" s="323"/>
      <c r="AH17" s="311"/>
      <c r="AI17" s="312"/>
      <c r="AJ17" s="312"/>
      <c r="AK17" s="312"/>
      <c r="AL17" s="312"/>
      <c r="AM17" s="313"/>
      <c r="AN17" s="99"/>
      <c r="AO17" s="356"/>
      <c r="AP17" s="357"/>
      <c r="AQ17" s="357"/>
      <c r="AR17" s="357"/>
      <c r="AS17" s="357"/>
      <c r="AT17" s="358"/>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row>
    <row r="18" spans="1:80" ht="15" customHeight="1" x14ac:dyDescent="0.25">
      <c r="A18" s="99"/>
      <c r="B18" s="342"/>
      <c r="C18" s="342"/>
      <c r="D18" s="343"/>
      <c r="E18" s="334"/>
      <c r="F18" s="335"/>
      <c r="G18" s="335"/>
      <c r="H18" s="335"/>
      <c r="I18" s="340"/>
      <c r="J18" s="302" t="str">
        <f>IF(AND('Mapa final'!$H$46="Alta",'Mapa final'!$L$46="Leve"),CONCATENATE("R",'Mapa final'!$A$46),"")</f>
        <v/>
      </c>
      <c r="K18" s="303"/>
      <c r="L18" s="303" t="str">
        <f>IF(AND('Mapa final'!$H$52="Alta",'Mapa final'!$L$52="Leve"),CONCATENATE("R",'Mapa final'!$A$52),"")</f>
        <v/>
      </c>
      <c r="M18" s="303"/>
      <c r="N18" s="303" t="str">
        <f>IF(AND('Mapa final'!$H$58="Alta",'Mapa final'!$L$58="Leve"),CONCATENATE("R",'Mapa final'!$A$58),"")</f>
        <v/>
      </c>
      <c r="O18" s="304"/>
      <c r="P18" s="302" t="str">
        <f>IF(AND('Mapa final'!$H$46="Alta",'Mapa final'!$L$46="Menor"),CONCATENATE("R",'Mapa final'!$A$46),"")</f>
        <v/>
      </c>
      <c r="Q18" s="303"/>
      <c r="R18" s="303" t="str">
        <f>IF(AND('Mapa final'!$H$52="Alta",'Mapa final'!$L$52="Menor"),CONCATENATE("R",'Mapa final'!$A$52),"")</f>
        <v/>
      </c>
      <c r="S18" s="303"/>
      <c r="T18" s="303" t="str">
        <f>IF(AND('Mapa final'!$H$58="Alta",'Mapa final'!$L$58="Menor"),CONCATENATE("R",'Mapa final'!$A$58),"")</f>
        <v/>
      </c>
      <c r="U18" s="304"/>
      <c r="V18" s="320" t="str">
        <f>IF(AND('Mapa final'!$H$46="Alta",'Mapa final'!$L$46="Moderado"),CONCATENATE("R",'Mapa final'!$A$46),"")</f>
        <v/>
      </c>
      <c r="W18" s="321"/>
      <c r="X18" s="322" t="str">
        <f>IF(AND('Mapa final'!$H$52="Alta",'Mapa final'!$L$52="Moderado"),CONCATENATE("R",'Mapa final'!$A$52),"")</f>
        <v/>
      </c>
      <c r="Y18" s="322"/>
      <c r="Z18" s="322" t="str">
        <f>IF(AND('Mapa final'!$H$58="Alta",'Mapa final'!$L$58="Moderado"),CONCATENATE("R",'Mapa final'!$A$58),"")</f>
        <v/>
      </c>
      <c r="AA18" s="323"/>
      <c r="AB18" s="320" t="str">
        <f>IF(AND('Mapa final'!$H$46="Alta",'Mapa final'!$L$46="Mayor"),CONCATENATE("R",'Mapa final'!$A$46),"")</f>
        <v/>
      </c>
      <c r="AC18" s="321"/>
      <c r="AD18" s="322" t="str">
        <f>IF(AND('Mapa final'!$H$52="Alta",'Mapa final'!$L$52="Mayor"),CONCATENATE("R",'Mapa final'!$A$52),"")</f>
        <v/>
      </c>
      <c r="AE18" s="322"/>
      <c r="AF18" s="322" t="str">
        <f>IF(AND('Mapa final'!$H$58="Alta",'Mapa final'!$L$58="Mayor"),CONCATENATE("R",'Mapa final'!$A$58),"")</f>
        <v/>
      </c>
      <c r="AG18" s="323"/>
      <c r="AH18" s="311" t="str">
        <f>IF(AND('Mapa final'!$H$46="Alta",'Mapa final'!$L$46="Catastrófico"),CONCATENATE("R",'Mapa final'!$A$46),"")</f>
        <v/>
      </c>
      <c r="AI18" s="312"/>
      <c r="AJ18" s="312" t="str">
        <f>IF(AND('Mapa final'!$H$52="Alta",'Mapa final'!$L$52="Catastrófico"),CONCATENATE("R",'Mapa final'!$A$52),"")</f>
        <v/>
      </c>
      <c r="AK18" s="312"/>
      <c r="AL18" s="312" t="str">
        <f>IF(AND('Mapa final'!$H$58="Alta",'Mapa final'!$L$58="Catastrófico"),CONCATENATE("R",'Mapa final'!$A$58),"")</f>
        <v/>
      </c>
      <c r="AM18" s="313"/>
      <c r="AN18" s="99"/>
      <c r="AO18" s="356"/>
      <c r="AP18" s="357"/>
      <c r="AQ18" s="357"/>
      <c r="AR18" s="357"/>
      <c r="AS18" s="357"/>
      <c r="AT18" s="358"/>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row>
    <row r="19" spans="1:80" ht="15" customHeight="1" x14ac:dyDescent="0.25">
      <c r="A19" s="99"/>
      <c r="B19" s="342"/>
      <c r="C19" s="342"/>
      <c r="D19" s="343"/>
      <c r="E19" s="334"/>
      <c r="F19" s="335"/>
      <c r="G19" s="335"/>
      <c r="H19" s="335"/>
      <c r="I19" s="340"/>
      <c r="J19" s="302"/>
      <c r="K19" s="303"/>
      <c r="L19" s="303"/>
      <c r="M19" s="303"/>
      <c r="N19" s="303"/>
      <c r="O19" s="304"/>
      <c r="P19" s="302"/>
      <c r="Q19" s="303"/>
      <c r="R19" s="303"/>
      <c r="S19" s="303"/>
      <c r="T19" s="303"/>
      <c r="U19" s="304"/>
      <c r="V19" s="320"/>
      <c r="W19" s="321"/>
      <c r="X19" s="322"/>
      <c r="Y19" s="322"/>
      <c r="Z19" s="322"/>
      <c r="AA19" s="323"/>
      <c r="AB19" s="320"/>
      <c r="AC19" s="321"/>
      <c r="AD19" s="322"/>
      <c r="AE19" s="322"/>
      <c r="AF19" s="322"/>
      <c r="AG19" s="323"/>
      <c r="AH19" s="311"/>
      <c r="AI19" s="312"/>
      <c r="AJ19" s="312"/>
      <c r="AK19" s="312"/>
      <c r="AL19" s="312"/>
      <c r="AM19" s="313"/>
      <c r="AN19" s="99"/>
      <c r="AO19" s="356"/>
      <c r="AP19" s="357"/>
      <c r="AQ19" s="357"/>
      <c r="AR19" s="357"/>
      <c r="AS19" s="357"/>
      <c r="AT19" s="358"/>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row>
    <row r="20" spans="1:80" ht="15" customHeight="1" x14ac:dyDescent="0.25">
      <c r="A20" s="99"/>
      <c r="B20" s="342"/>
      <c r="C20" s="342"/>
      <c r="D20" s="343"/>
      <c r="E20" s="334"/>
      <c r="F20" s="335"/>
      <c r="G20" s="335"/>
      <c r="H20" s="335"/>
      <c r="I20" s="340"/>
      <c r="J20" s="302" t="str">
        <f>IF(AND('Mapa final'!$H$64="Alta",'Mapa final'!$L$64="Leve"),CONCATENATE("R",'Mapa final'!$A$64),"")</f>
        <v/>
      </c>
      <c r="K20" s="303"/>
      <c r="L20" s="303" t="str">
        <f>IF(AND('Mapa final'!$H$70="Alta",'Mapa final'!$L$70="Leve"),CONCATENATE("R",'Mapa final'!$A$70),"")</f>
        <v/>
      </c>
      <c r="M20" s="303"/>
      <c r="N20" s="303" t="str">
        <f>IF(AND('Mapa final'!$H$76="Alta",'Mapa final'!$L$76="Leve"),CONCATENATE("R",'Mapa final'!$A$76),"")</f>
        <v/>
      </c>
      <c r="O20" s="304"/>
      <c r="P20" s="302" t="str">
        <f>IF(AND('Mapa final'!$H$64="Alta",'Mapa final'!$L$64="Menor"),CONCATENATE("R",'Mapa final'!$A$64),"")</f>
        <v/>
      </c>
      <c r="Q20" s="303"/>
      <c r="R20" s="303" t="str">
        <f>IF(AND('Mapa final'!$H$70="Alta",'Mapa final'!$L$70="Menor"),CONCATENATE("R",'Mapa final'!$A$70),"")</f>
        <v/>
      </c>
      <c r="S20" s="303"/>
      <c r="T20" s="303" t="str">
        <f>IF(AND('Mapa final'!$H$76="Alta",'Mapa final'!$L$76="Menor"),CONCATENATE("R",'Mapa final'!$A$76),"")</f>
        <v/>
      </c>
      <c r="U20" s="304"/>
      <c r="V20" s="320" t="str">
        <f>IF(AND('Mapa final'!$H$64="Alta",'Mapa final'!$L$64="Moderado"),CONCATENATE("R",'Mapa final'!$A$64),"")</f>
        <v/>
      </c>
      <c r="W20" s="321"/>
      <c r="X20" s="322" t="str">
        <f>IF(AND('Mapa final'!$H$70="Alta",'Mapa final'!$L$70="Moderado"),CONCATENATE("R",'Mapa final'!$A$70),"")</f>
        <v/>
      </c>
      <c r="Y20" s="322"/>
      <c r="Z20" s="322" t="str">
        <f>IF(AND('Mapa final'!$H$76="Alta",'Mapa final'!$L$76="Moderado"),CONCATENATE("R",'Mapa final'!$A$76),"")</f>
        <v/>
      </c>
      <c r="AA20" s="323"/>
      <c r="AB20" s="320" t="str">
        <f>IF(AND('Mapa final'!$H$64="Alta",'Mapa final'!$L$64="Mayor"),CONCATENATE("R",'Mapa final'!$A$64),"")</f>
        <v/>
      </c>
      <c r="AC20" s="321"/>
      <c r="AD20" s="322" t="str">
        <f>IF(AND('Mapa final'!$H$70="Alta",'Mapa final'!$L$70="Mayor"),CONCATENATE("R",'Mapa final'!$A$70),"")</f>
        <v/>
      </c>
      <c r="AE20" s="322"/>
      <c r="AF20" s="322" t="str">
        <f>IF(AND('Mapa final'!$H$76="Alta",'Mapa final'!$L$76="Mayor"),CONCATENATE("R",'Mapa final'!$A$76),"")</f>
        <v/>
      </c>
      <c r="AG20" s="323"/>
      <c r="AH20" s="311" t="str">
        <f>IF(AND('Mapa final'!$H$64="Alta",'Mapa final'!$L$64="Catastrófico"),CONCATENATE("R",'Mapa final'!$A$64),"")</f>
        <v/>
      </c>
      <c r="AI20" s="312"/>
      <c r="AJ20" s="312" t="str">
        <f>IF(AND('Mapa final'!$H$70="Alta",'Mapa final'!$L$70="Catastrófico"),CONCATENATE("R",'Mapa final'!$A$70),"")</f>
        <v/>
      </c>
      <c r="AK20" s="312"/>
      <c r="AL20" s="312" t="str">
        <f>IF(AND('Mapa final'!$H$76="Alta",'Mapa final'!$L$76="Catastrófico"),CONCATENATE("R",'Mapa final'!$A$76),"")</f>
        <v/>
      </c>
      <c r="AM20" s="313"/>
      <c r="AN20" s="99"/>
      <c r="AO20" s="356"/>
      <c r="AP20" s="357"/>
      <c r="AQ20" s="357"/>
      <c r="AR20" s="357"/>
      <c r="AS20" s="357"/>
      <c r="AT20" s="358"/>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row>
    <row r="21" spans="1:80" ht="15.75" customHeight="1" thickBot="1" x14ac:dyDescent="0.3">
      <c r="A21" s="99"/>
      <c r="B21" s="342"/>
      <c r="C21" s="342"/>
      <c r="D21" s="343"/>
      <c r="E21" s="337"/>
      <c r="F21" s="338"/>
      <c r="G21" s="338"/>
      <c r="H21" s="338"/>
      <c r="I21" s="338"/>
      <c r="J21" s="305"/>
      <c r="K21" s="306"/>
      <c r="L21" s="306"/>
      <c r="M21" s="306"/>
      <c r="N21" s="306"/>
      <c r="O21" s="307"/>
      <c r="P21" s="305"/>
      <c r="Q21" s="306"/>
      <c r="R21" s="306"/>
      <c r="S21" s="306"/>
      <c r="T21" s="306"/>
      <c r="U21" s="307"/>
      <c r="V21" s="324"/>
      <c r="W21" s="325"/>
      <c r="X21" s="325"/>
      <c r="Y21" s="325"/>
      <c r="Z21" s="325"/>
      <c r="AA21" s="326"/>
      <c r="AB21" s="324"/>
      <c r="AC21" s="325"/>
      <c r="AD21" s="325"/>
      <c r="AE21" s="325"/>
      <c r="AF21" s="325"/>
      <c r="AG21" s="326"/>
      <c r="AH21" s="314"/>
      <c r="AI21" s="315"/>
      <c r="AJ21" s="315"/>
      <c r="AK21" s="315"/>
      <c r="AL21" s="315"/>
      <c r="AM21" s="316"/>
      <c r="AN21" s="99"/>
      <c r="AO21" s="359"/>
      <c r="AP21" s="360"/>
      <c r="AQ21" s="360"/>
      <c r="AR21" s="360"/>
      <c r="AS21" s="360"/>
      <c r="AT21" s="361"/>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row>
    <row r="22" spans="1:80" x14ac:dyDescent="0.25">
      <c r="A22" s="99"/>
      <c r="B22" s="342"/>
      <c r="C22" s="342"/>
      <c r="D22" s="343"/>
      <c r="E22" s="331" t="s">
        <v>117</v>
      </c>
      <c r="F22" s="332"/>
      <c r="G22" s="332"/>
      <c r="H22" s="332"/>
      <c r="I22" s="333"/>
      <c r="J22" s="308" t="str">
        <f>IF(AND('Mapa final'!$H$10="Media",'Mapa final'!$L$10="Leve"),CONCATENATE("R",'Mapa final'!$A$10),"")</f>
        <v/>
      </c>
      <c r="K22" s="309"/>
      <c r="L22" s="309" t="str">
        <f>IF(AND('Mapa final'!$H$16="Media",'Mapa final'!$L$16="Leve"),CONCATENATE("R",'Mapa final'!$A$16),"")</f>
        <v>R2</v>
      </c>
      <c r="M22" s="309"/>
      <c r="N22" s="309" t="str">
        <f>IF(AND('Mapa final'!$H$22="Media",'Mapa final'!$L$22="Leve"),CONCATENATE("R",'Mapa final'!$A$22),"")</f>
        <v/>
      </c>
      <c r="O22" s="310"/>
      <c r="P22" s="308" t="str">
        <f>IF(AND('Mapa final'!$H$10="Media",'Mapa final'!$L$10="Menor"),CONCATENATE("R",'Mapa final'!$A$10),"")</f>
        <v>R1</v>
      </c>
      <c r="Q22" s="309"/>
      <c r="R22" s="309" t="str">
        <f>IF(AND('Mapa final'!$H$16="Media",'Mapa final'!$L$16="Menor"),CONCATENATE("R",'Mapa final'!$A$16),"")</f>
        <v/>
      </c>
      <c r="S22" s="309"/>
      <c r="T22" s="309" t="str">
        <f>IF(AND('Mapa final'!$H$22="Media",'Mapa final'!$L$22="Menor"),CONCATENATE("R",'Mapa final'!$A$22),"")</f>
        <v/>
      </c>
      <c r="U22" s="310"/>
      <c r="V22" s="308" t="str">
        <f>IF(AND('Mapa final'!$H$10="Media",'Mapa final'!$L$10="Moderado"),CONCATENATE("R",'Mapa final'!$A$10),"")</f>
        <v/>
      </c>
      <c r="W22" s="309"/>
      <c r="X22" s="309" t="str">
        <f>IF(AND('Mapa final'!$H$16="Media",'Mapa final'!$L$16="Moderado"),CONCATENATE("R",'Mapa final'!$A$16),"")</f>
        <v/>
      </c>
      <c r="Y22" s="309"/>
      <c r="Z22" s="309" t="str">
        <f>IF(AND('Mapa final'!$H$22="Media",'Mapa final'!$L$22="Moderado"),CONCATENATE("R",'Mapa final'!$A$22),"")</f>
        <v/>
      </c>
      <c r="AA22" s="310"/>
      <c r="AB22" s="327" t="str">
        <f>IF(AND('Mapa final'!$H$10="Media",'Mapa final'!$L$10="Mayor"),CONCATENATE("R",'Mapa final'!$A$10),"")</f>
        <v/>
      </c>
      <c r="AC22" s="328"/>
      <c r="AD22" s="328" t="str">
        <f>IF(AND('Mapa final'!$H$16="Media",'Mapa final'!$L$16="Mayor"),CONCATENATE("R",'Mapa final'!$A$16),"")</f>
        <v/>
      </c>
      <c r="AE22" s="328"/>
      <c r="AF22" s="328" t="str">
        <f>IF(AND('Mapa final'!$H$22="Media",'Mapa final'!$L$22="Mayor"),CONCATENATE("R",'Mapa final'!$A$22),"")</f>
        <v/>
      </c>
      <c r="AG22" s="329"/>
      <c r="AH22" s="317" t="str">
        <f>IF(AND('Mapa final'!$H$10="Media",'Mapa final'!$L$10="Catastrófico"),CONCATENATE("R",'Mapa final'!$A$10),"")</f>
        <v/>
      </c>
      <c r="AI22" s="318"/>
      <c r="AJ22" s="318" t="str">
        <f>IF(AND('Mapa final'!$H$16="Media",'Mapa final'!$L$16="Catastrófico"),CONCATENATE("R",'Mapa final'!$A$16),"")</f>
        <v/>
      </c>
      <c r="AK22" s="318"/>
      <c r="AL22" s="318" t="str">
        <f>IF(AND('Mapa final'!$H$22="Media",'Mapa final'!$L$22="Catastrófico"),CONCATENATE("R",'Mapa final'!$A$22),"")</f>
        <v/>
      </c>
      <c r="AM22" s="319"/>
      <c r="AN22" s="99"/>
      <c r="AO22" s="362" t="s">
        <v>81</v>
      </c>
      <c r="AP22" s="363"/>
      <c r="AQ22" s="363"/>
      <c r="AR22" s="363"/>
      <c r="AS22" s="363"/>
      <c r="AT22" s="364"/>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row>
    <row r="23" spans="1:80" x14ac:dyDescent="0.25">
      <c r="A23" s="99"/>
      <c r="B23" s="342"/>
      <c r="C23" s="342"/>
      <c r="D23" s="343"/>
      <c r="E23" s="334"/>
      <c r="F23" s="335"/>
      <c r="G23" s="335"/>
      <c r="H23" s="335"/>
      <c r="I23" s="336"/>
      <c r="J23" s="302"/>
      <c r="K23" s="303"/>
      <c r="L23" s="303"/>
      <c r="M23" s="303"/>
      <c r="N23" s="303"/>
      <c r="O23" s="304"/>
      <c r="P23" s="302"/>
      <c r="Q23" s="303"/>
      <c r="R23" s="303"/>
      <c r="S23" s="303"/>
      <c r="T23" s="303"/>
      <c r="U23" s="304"/>
      <c r="V23" s="302"/>
      <c r="W23" s="303"/>
      <c r="X23" s="303"/>
      <c r="Y23" s="303"/>
      <c r="Z23" s="303"/>
      <c r="AA23" s="304"/>
      <c r="AB23" s="320"/>
      <c r="AC23" s="321"/>
      <c r="AD23" s="321"/>
      <c r="AE23" s="321"/>
      <c r="AF23" s="321"/>
      <c r="AG23" s="323"/>
      <c r="AH23" s="311"/>
      <c r="AI23" s="312"/>
      <c r="AJ23" s="312"/>
      <c r="AK23" s="312"/>
      <c r="AL23" s="312"/>
      <c r="AM23" s="313"/>
      <c r="AN23" s="99"/>
      <c r="AO23" s="365"/>
      <c r="AP23" s="366"/>
      <c r="AQ23" s="366"/>
      <c r="AR23" s="366"/>
      <c r="AS23" s="366"/>
      <c r="AT23" s="367"/>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row>
    <row r="24" spans="1:80" x14ac:dyDescent="0.25">
      <c r="A24" s="99"/>
      <c r="B24" s="342"/>
      <c r="C24" s="342"/>
      <c r="D24" s="343"/>
      <c r="E24" s="334"/>
      <c r="F24" s="335"/>
      <c r="G24" s="335"/>
      <c r="H24" s="335"/>
      <c r="I24" s="336"/>
      <c r="J24" s="302" t="str">
        <f>IF(AND('Mapa final'!$H$28="Media",'Mapa final'!$L$28="Leve"),CONCATENATE("R",'Mapa final'!$A$28),"")</f>
        <v>R4</v>
      </c>
      <c r="K24" s="303"/>
      <c r="L24" s="303" t="str">
        <f>IF(AND('Mapa final'!$H$34="Media",'Mapa final'!$L$34="Leve"),CONCATENATE("R",'Mapa final'!$A$34),"")</f>
        <v/>
      </c>
      <c r="M24" s="303"/>
      <c r="N24" s="303" t="str">
        <f>IF(AND('Mapa final'!$H$40="Media",'Mapa final'!$L$40="Leve"),CONCATENATE("R",'Mapa final'!$A$40),"")</f>
        <v/>
      </c>
      <c r="O24" s="304"/>
      <c r="P24" s="302" t="str">
        <f>IF(AND('Mapa final'!$H$28="Media",'Mapa final'!$L$28="Menor"),CONCATENATE("R",'Mapa final'!$A$28),"")</f>
        <v/>
      </c>
      <c r="Q24" s="303"/>
      <c r="R24" s="303" t="str">
        <f>IF(AND('Mapa final'!$H$34="Media",'Mapa final'!$L$34="Menor"),CONCATENATE("R",'Mapa final'!$A$34),"")</f>
        <v/>
      </c>
      <c r="S24" s="303"/>
      <c r="T24" s="303" t="str">
        <f>IF(AND('Mapa final'!$H$40="Media",'Mapa final'!$L$40="Menor"),CONCATENATE("R",'Mapa final'!$A$40),"")</f>
        <v/>
      </c>
      <c r="U24" s="304"/>
      <c r="V24" s="302" t="str">
        <f>IF(AND('Mapa final'!$H$28="Media",'Mapa final'!$L$28="Moderado"),CONCATENATE("R",'Mapa final'!$A$28),"")</f>
        <v/>
      </c>
      <c r="W24" s="303"/>
      <c r="X24" s="303" t="str">
        <f>IF(AND('Mapa final'!$H$34="Media",'Mapa final'!$L$34="Moderado"),CONCATENATE("R",'Mapa final'!$A$34),"")</f>
        <v/>
      </c>
      <c r="Y24" s="303"/>
      <c r="Z24" s="303" t="str">
        <f>IF(AND('Mapa final'!$H$40="Media",'Mapa final'!$L$40="Moderado"),CONCATENATE("R",'Mapa final'!$A$40),"")</f>
        <v/>
      </c>
      <c r="AA24" s="304"/>
      <c r="AB24" s="320" t="str">
        <f>IF(AND('Mapa final'!$H$28="Media",'Mapa final'!$L$28="Mayor"),CONCATENATE("R",'Mapa final'!$A$28),"")</f>
        <v/>
      </c>
      <c r="AC24" s="321"/>
      <c r="AD24" s="322" t="str">
        <f>IF(AND('Mapa final'!$H$34="Media",'Mapa final'!$L$34="Mayor"),CONCATENATE("R",'Mapa final'!$A$34),"")</f>
        <v/>
      </c>
      <c r="AE24" s="322"/>
      <c r="AF24" s="322" t="str">
        <f>IF(AND('Mapa final'!$H$40="Media",'Mapa final'!$L$40="Mayor"),CONCATENATE("R",'Mapa final'!$A$40),"")</f>
        <v/>
      </c>
      <c r="AG24" s="323"/>
      <c r="AH24" s="311" t="str">
        <f>IF(AND('Mapa final'!$H$28="Media",'Mapa final'!$L$28="Catastrófico"),CONCATENATE("R",'Mapa final'!$A$28),"")</f>
        <v/>
      </c>
      <c r="AI24" s="312"/>
      <c r="AJ24" s="312" t="str">
        <f>IF(AND('Mapa final'!$H$34="Media",'Mapa final'!$L$34="Catastrófico"),CONCATENATE("R",'Mapa final'!$A$34),"")</f>
        <v/>
      </c>
      <c r="AK24" s="312"/>
      <c r="AL24" s="312" t="str">
        <f>IF(AND('Mapa final'!$H$40="Media",'Mapa final'!$L$40="Catastrófico"),CONCATENATE("R",'Mapa final'!$A$40),"")</f>
        <v/>
      </c>
      <c r="AM24" s="313"/>
      <c r="AN24" s="99"/>
      <c r="AO24" s="365"/>
      <c r="AP24" s="366"/>
      <c r="AQ24" s="366"/>
      <c r="AR24" s="366"/>
      <c r="AS24" s="366"/>
      <c r="AT24" s="367"/>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row>
    <row r="25" spans="1:80" x14ac:dyDescent="0.25">
      <c r="A25" s="99"/>
      <c r="B25" s="342"/>
      <c r="C25" s="342"/>
      <c r="D25" s="343"/>
      <c r="E25" s="334"/>
      <c r="F25" s="335"/>
      <c r="G25" s="335"/>
      <c r="H25" s="335"/>
      <c r="I25" s="336"/>
      <c r="J25" s="302"/>
      <c r="K25" s="303"/>
      <c r="L25" s="303"/>
      <c r="M25" s="303"/>
      <c r="N25" s="303"/>
      <c r="O25" s="304"/>
      <c r="P25" s="302"/>
      <c r="Q25" s="303"/>
      <c r="R25" s="303"/>
      <c r="S25" s="303"/>
      <c r="T25" s="303"/>
      <c r="U25" s="304"/>
      <c r="V25" s="302"/>
      <c r="W25" s="303"/>
      <c r="X25" s="303"/>
      <c r="Y25" s="303"/>
      <c r="Z25" s="303"/>
      <c r="AA25" s="304"/>
      <c r="AB25" s="320"/>
      <c r="AC25" s="321"/>
      <c r="AD25" s="322"/>
      <c r="AE25" s="322"/>
      <c r="AF25" s="322"/>
      <c r="AG25" s="323"/>
      <c r="AH25" s="311"/>
      <c r="AI25" s="312"/>
      <c r="AJ25" s="312"/>
      <c r="AK25" s="312"/>
      <c r="AL25" s="312"/>
      <c r="AM25" s="313"/>
      <c r="AN25" s="99"/>
      <c r="AO25" s="365"/>
      <c r="AP25" s="366"/>
      <c r="AQ25" s="366"/>
      <c r="AR25" s="366"/>
      <c r="AS25" s="366"/>
      <c r="AT25" s="367"/>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row>
    <row r="26" spans="1:80" x14ac:dyDescent="0.25">
      <c r="A26" s="99"/>
      <c r="B26" s="342"/>
      <c r="C26" s="342"/>
      <c r="D26" s="343"/>
      <c r="E26" s="334"/>
      <c r="F26" s="335"/>
      <c r="G26" s="335"/>
      <c r="H26" s="335"/>
      <c r="I26" s="336"/>
      <c r="J26" s="302" t="str">
        <f>IF(AND('Mapa final'!$H$46="Media",'Mapa final'!$L$46="Leve"),CONCATENATE("R",'Mapa final'!$A$46),"")</f>
        <v/>
      </c>
      <c r="K26" s="303"/>
      <c r="L26" s="303" t="str">
        <f>IF(AND('Mapa final'!$H$52="Media",'Mapa final'!$L$52="Leve"),CONCATENATE("R",'Mapa final'!$A$52),"")</f>
        <v/>
      </c>
      <c r="M26" s="303"/>
      <c r="N26" s="303" t="str">
        <f>IF(AND('Mapa final'!$H$58="Media",'Mapa final'!$L$58="Leve"),CONCATENATE("R",'Mapa final'!$A$58),"")</f>
        <v/>
      </c>
      <c r="O26" s="304"/>
      <c r="P26" s="302" t="str">
        <f>IF(AND('Mapa final'!$H$46="Media",'Mapa final'!$L$46="Menor"),CONCATENATE("R",'Mapa final'!$A$46),"")</f>
        <v/>
      </c>
      <c r="Q26" s="303"/>
      <c r="R26" s="303" t="str">
        <f>IF(AND('Mapa final'!$H$52="Media",'Mapa final'!$L$52="Menor"),CONCATENATE("R",'Mapa final'!$A$52),"")</f>
        <v/>
      </c>
      <c r="S26" s="303"/>
      <c r="T26" s="303" t="str">
        <f>IF(AND('Mapa final'!$H$58="Media",'Mapa final'!$L$58="Menor"),CONCATENATE("R",'Mapa final'!$A$58),"")</f>
        <v/>
      </c>
      <c r="U26" s="304"/>
      <c r="V26" s="302" t="str">
        <f>IF(AND('Mapa final'!$H$46="Media",'Mapa final'!$L$46="Moderado"),CONCATENATE("R",'Mapa final'!$A$46),"")</f>
        <v/>
      </c>
      <c r="W26" s="303"/>
      <c r="X26" s="303" t="str">
        <f>IF(AND('Mapa final'!$H$52="Media",'Mapa final'!$L$52="Moderado"),CONCATENATE("R",'Mapa final'!$A$52),"")</f>
        <v/>
      </c>
      <c r="Y26" s="303"/>
      <c r="Z26" s="303" t="str">
        <f>IF(AND('Mapa final'!$H$58="Media",'Mapa final'!$L$58="Moderado"),CONCATENATE("R",'Mapa final'!$A$58),"")</f>
        <v/>
      </c>
      <c r="AA26" s="304"/>
      <c r="AB26" s="320" t="str">
        <f>IF(AND('Mapa final'!$H$46="Media",'Mapa final'!$L$46="Mayor"),CONCATENATE("R",'Mapa final'!$A$46),"")</f>
        <v>R7</v>
      </c>
      <c r="AC26" s="321"/>
      <c r="AD26" s="322" t="str">
        <f>IF(AND('Mapa final'!$H$52="Media",'Mapa final'!$L$52="Mayor"),CONCATENATE("R",'Mapa final'!$A$52),"")</f>
        <v>R8</v>
      </c>
      <c r="AE26" s="322"/>
      <c r="AF26" s="322" t="str">
        <f>IF(AND('Mapa final'!$H$58="Media",'Mapa final'!$L$58="Mayor"),CONCATENATE("R",'Mapa final'!$A$58),"")</f>
        <v/>
      </c>
      <c r="AG26" s="323"/>
      <c r="AH26" s="311" t="str">
        <f>IF(AND('Mapa final'!$H$46="Media",'Mapa final'!$L$46="Catastrófico"),CONCATENATE("R",'Mapa final'!$A$46),"")</f>
        <v/>
      </c>
      <c r="AI26" s="312"/>
      <c r="AJ26" s="312" t="str">
        <f>IF(AND('Mapa final'!$H$52="Media",'Mapa final'!$L$52="Catastrófico"),CONCATENATE("R",'Mapa final'!$A$52),"")</f>
        <v/>
      </c>
      <c r="AK26" s="312"/>
      <c r="AL26" s="312" t="str">
        <f>IF(AND('Mapa final'!$H$58="Media",'Mapa final'!$L$58="Catastrófico"),CONCATENATE("R",'Mapa final'!$A$58),"")</f>
        <v/>
      </c>
      <c r="AM26" s="313"/>
      <c r="AN26" s="99"/>
      <c r="AO26" s="365"/>
      <c r="AP26" s="366"/>
      <c r="AQ26" s="366"/>
      <c r="AR26" s="366"/>
      <c r="AS26" s="366"/>
      <c r="AT26" s="367"/>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row>
    <row r="27" spans="1:80" x14ac:dyDescent="0.25">
      <c r="A27" s="99"/>
      <c r="B27" s="342"/>
      <c r="C27" s="342"/>
      <c r="D27" s="343"/>
      <c r="E27" s="334"/>
      <c r="F27" s="335"/>
      <c r="G27" s="335"/>
      <c r="H27" s="335"/>
      <c r="I27" s="336"/>
      <c r="J27" s="302"/>
      <c r="K27" s="303"/>
      <c r="L27" s="303"/>
      <c r="M27" s="303"/>
      <c r="N27" s="303"/>
      <c r="O27" s="304"/>
      <c r="P27" s="302"/>
      <c r="Q27" s="303"/>
      <c r="R27" s="303"/>
      <c r="S27" s="303"/>
      <c r="T27" s="303"/>
      <c r="U27" s="304"/>
      <c r="V27" s="302"/>
      <c r="W27" s="303"/>
      <c r="X27" s="303"/>
      <c r="Y27" s="303"/>
      <c r="Z27" s="303"/>
      <c r="AA27" s="304"/>
      <c r="AB27" s="320"/>
      <c r="AC27" s="321"/>
      <c r="AD27" s="322"/>
      <c r="AE27" s="322"/>
      <c r="AF27" s="322"/>
      <c r="AG27" s="323"/>
      <c r="AH27" s="311"/>
      <c r="AI27" s="312"/>
      <c r="AJ27" s="312"/>
      <c r="AK27" s="312"/>
      <c r="AL27" s="312"/>
      <c r="AM27" s="313"/>
      <c r="AN27" s="99"/>
      <c r="AO27" s="365"/>
      <c r="AP27" s="366"/>
      <c r="AQ27" s="366"/>
      <c r="AR27" s="366"/>
      <c r="AS27" s="366"/>
      <c r="AT27" s="367"/>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row>
    <row r="28" spans="1:80" x14ac:dyDescent="0.25">
      <c r="A28" s="99"/>
      <c r="B28" s="342"/>
      <c r="C28" s="342"/>
      <c r="D28" s="343"/>
      <c r="E28" s="334"/>
      <c r="F28" s="335"/>
      <c r="G28" s="335"/>
      <c r="H28" s="335"/>
      <c r="I28" s="336"/>
      <c r="J28" s="302" t="str">
        <f>IF(AND('Mapa final'!$H$64="Media",'Mapa final'!$L$64="Leve"),CONCATENATE("R",'Mapa final'!$A$64),"")</f>
        <v/>
      </c>
      <c r="K28" s="303"/>
      <c r="L28" s="303" t="str">
        <f>IF(AND('Mapa final'!$H$70="Media",'Mapa final'!$L$70="Leve"),CONCATENATE("R",'Mapa final'!$A$70),"")</f>
        <v/>
      </c>
      <c r="M28" s="303"/>
      <c r="N28" s="303" t="str">
        <f>IF(AND('Mapa final'!$H$76="Media",'Mapa final'!$L$76="Leve"),CONCATENATE("R",'Mapa final'!$A$76),"")</f>
        <v/>
      </c>
      <c r="O28" s="304"/>
      <c r="P28" s="302" t="str">
        <f>IF(AND('Mapa final'!$H$64="Media",'Mapa final'!$L$64="Menor"),CONCATENATE("R",'Mapa final'!$A$64),"")</f>
        <v/>
      </c>
      <c r="Q28" s="303"/>
      <c r="R28" s="303" t="str">
        <f>IF(AND('Mapa final'!$H$70="Media",'Mapa final'!$L$70="Menor"),CONCATENATE("R",'Mapa final'!$A$70),"")</f>
        <v/>
      </c>
      <c r="S28" s="303"/>
      <c r="T28" s="303" t="str">
        <f>IF(AND('Mapa final'!$H$76="Media",'Mapa final'!$L$76="Menor"),CONCATENATE("R",'Mapa final'!$A$76),"")</f>
        <v/>
      </c>
      <c r="U28" s="304"/>
      <c r="V28" s="302" t="str">
        <f>IF(AND('Mapa final'!$H$64="Media",'Mapa final'!$L$64="Moderado"),CONCATENATE("R",'Mapa final'!$A$64),"")</f>
        <v/>
      </c>
      <c r="W28" s="303"/>
      <c r="X28" s="303" t="str">
        <f>IF(AND('Mapa final'!$H$70="Media",'Mapa final'!$L$70="Moderado"),CONCATENATE("R",'Mapa final'!$A$70),"")</f>
        <v/>
      </c>
      <c r="Y28" s="303"/>
      <c r="Z28" s="303" t="str">
        <f>IF(AND('Mapa final'!$H$76="Media",'Mapa final'!$L$76="Moderado"),CONCATENATE("R",'Mapa final'!$A$76),"")</f>
        <v/>
      </c>
      <c r="AA28" s="304"/>
      <c r="AB28" s="320" t="str">
        <f>IF(AND('Mapa final'!$H$64="Media",'Mapa final'!$L$64="Mayor"),CONCATENATE("R",'Mapa final'!$A$64),"")</f>
        <v/>
      </c>
      <c r="AC28" s="321"/>
      <c r="AD28" s="322" t="str">
        <f>IF(AND('Mapa final'!$H$70="Media",'Mapa final'!$L$70="Mayor"),CONCATENATE("R",'Mapa final'!$A$70),"")</f>
        <v/>
      </c>
      <c r="AE28" s="322"/>
      <c r="AF28" s="322" t="str">
        <f>IF(AND('Mapa final'!$H$76="Media",'Mapa final'!$L$76="Mayor"),CONCATENATE("R",'Mapa final'!$A$76),"")</f>
        <v/>
      </c>
      <c r="AG28" s="323"/>
      <c r="AH28" s="311" t="str">
        <f>IF(AND('Mapa final'!$H$64="Media",'Mapa final'!$L$64="Catastrófico"),CONCATENATE("R",'Mapa final'!$A$64),"")</f>
        <v/>
      </c>
      <c r="AI28" s="312"/>
      <c r="AJ28" s="312" t="str">
        <f>IF(AND('Mapa final'!$H$70="Media",'Mapa final'!$L$70="Catastrófico"),CONCATENATE("R",'Mapa final'!$A$70),"")</f>
        <v/>
      </c>
      <c r="AK28" s="312"/>
      <c r="AL28" s="312" t="str">
        <f>IF(AND('Mapa final'!$H$76="Media",'Mapa final'!$L$76="Catastrófico"),CONCATENATE("R",'Mapa final'!$A$76),"")</f>
        <v/>
      </c>
      <c r="AM28" s="313"/>
      <c r="AN28" s="99"/>
      <c r="AO28" s="365"/>
      <c r="AP28" s="366"/>
      <c r="AQ28" s="366"/>
      <c r="AR28" s="366"/>
      <c r="AS28" s="366"/>
      <c r="AT28" s="367"/>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row>
    <row r="29" spans="1:80" ht="15.75" thickBot="1" x14ac:dyDescent="0.3">
      <c r="A29" s="99"/>
      <c r="B29" s="342"/>
      <c r="C29" s="342"/>
      <c r="D29" s="343"/>
      <c r="E29" s="337"/>
      <c r="F29" s="338"/>
      <c r="G29" s="338"/>
      <c r="H29" s="338"/>
      <c r="I29" s="339"/>
      <c r="J29" s="302"/>
      <c r="K29" s="303"/>
      <c r="L29" s="303"/>
      <c r="M29" s="303"/>
      <c r="N29" s="303"/>
      <c r="O29" s="304"/>
      <c r="P29" s="305"/>
      <c r="Q29" s="306"/>
      <c r="R29" s="306"/>
      <c r="S29" s="306"/>
      <c r="T29" s="306"/>
      <c r="U29" s="307"/>
      <c r="V29" s="305"/>
      <c r="W29" s="306"/>
      <c r="X29" s="306"/>
      <c r="Y29" s="306"/>
      <c r="Z29" s="306"/>
      <c r="AA29" s="307"/>
      <c r="AB29" s="324"/>
      <c r="AC29" s="325"/>
      <c r="AD29" s="325"/>
      <c r="AE29" s="325"/>
      <c r="AF29" s="325"/>
      <c r="AG29" s="326"/>
      <c r="AH29" s="314"/>
      <c r="AI29" s="315"/>
      <c r="AJ29" s="315"/>
      <c r="AK29" s="315"/>
      <c r="AL29" s="315"/>
      <c r="AM29" s="316"/>
      <c r="AN29" s="99"/>
      <c r="AO29" s="368"/>
      <c r="AP29" s="369"/>
      <c r="AQ29" s="369"/>
      <c r="AR29" s="369"/>
      <c r="AS29" s="369"/>
      <c r="AT29" s="370"/>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row>
    <row r="30" spans="1:80" x14ac:dyDescent="0.25">
      <c r="A30" s="99"/>
      <c r="B30" s="342"/>
      <c r="C30" s="342"/>
      <c r="D30" s="343"/>
      <c r="E30" s="331" t="s">
        <v>114</v>
      </c>
      <c r="F30" s="332"/>
      <c r="G30" s="332"/>
      <c r="H30" s="332"/>
      <c r="I30" s="332"/>
      <c r="J30" s="299" t="str">
        <f>IF(AND('Mapa final'!$H$10="Baja",'Mapa final'!$L$10="Leve"),CONCATENATE("R",'Mapa final'!$A$10),"")</f>
        <v/>
      </c>
      <c r="K30" s="300"/>
      <c r="L30" s="300" t="str">
        <f>IF(AND('Mapa final'!$H$16="Baja",'Mapa final'!$L$16="Leve"),CONCATENATE("R",'Mapa final'!$A$16),"")</f>
        <v/>
      </c>
      <c r="M30" s="300"/>
      <c r="N30" s="300" t="str">
        <f>IF(AND('Mapa final'!$H$22="Baja",'Mapa final'!$L$22="Leve"),CONCATENATE("R",'Mapa final'!$A$22),"")</f>
        <v/>
      </c>
      <c r="O30" s="301"/>
      <c r="P30" s="309" t="str">
        <f>IF(AND('Mapa final'!$H$10="Baja",'Mapa final'!$L$10="Menor"),CONCATENATE("R",'Mapa final'!$A$10),"")</f>
        <v/>
      </c>
      <c r="Q30" s="309"/>
      <c r="R30" s="309" t="str">
        <f>IF(AND('Mapa final'!$H$16="Baja",'Mapa final'!$L$16="Menor"),CONCATENATE("R",'Mapa final'!$A$16),"")</f>
        <v/>
      </c>
      <c r="S30" s="309"/>
      <c r="T30" s="309" t="str">
        <f>IF(AND('Mapa final'!$H$22="Baja",'Mapa final'!$L$22="Menor"),CONCATENATE("R",'Mapa final'!$A$22),"")</f>
        <v/>
      </c>
      <c r="U30" s="310"/>
      <c r="V30" s="308" t="str">
        <f>IF(AND('Mapa final'!$H$10="Baja",'Mapa final'!$L$10="Moderado"),CONCATENATE("R",'Mapa final'!$A$10),"")</f>
        <v/>
      </c>
      <c r="W30" s="309"/>
      <c r="X30" s="309" t="str">
        <f>IF(AND('Mapa final'!$H$16="Baja",'Mapa final'!$L$16="Moderado"),CONCATENATE("R",'Mapa final'!$A$16),"")</f>
        <v/>
      </c>
      <c r="Y30" s="309"/>
      <c r="Z30" s="309" t="str">
        <f>IF(AND('Mapa final'!$H$22="Baja",'Mapa final'!$L$22="Moderado"),CONCATENATE("R",'Mapa final'!$A$22),"")</f>
        <v/>
      </c>
      <c r="AA30" s="310"/>
      <c r="AB30" s="327" t="str">
        <f>IF(AND('Mapa final'!$H$10="Baja",'Mapa final'!$L$10="Mayor"),CONCATENATE("R",'Mapa final'!$A$10),"")</f>
        <v/>
      </c>
      <c r="AC30" s="328"/>
      <c r="AD30" s="328" t="str">
        <f>IF(AND('Mapa final'!$H$16="Baja",'Mapa final'!$L$16="Mayor"),CONCATENATE("R",'Mapa final'!$A$16),"")</f>
        <v/>
      </c>
      <c r="AE30" s="328"/>
      <c r="AF30" s="328" t="str">
        <f>IF(AND('Mapa final'!$H$22="Baja",'Mapa final'!$L$22="Mayor"),CONCATENATE("R",'Mapa final'!$A$22),"")</f>
        <v/>
      </c>
      <c r="AG30" s="329"/>
      <c r="AH30" s="317" t="str">
        <f>IF(AND('Mapa final'!$H$10="Baja",'Mapa final'!$L$10="Catastrófico"),CONCATENATE("R",'Mapa final'!$A$10),"")</f>
        <v/>
      </c>
      <c r="AI30" s="318"/>
      <c r="AJ30" s="318" t="str">
        <f>IF(AND('Mapa final'!$H$16="Baja",'Mapa final'!$L$16="Catastrófico"),CONCATENATE("R",'Mapa final'!$A$16),"")</f>
        <v/>
      </c>
      <c r="AK30" s="318"/>
      <c r="AL30" s="318" t="str">
        <f>IF(AND('Mapa final'!$H$22="Baja",'Mapa final'!$L$22="Catastrófico"),CONCATENATE("R",'Mapa final'!$A$22),"")</f>
        <v/>
      </c>
      <c r="AM30" s="319"/>
      <c r="AN30" s="99"/>
      <c r="AO30" s="371" t="s">
        <v>82</v>
      </c>
      <c r="AP30" s="372"/>
      <c r="AQ30" s="372"/>
      <c r="AR30" s="372"/>
      <c r="AS30" s="372"/>
      <c r="AT30" s="373"/>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row>
    <row r="31" spans="1:80" x14ac:dyDescent="0.25">
      <c r="A31" s="99"/>
      <c r="B31" s="342"/>
      <c r="C31" s="342"/>
      <c r="D31" s="343"/>
      <c r="E31" s="334"/>
      <c r="F31" s="335"/>
      <c r="G31" s="335"/>
      <c r="H31" s="335"/>
      <c r="I31" s="340"/>
      <c r="J31" s="293"/>
      <c r="K31" s="294"/>
      <c r="L31" s="294"/>
      <c r="M31" s="294"/>
      <c r="N31" s="294"/>
      <c r="O31" s="295"/>
      <c r="P31" s="303"/>
      <c r="Q31" s="303"/>
      <c r="R31" s="303"/>
      <c r="S31" s="303"/>
      <c r="T31" s="303"/>
      <c r="U31" s="304"/>
      <c r="V31" s="302"/>
      <c r="W31" s="303"/>
      <c r="X31" s="303"/>
      <c r="Y31" s="303"/>
      <c r="Z31" s="303"/>
      <c r="AA31" s="304"/>
      <c r="AB31" s="320"/>
      <c r="AC31" s="321"/>
      <c r="AD31" s="321"/>
      <c r="AE31" s="321"/>
      <c r="AF31" s="321"/>
      <c r="AG31" s="323"/>
      <c r="AH31" s="311"/>
      <c r="AI31" s="312"/>
      <c r="AJ31" s="312"/>
      <c r="AK31" s="312"/>
      <c r="AL31" s="312"/>
      <c r="AM31" s="313"/>
      <c r="AN31" s="99"/>
      <c r="AO31" s="374"/>
      <c r="AP31" s="375"/>
      <c r="AQ31" s="375"/>
      <c r="AR31" s="375"/>
      <c r="AS31" s="375"/>
      <c r="AT31" s="376"/>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row>
    <row r="32" spans="1:80" x14ac:dyDescent="0.25">
      <c r="A32" s="99"/>
      <c r="B32" s="342"/>
      <c r="C32" s="342"/>
      <c r="D32" s="343"/>
      <c r="E32" s="334"/>
      <c r="F32" s="335"/>
      <c r="G32" s="335"/>
      <c r="H32" s="335"/>
      <c r="I32" s="340"/>
      <c r="J32" s="293" t="str">
        <f>IF(AND('Mapa final'!$H$28="Baja",'Mapa final'!$L$28="Leve"),CONCATENATE("R",'Mapa final'!$A$28),"")</f>
        <v/>
      </c>
      <c r="K32" s="294"/>
      <c r="L32" s="294" t="str">
        <f>IF(AND('Mapa final'!$H$34="Baja",'Mapa final'!$L$34="Leve"),CONCATENATE("R",'Mapa final'!$A$34),"")</f>
        <v/>
      </c>
      <c r="M32" s="294"/>
      <c r="N32" s="294" t="str">
        <f>IF(AND('Mapa final'!$H$40="Baja",'Mapa final'!$L$40="Leve"),CONCATENATE("R",'Mapa final'!$A$40),"")</f>
        <v/>
      </c>
      <c r="O32" s="295"/>
      <c r="P32" s="303" t="str">
        <f>IF(AND('Mapa final'!$H$28="Baja",'Mapa final'!$L$28="Menor"),CONCATENATE("R",'Mapa final'!$A$28),"")</f>
        <v/>
      </c>
      <c r="Q32" s="303"/>
      <c r="R32" s="303" t="str">
        <f>IF(AND('Mapa final'!$H$34="Baja",'Mapa final'!$L$34="Menor"),CONCATENATE("R",'Mapa final'!$A$34),"")</f>
        <v/>
      </c>
      <c r="S32" s="303"/>
      <c r="T32" s="303" t="str">
        <f>IF(AND('Mapa final'!$H$40="Baja",'Mapa final'!$L$40="Menor"),CONCATENATE("R",'Mapa final'!$A$40),"")</f>
        <v/>
      </c>
      <c r="U32" s="304"/>
      <c r="V32" s="302" t="str">
        <f>IF(AND('Mapa final'!$H$28="Baja",'Mapa final'!$L$28="Moderado"),CONCATENATE("R",'Mapa final'!$A$28),"")</f>
        <v/>
      </c>
      <c r="W32" s="303"/>
      <c r="X32" s="303" t="str">
        <f>IF(AND('Mapa final'!$H$34="Baja",'Mapa final'!$L$34="Moderado"),CONCATENATE("R",'Mapa final'!$A$34),"")</f>
        <v/>
      </c>
      <c r="Y32" s="303"/>
      <c r="Z32" s="303" t="str">
        <f>IF(AND('Mapa final'!$H$40="Baja",'Mapa final'!$L$40="Moderado"),CONCATENATE("R",'Mapa final'!$A$40),"")</f>
        <v/>
      </c>
      <c r="AA32" s="304"/>
      <c r="AB32" s="320" t="str">
        <f>IF(AND('Mapa final'!$H$28="Baja",'Mapa final'!$L$28="Mayor"),CONCATENATE("R",'Mapa final'!$A$28),"")</f>
        <v/>
      </c>
      <c r="AC32" s="321"/>
      <c r="AD32" s="322" t="str">
        <f>IF(AND('Mapa final'!$H$34="Baja",'Mapa final'!$L$34="Mayor"),CONCATENATE("R",'Mapa final'!$A$34),"")</f>
        <v/>
      </c>
      <c r="AE32" s="322"/>
      <c r="AF32" s="322" t="str">
        <f>IF(AND('Mapa final'!$H$40="Baja",'Mapa final'!$L$40="Mayor"),CONCATENATE("R",'Mapa final'!$A$40),"")</f>
        <v/>
      </c>
      <c r="AG32" s="323"/>
      <c r="AH32" s="311" t="str">
        <f>IF(AND('Mapa final'!$H$28="Baja",'Mapa final'!$L$28="Catastrófico"),CONCATENATE("R",'Mapa final'!$A$28),"")</f>
        <v/>
      </c>
      <c r="AI32" s="312"/>
      <c r="AJ32" s="312" t="str">
        <f>IF(AND('Mapa final'!$H$34="Baja",'Mapa final'!$L$34="Catastrófico"),CONCATENATE("R",'Mapa final'!$A$34),"")</f>
        <v/>
      </c>
      <c r="AK32" s="312"/>
      <c r="AL32" s="312" t="str">
        <f>IF(AND('Mapa final'!$H$40="Baja",'Mapa final'!$L$40="Catastrófico"),CONCATENATE("R",'Mapa final'!$A$40),"")</f>
        <v/>
      </c>
      <c r="AM32" s="313"/>
      <c r="AN32" s="99"/>
      <c r="AO32" s="374"/>
      <c r="AP32" s="375"/>
      <c r="AQ32" s="375"/>
      <c r="AR32" s="375"/>
      <c r="AS32" s="375"/>
      <c r="AT32" s="376"/>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row>
    <row r="33" spans="1:80" x14ac:dyDescent="0.25">
      <c r="A33" s="99"/>
      <c r="B33" s="342"/>
      <c r="C33" s="342"/>
      <c r="D33" s="343"/>
      <c r="E33" s="334"/>
      <c r="F33" s="335"/>
      <c r="G33" s="335"/>
      <c r="H33" s="335"/>
      <c r="I33" s="340"/>
      <c r="J33" s="293"/>
      <c r="K33" s="294"/>
      <c r="L33" s="294"/>
      <c r="M33" s="294"/>
      <c r="N33" s="294"/>
      <c r="O33" s="295"/>
      <c r="P33" s="303"/>
      <c r="Q33" s="303"/>
      <c r="R33" s="303"/>
      <c r="S33" s="303"/>
      <c r="T33" s="303"/>
      <c r="U33" s="304"/>
      <c r="V33" s="302"/>
      <c r="W33" s="303"/>
      <c r="X33" s="303"/>
      <c r="Y33" s="303"/>
      <c r="Z33" s="303"/>
      <c r="AA33" s="304"/>
      <c r="AB33" s="320"/>
      <c r="AC33" s="321"/>
      <c r="AD33" s="322"/>
      <c r="AE33" s="322"/>
      <c r="AF33" s="322"/>
      <c r="AG33" s="323"/>
      <c r="AH33" s="311"/>
      <c r="AI33" s="312"/>
      <c r="AJ33" s="312"/>
      <c r="AK33" s="312"/>
      <c r="AL33" s="312"/>
      <c r="AM33" s="313"/>
      <c r="AN33" s="99"/>
      <c r="AO33" s="374"/>
      <c r="AP33" s="375"/>
      <c r="AQ33" s="375"/>
      <c r="AR33" s="375"/>
      <c r="AS33" s="375"/>
      <c r="AT33" s="376"/>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row>
    <row r="34" spans="1:80" x14ac:dyDescent="0.25">
      <c r="A34" s="99"/>
      <c r="B34" s="342"/>
      <c r="C34" s="342"/>
      <c r="D34" s="343"/>
      <c r="E34" s="334"/>
      <c r="F34" s="335"/>
      <c r="G34" s="335"/>
      <c r="H34" s="335"/>
      <c r="I34" s="340"/>
      <c r="J34" s="293" t="str">
        <f>IF(AND('Mapa final'!$H$46="Baja",'Mapa final'!$L$46="Leve"),CONCATENATE("R",'Mapa final'!$A$46),"")</f>
        <v/>
      </c>
      <c r="K34" s="294"/>
      <c r="L34" s="294" t="str">
        <f>IF(AND('Mapa final'!$H$52="Baja",'Mapa final'!$L$52="Leve"),CONCATENATE("R",'Mapa final'!$A$52),"")</f>
        <v/>
      </c>
      <c r="M34" s="294"/>
      <c r="N34" s="294" t="str">
        <f>IF(AND('Mapa final'!$H$58="Baja",'Mapa final'!$L$58="Leve"),CONCATENATE("R",'Mapa final'!$A$58),"")</f>
        <v/>
      </c>
      <c r="O34" s="295"/>
      <c r="P34" s="303" t="str">
        <f>IF(AND('Mapa final'!$H$46="Baja",'Mapa final'!$L$46="Menor"),CONCATENATE("R",'Mapa final'!$A$46),"")</f>
        <v/>
      </c>
      <c r="Q34" s="303"/>
      <c r="R34" s="303" t="str">
        <f>IF(AND('Mapa final'!$H$52="Baja",'Mapa final'!$L$52="Menor"),CONCATENATE("R",'Mapa final'!$A$52),"")</f>
        <v/>
      </c>
      <c r="S34" s="303"/>
      <c r="T34" s="303" t="str">
        <f>IF(AND('Mapa final'!$H$58="Baja",'Mapa final'!$L$58="Menor"),CONCATENATE("R",'Mapa final'!$A$58),"")</f>
        <v/>
      </c>
      <c r="U34" s="304"/>
      <c r="V34" s="302" t="str">
        <f>IF(AND('Mapa final'!$H$46="Baja",'Mapa final'!$L$46="Moderado"),CONCATENATE("R",'Mapa final'!$A$46),"")</f>
        <v/>
      </c>
      <c r="W34" s="303"/>
      <c r="X34" s="303" t="str">
        <f>IF(AND('Mapa final'!$H$52="Baja",'Mapa final'!$L$52="Moderado"),CONCATENATE("R",'Mapa final'!$A$52),"")</f>
        <v/>
      </c>
      <c r="Y34" s="303"/>
      <c r="Z34" s="303" t="str">
        <f>IF(AND('Mapa final'!$H$58="Baja",'Mapa final'!$L$58="Moderado"),CONCATENATE("R",'Mapa final'!$A$58),"")</f>
        <v/>
      </c>
      <c r="AA34" s="304"/>
      <c r="AB34" s="320" t="str">
        <f>IF(AND('Mapa final'!$H$46="Baja",'Mapa final'!$L$46="Mayor"),CONCATENATE("R",'Mapa final'!$A$46),"")</f>
        <v/>
      </c>
      <c r="AC34" s="321"/>
      <c r="AD34" s="322" t="str">
        <f>IF(AND('Mapa final'!$H$52="Baja",'Mapa final'!$L$52="Mayor"),CONCATENATE("R",'Mapa final'!$A$52),"")</f>
        <v/>
      </c>
      <c r="AE34" s="322"/>
      <c r="AF34" s="322" t="str">
        <f>IF(AND('Mapa final'!$H$58="Baja",'Mapa final'!$L$58="Mayor"),CONCATENATE("R",'Mapa final'!$A$58),"")</f>
        <v/>
      </c>
      <c r="AG34" s="323"/>
      <c r="AH34" s="311" t="str">
        <f>IF(AND('Mapa final'!$H$46="Baja",'Mapa final'!$L$46="Catastrófico"),CONCATENATE("R",'Mapa final'!$A$46),"")</f>
        <v/>
      </c>
      <c r="AI34" s="312"/>
      <c r="AJ34" s="312" t="str">
        <f>IF(AND('Mapa final'!$H$52="Baja",'Mapa final'!$L$52="Catastrófico"),CONCATENATE("R",'Mapa final'!$A$52),"")</f>
        <v/>
      </c>
      <c r="AK34" s="312"/>
      <c r="AL34" s="312" t="str">
        <f>IF(AND('Mapa final'!$H$58="Baja",'Mapa final'!$L$58="Catastrófico"),CONCATENATE("R",'Mapa final'!$A$58),"")</f>
        <v/>
      </c>
      <c r="AM34" s="313"/>
      <c r="AN34" s="99"/>
      <c r="AO34" s="374"/>
      <c r="AP34" s="375"/>
      <c r="AQ34" s="375"/>
      <c r="AR34" s="375"/>
      <c r="AS34" s="375"/>
      <c r="AT34" s="376"/>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row>
    <row r="35" spans="1:80" x14ac:dyDescent="0.25">
      <c r="A35" s="99"/>
      <c r="B35" s="342"/>
      <c r="C35" s="342"/>
      <c r="D35" s="343"/>
      <c r="E35" s="334"/>
      <c r="F35" s="335"/>
      <c r="G35" s="335"/>
      <c r="H35" s="335"/>
      <c r="I35" s="340"/>
      <c r="J35" s="293"/>
      <c r="K35" s="294"/>
      <c r="L35" s="294"/>
      <c r="M35" s="294"/>
      <c r="N35" s="294"/>
      <c r="O35" s="295"/>
      <c r="P35" s="303"/>
      <c r="Q35" s="303"/>
      <c r="R35" s="303"/>
      <c r="S35" s="303"/>
      <c r="T35" s="303"/>
      <c r="U35" s="304"/>
      <c r="V35" s="302"/>
      <c r="W35" s="303"/>
      <c r="X35" s="303"/>
      <c r="Y35" s="303"/>
      <c r="Z35" s="303"/>
      <c r="AA35" s="304"/>
      <c r="AB35" s="320"/>
      <c r="AC35" s="321"/>
      <c r="AD35" s="322"/>
      <c r="AE35" s="322"/>
      <c r="AF35" s="322"/>
      <c r="AG35" s="323"/>
      <c r="AH35" s="311"/>
      <c r="AI35" s="312"/>
      <c r="AJ35" s="312"/>
      <c r="AK35" s="312"/>
      <c r="AL35" s="312"/>
      <c r="AM35" s="313"/>
      <c r="AN35" s="99"/>
      <c r="AO35" s="374"/>
      <c r="AP35" s="375"/>
      <c r="AQ35" s="375"/>
      <c r="AR35" s="375"/>
      <c r="AS35" s="375"/>
      <c r="AT35" s="376"/>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row>
    <row r="36" spans="1:80" x14ac:dyDescent="0.25">
      <c r="A36" s="99"/>
      <c r="B36" s="342"/>
      <c r="C36" s="342"/>
      <c r="D36" s="343"/>
      <c r="E36" s="334"/>
      <c r="F36" s="335"/>
      <c r="G36" s="335"/>
      <c r="H36" s="335"/>
      <c r="I36" s="340"/>
      <c r="J36" s="293" t="str">
        <f>IF(AND('Mapa final'!$H$64="Baja",'Mapa final'!$L$64="Leve"),CONCATENATE("R",'Mapa final'!$A$64),"")</f>
        <v/>
      </c>
      <c r="K36" s="294"/>
      <c r="L36" s="294" t="str">
        <f>IF(AND('Mapa final'!$H$70="Baja",'Mapa final'!$L$70="Leve"),CONCATENATE("R",'Mapa final'!$A$70),"")</f>
        <v/>
      </c>
      <c r="M36" s="294"/>
      <c r="N36" s="294" t="str">
        <f>IF(AND('Mapa final'!$H$76="Baja",'Mapa final'!$L$76="Leve"),CONCATENATE("R",'Mapa final'!$A$76),"")</f>
        <v/>
      </c>
      <c r="O36" s="295"/>
      <c r="P36" s="303" t="str">
        <f>IF(AND('Mapa final'!$H$64="Baja",'Mapa final'!$L$64="Menor"),CONCATENATE("R",'Mapa final'!$A$64),"")</f>
        <v/>
      </c>
      <c r="Q36" s="303"/>
      <c r="R36" s="303" t="str">
        <f>IF(AND('Mapa final'!$H$70="Baja",'Mapa final'!$L$70="Menor"),CONCATENATE("R",'Mapa final'!$A$70),"")</f>
        <v/>
      </c>
      <c r="S36" s="303"/>
      <c r="T36" s="303" t="str">
        <f>IF(AND('Mapa final'!$H$76="Baja",'Mapa final'!$L$76="Menor"),CONCATENATE("R",'Mapa final'!$A$76),"")</f>
        <v/>
      </c>
      <c r="U36" s="304"/>
      <c r="V36" s="302" t="str">
        <f>IF(AND('Mapa final'!$H$64="Baja",'Mapa final'!$L$64="Moderado"),CONCATENATE("R",'Mapa final'!$A$64),"")</f>
        <v/>
      </c>
      <c r="W36" s="303"/>
      <c r="X36" s="303" t="str">
        <f>IF(AND('Mapa final'!$H$70="Baja",'Mapa final'!$L$70="Moderado"),CONCATENATE("R",'Mapa final'!$A$70),"")</f>
        <v/>
      </c>
      <c r="Y36" s="303"/>
      <c r="Z36" s="303" t="str">
        <f>IF(AND('Mapa final'!$H$76="Baja",'Mapa final'!$L$76="Moderado"),CONCATENATE("R",'Mapa final'!$A$76),"")</f>
        <v/>
      </c>
      <c r="AA36" s="304"/>
      <c r="AB36" s="320" t="str">
        <f>IF(AND('Mapa final'!$H$64="Baja",'Mapa final'!$L$64="Mayor"),CONCATENATE("R",'Mapa final'!$A$64),"")</f>
        <v/>
      </c>
      <c r="AC36" s="321"/>
      <c r="AD36" s="322" t="str">
        <f>IF(AND('Mapa final'!$H$70="Baja",'Mapa final'!$L$70="Mayor"),CONCATENATE("R",'Mapa final'!$A$70),"")</f>
        <v/>
      </c>
      <c r="AE36" s="322"/>
      <c r="AF36" s="322" t="str">
        <f>IF(AND('Mapa final'!$H$76="Baja",'Mapa final'!$L$76="Mayor"),CONCATENATE("R",'Mapa final'!$A$76),"")</f>
        <v/>
      </c>
      <c r="AG36" s="323"/>
      <c r="AH36" s="311" t="str">
        <f>IF(AND('Mapa final'!$H$64="Baja",'Mapa final'!$L$64="Catastrófico"),CONCATENATE("R",'Mapa final'!$A$64),"")</f>
        <v/>
      </c>
      <c r="AI36" s="312"/>
      <c r="AJ36" s="312" t="str">
        <f>IF(AND('Mapa final'!$H$70="Baja",'Mapa final'!$L$70="Catastrófico"),CONCATENATE("R",'Mapa final'!$A$70),"")</f>
        <v/>
      </c>
      <c r="AK36" s="312"/>
      <c r="AL36" s="312" t="str">
        <f>IF(AND('Mapa final'!$H$76="Baja",'Mapa final'!$L$76="Catastrófico"),CONCATENATE("R",'Mapa final'!$A$76),"")</f>
        <v/>
      </c>
      <c r="AM36" s="313"/>
      <c r="AN36" s="99"/>
      <c r="AO36" s="374"/>
      <c r="AP36" s="375"/>
      <c r="AQ36" s="375"/>
      <c r="AR36" s="375"/>
      <c r="AS36" s="375"/>
      <c r="AT36" s="376"/>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row>
    <row r="37" spans="1:80" ht="15.75" thickBot="1" x14ac:dyDescent="0.3">
      <c r="A37" s="99"/>
      <c r="B37" s="342"/>
      <c r="C37" s="342"/>
      <c r="D37" s="343"/>
      <c r="E37" s="337"/>
      <c r="F37" s="338"/>
      <c r="G37" s="338"/>
      <c r="H37" s="338"/>
      <c r="I37" s="338"/>
      <c r="J37" s="296"/>
      <c r="K37" s="297"/>
      <c r="L37" s="297"/>
      <c r="M37" s="297"/>
      <c r="N37" s="297"/>
      <c r="O37" s="298"/>
      <c r="P37" s="306"/>
      <c r="Q37" s="306"/>
      <c r="R37" s="306"/>
      <c r="S37" s="306"/>
      <c r="T37" s="306"/>
      <c r="U37" s="307"/>
      <c r="V37" s="305"/>
      <c r="W37" s="306"/>
      <c r="X37" s="306"/>
      <c r="Y37" s="306"/>
      <c r="Z37" s="306"/>
      <c r="AA37" s="307"/>
      <c r="AB37" s="324"/>
      <c r="AC37" s="325"/>
      <c r="AD37" s="325"/>
      <c r="AE37" s="325"/>
      <c r="AF37" s="325"/>
      <c r="AG37" s="326"/>
      <c r="AH37" s="314"/>
      <c r="AI37" s="315"/>
      <c r="AJ37" s="315"/>
      <c r="AK37" s="315"/>
      <c r="AL37" s="315"/>
      <c r="AM37" s="316"/>
      <c r="AN37" s="99"/>
      <c r="AO37" s="377"/>
      <c r="AP37" s="378"/>
      <c r="AQ37" s="378"/>
      <c r="AR37" s="378"/>
      <c r="AS37" s="378"/>
      <c r="AT37" s="37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row>
    <row r="38" spans="1:80" x14ac:dyDescent="0.25">
      <c r="A38" s="99"/>
      <c r="B38" s="342"/>
      <c r="C38" s="342"/>
      <c r="D38" s="343"/>
      <c r="E38" s="331" t="s">
        <v>113</v>
      </c>
      <c r="F38" s="332"/>
      <c r="G38" s="332"/>
      <c r="H38" s="332"/>
      <c r="I38" s="333"/>
      <c r="J38" s="299" t="str">
        <f>IF(AND('Mapa final'!$H$10="Muy Baja",'Mapa final'!$L$10="Leve"),CONCATENATE("R",'Mapa final'!$A$10),"")</f>
        <v/>
      </c>
      <c r="K38" s="300"/>
      <c r="L38" s="300" t="str">
        <f>IF(AND('Mapa final'!$H$16="Muy Baja",'Mapa final'!$L$16="Leve"),CONCATENATE("R",'Mapa final'!$A$16),"")</f>
        <v/>
      </c>
      <c r="M38" s="300"/>
      <c r="N38" s="300" t="str">
        <f>IF(AND('Mapa final'!$H$22="Muy Baja",'Mapa final'!$L$22="Leve"),CONCATENATE("R",'Mapa final'!$A$22),"")</f>
        <v>R3</v>
      </c>
      <c r="O38" s="301"/>
      <c r="P38" s="299" t="str">
        <f>IF(AND('Mapa final'!$H$10="Muy Baja",'Mapa final'!$L$10="Menor"),CONCATENATE("R",'Mapa final'!$A$10),"")</f>
        <v/>
      </c>
      <c r="Q38" s="300"/>
      <c r="R38" s="300" t="str">
        <f>IF(AND('Mapa final'!$H$16="Muy Baja",'Mapa final'!$L$16="Menor"),CONCATENATE("R",'Mapa final'!$A$16),"")</f>
        <v/>
      </c>
      <c r="S38" s="300"/>
      <c r="T38" s="300" t="str">
        <f>IF(AND('Mapa final'!$H$22="Muy Baja",'Mapa final'!$L$22="Menor"),CONCATENATE("R",'Mapa final'!$A$22),"")</f>
        <v/>
      </c>
      <c r="U38" s="301"/>
      <c r="V38" s="308" t="str">
        <f>IF(AND('Mapa final'!$H$10="Muy Baja",'Mapa final'!$L$10="Moderado"),CONCATENATE("R",'Mapa final'!$A$10),"")</f>
        <v/>
      </c>
      <c r="W38" s="309"/>
      <c r="X38" s="309" t="str">
        <f>IF(AND('Mapa final'!$H$16="Muy Baja",'Mapa final'!$L$16="Moderado"),CONCATENATE("R",'Mapa final'!$A$16),"")</f>
        <v/>
      </c>
      <c r="Y38" s="309"/>
      <c r="Z38" s="309" t="str">
        <f>IF(AND('Mapa final'!$H$22="Muy Baja",'Mapa final'!$L$22="Moderado"),CONCATENATE("R",'Mapa final'!$A$22),"")</f>
        <v/>
      </c>
      <c r="AA38" s="310"/>
      <c r="AB38" s="327" t="str">
        <f>IF(AND('Mapa final'!$H$10="Muy Baja",'Mapa final'!$L$10="Mayor"),CONCATENATE("R",'Mapa final'!$A$10),"")</f>
        <v/>
      </c>
      <c r="AC38" s="328"/>
      <c r="AD38" s="328" t="str">
        <f>IF(AND('Mapa final'!$H$16="Muy Baja",'Mapa final'!$L$16="Mayor"),CONCATENATE("R",'Mapa final'!$A$16),"")</f>
        <v/>
      </c>
      <c r="AE38" s="328"/>
      <c r="AF38" s="328" t="str">
        <f>IF(AND('Mapa final'!$H$22="Muy Baja",'Mapa final'!$L$22="Mayor"),CONCATENATE("R",'Mapa final'!$A$22),"")</f>
        <v/>
      </c>
      <c r="AG38" s="329"/>
      <c r="AH38" s="317" t="str">
        <f>IF(AND('Mapa final'!$H$10="Muy Baja",'Mapa final'!$L$10="Catastrófico"),CONCATENATE("R",'Mapa final'!$A$10),"")</f>
        <v/>
      </c>
      <c r="AI38" s="318"/>
      <c r="AJ38" s="318" t="str">
        <f>IF(AND('Mapa final'!$H$16="Muy Baja",'Mapa final'!$L$16="Catastrófico"),CONCATENATE("R",'Mapa final'!$A$16),"")</f>
        <v/>
      </c>
      <c r="AK38" s="318"/>
      <c r="AL38" s="318" t="str">
        <f>IF(AND('Mapa final'!$H$22="Muy Baja",'Mapa final'!$L$22="Catastrófico"),CONCATENATE("R",'Mapa final'!$A$22),"")</f>
        <v/>
      </c>
      <c r="AM38" s="31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row>
    <row r="39" spans="1:80" x14ac:dyDescent="0.25">
      <c r="A39" s="99"/>
      <c r="B39" s="342"/>
      <c r="C39" s="342"/>
      <c r="D39" s="343"/>
      <c r="E39" s="334"/>
      <c r="F39" s="335"/>
      <c r="G39" s="335"/>
      <c r="H39" s="335"/>
      <c r="I39" s="336"/>
      <c r="J39" s="293"/>
      <c r="K39" s="294"/>
      <c r="L39" s="294"/>
      <c r="M39" s="294"/>
      <c r="N39" s="294"/>
      <c r="O39" s="295"/>
      <c r="P39" s="293"/>
      <c r="Q39" s="294"/>
      <c r="R39" s="294"/>
      <c r="S39" s="294"/>
      <c r="T39" s="294"/>
      <c r="U39" s="295"/>
      <c r="V39" s="302"/>
      <c r="W39" s="303"/>
      <c r="X39" s="303"/>
      <c r="Y39" s="303"/>
      <c r="Z39" s="303"/>
      <c r="AA39" s="304"/>
      <c r="AB39" s="320"/>
      <c r="AC39" s="321"/>
      <c r="AD39" s="321"/>
      <c r="AE39" s="321"/>
      <c r="AF39" s="321"/>
      <c r="AG39" s="323"/>
      <c r="AH39" s="311"/>
      <c r="AI39" s="312"/>
      <c r="AJ39" s="312"/>
      <c r="AK39" s="312"/>
      <c r="AL39" s="312"/>
      <c r="AM39" s="313"/>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row>
    <row r="40" spans="1:80" x14ac:dyDescent="0.25">
      <c r="A40" s="99"/>
      <c r="B40" s="342"/>
      <c r="C40" s="342"/>
      <c r="D40" s="343"/>
      <c r="E40" s="334"/>
      <c r="F40" s="335"/>
      <c r="G40" s="335"/>
      <c r="H40" s="335"/>
      <c r="I40" s="336"/>
      <c r="J40" s="293" t="str">
        <f>IF(AND('Mapa final'!$H$28="Muy Baja",'Mapa final'!$L$28="Leve"),CONCATENATE("R",'Mapa final'!$A$28),"")</f>
        <v/>
      </c>
      <c r="K40" s="294"/>
      <c r="L40" s="294" t="str">
        <f>IF(AND('Mapa final'!$H$34="Muy Baja",'Mapa final'!$L$34="Leve"),CONCATENATE("R",'Mapa final'!$A$34),"")</f>
        <v/>
      </c>
      <c r="M40" s="294"/>
      <c r="N40" s="294" t="str">
        <f>IF(AND('Mapa final'!$H$40="Muy Baja",'Mapa final'!$L$40="Leve"),CONCATENATE("R",'Mapa final'!$A$40),"")</f>
        <v/>
      </c>
      <c r="O40" s="295"/>
      <c r="P40" s="293" t="str">
        <f>IF(AND('Mapa final'!$H$28="Muy Baja",'Mapa final'!$L$28="Menor"),CONCATENATE("R",'Mapa final'!$A$28),"")</f>
        <v/>
      </c>
      <c r="Q40" s="294"/>
      <c r="R40" s="294" t="str">
        <f>IF(AND('Mapa final'!$H$34="Muy Baja",'Mapa final'!$L$34="Menor"),CONCATENATE("R",'Mapa final'!$A$34),"")</f>
        <v/>
      </c>
      <c r="S40" s="294"/>
      <c r="T40" s="294" t="str">
        <f>IF(AND('Mapa final'!$H$40="Muy Baja",'Mapa final'!$L$40="Menor"),CONCATENATE("R",'Mapa final'!$A$40),"")</f>
        <v/>
      </c>
      <c r="U40" s="295"/>
      <c r="V40" s="302" t="str">
        <f>IF(AND('Mapa final'!$H$28="Muy Baja",'Mapa final'!$L$28="Moderado"),CONCATENATE("R",'Mapa final'!$A$28),"")</f>
        <v/>
      </c>
      <c r="W40" s="303"/>
      <c r="X40" s="303" t="str">
        <f>IF(AND('Mapa final'!$H$34="Muy Baja",'Mapa final'!$L$34="Moderado"),CONCATENATE("R",'Mapa final'!$A$34),"")</f>
        <v/>
      </c>
      <c r="Y40" s="303"/>
      <c r="Z40" s="303" t="str">
        <f>IF(AND('Mapa final'!$H$40="Muy Baja",'Mapa final'!$L$40="Moderado"),CONCATENATE("R",'Mapa final'!$A$40),"")</f>
        <v/>
      </c>
      <c r="AA40" s="304"/>
      <c r="AB40" s="320" t="str">
        <f>IF(AND('Mapa final'!$H$28="Muy Baja",'Mapa final'!$L$28="Mayor"),CONCATENATE("R",'Mapa final'!$A$28),"")</f>
        <v/>
      </c>
      <c r="AC40" s="321"/>
      <c r="AD40" s="322" t="str">
        <f>IF(AND('Mapa final'!$H$34="Muy Baja",'Mapa final'!$L$34="Mayor"),CONCATENATE("R",'Mapa final'!$A$34),"")</f>
        <v/>
      </c>
      <c r="AE40" s="322"/>
      <c r="AF40" s="322" t="str">
        <f>IF(AND('Mapa final'!$H$40="Muy Baja",'Mapa final'!$L$40="Mayor"),CONCATENATE("R",'Mapa final'!$A$40),"")</f>
        <v/>
      </c>
      <c r="AG40" s="323"/>
      <c r="AH40" s="311" t="str">
        <f>IF(AND('Mapa final'!$H$28="Muy Baja",'Mapa final'!$L$28="Catastrófico"),CONCATENATE("R",'Mapa final'!$A$28),"")</f>
        <v/>
      </c>
      <c r="AI40" s="312"/>
      <c r="AJ40" s="312" t="str">
        <f>IF(AND('Mapa final'!$H$34="Muy Baja",'Mapa final'!$L$34="Catastrófico"),CONCATENATE("R",'Mapa final'!$A$34),"")</f>
        <v/>
      </c>
      <c r="AK40" s="312"/>
      <c r="AL40" s="312" t="str">
        <f>IF(AND('Mapa final'!$H$40="Muy Baja",'Mapa final'!$L$40="Catastrófico"),CONCATENATE("R",'Mapa final'!$A$40),"")</f>
        <v/>
      </c>
      <c r="AM40" s="313"/>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row>
    <row r="41" spans="1:80" x14ac:dyDescent="0.25">
      <c r="A41" s="99"/>
      <c r="B41" s="342"/>
      <c r="C41" s="342"/>
      <c r="D41" s="343"/>
      <c r="E41" s="334"/>
      <c r="F41" s="335"/>
      <c r="G41" s="335"/>
      <c r="H41" s="335"/>
      <c r="I41" s="336"/>
      <c r="J41" s="293"/>
      <c r="K41" s="294"/>
      <c r="L41" s="294"/>
      <c r="M41" s="294"/>
      <c r="N41" s="294"/>
      <c r="O41" s="295"/>
      <c r="P41" s="293"/>
      <c r="Q41" s="294"/>
      <c r="R41" s="294"/>
      <c r="S41" s="294"/>
      <c r="T41" s="294"/>
      <c r="U41" s="295"/>
      <c r="V41" s="302"/>
      <c r="W41" s="303"/>
      <c r="X41" s="303"/>
      <c r="Y41" s="303"/>
      <c r="Z41" s="303"/>
      <c r="AA41" s="304"/>
      <c r="AB41" s="320"/>
      <c r="AC41" s="321"/>
      <c r="AD41" s="322"/>
      <c r="AE41" s="322"/>
      <c r="AF41" s="322"/>
      <c r="AG41" s="323"/>
      <c r="AH41" s="311"/>
      <c r="AI41" s="312"/>
      <c r="AJ41" s="312"/>
      <c r="AK41" s="312"/>
      <c r="AL41" s="312"/>
      <c r="AM41" s="313"/>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row>
    <row r="42" spans="1:80" x14ac:dyDescent="0.25">
      <c r="A42" s="99"/>
      <c r="B42" s="342"/>
      <c r="C42" s="342"/>
      <c r="D42" s="343"/>
      <c r="E42" s="334"/>
      <c r="F42" s="335"/>
      <c r="G42" s="335"/>
      <c r="H42" s="335"/>
      <c r="I42" s="336"/>
      <c r="J42" s="293" t="str">
        <f>IF(AND('Mapa final'!$H$46="Muy Baja",'Mapa final'!$L$46="Leve"),CONCATENATE("R",'Mapa final'!$A$46),"")</f>
        <v/>
      </c>
      <c r="K42" s="294"/>
      <c r="L42" s="294" t="str">
        <f>IF(AND('Mapa final'!$H$52="Muy Baja",'Mapa final'!$L$52="Leve"),CONCATENATE("R",'Mapa final'!$A$52),"")</f>
        <v/>
      </c>
      <c r="M42" s="294"/>
      <c r="N42" s="294" t="str">
        <f>IF(AND('Mapa final'!$H$58="Muy Baja",'Mapa final'!$L$58="Leve"),CONCATENATE("R",'Mapa final'!$A$58),"")</f>
        <v/>
      </c>
      <c r="O42" s="295"/>
      <c r="P42" s="293" t="str">
        <f>IF(AND('Mapa final'!$H$46="Muy Baja",'Mapa final'!$L$46="Menor"),CONCATENATE("R",'Mapa final'!$A$46),"")</f>
        <v/>
      </c>
      <c r="Q42" s="294"/>
      <c r="R42" s="294" t="str">
        <f>IF(AND('Mapa final'!$H$52="Muy Baja",'Mapa final'!$L$52="Menor"),CONCATENATE("R",'Mapa final'!$A$52),"")</f>
        <v/>
      </c>
      <c r="S42" s="294"/>
      <c r="T42" s="294" t="str">
        <f>IF(AND('Mapa final'!$H$58="Muy Baja",'Mapa final'!$L$58="Menor"),CONCATENATE("R",'Mapa final'!$A$58),"")</f>
        <v/>
      </c>
      <c r="U42" s="295"/>
      <c r="V42" s="302" t="str">
        <f>IF(AND('Mapa final'!$H$46="Muy Baja",'Mapa final'!$L$46="Moderado"),CONCATENATE("R",'Mapa final'!$A$46),"")</f>
        <v/>
      </c>
      <c r="W42" s="303"/>
      <c r="X42" s="303" t="str">
        <f>IF(AND('Mapa final'!$H$52="Muy Baja",'Mapa final'!$L$52="Moderado"),CONCATENATE("R",'Mapa final'!$A$52),"")</f>
        <v/>
      </c>
      <c r="Y42" s="303"/>
      <c r="Z42" s="303" t="str">
        <f>IF(AND('Mapa final'!$H$58="Muy Baja",'Mapa final'!$L$58="Moderado"),CONCATENATE("R",'Mapa final'!$A$58),"")</f>
        <v/>
      </c>
      <c r="AA42" s="304"/>
      <c r="AB42" s="320" t="str">
        <f>IF(AND('Mapa final'!$H$46="Muy Baja",'Mapa final'!$L$46="Mayor"),CONCATENATE("R",'Mapa final'!$A$46),"")</f>
        <v/>
      </c>
      <c r="AC42" s="321"/>
      <c r="AD42" s="322" t="str">
        <f>IF(AND('Mapa final'!$H$52="Muy Baja",'Mapa final'!$L$52="Mayor"),CONCATENATE("R",'Mapa final'!$A$52),"")</f>
        <v/>
      </c>
      <c r="AE42" s="322"/>
      <c r="AF42" s="322" t="str">
        <f>IF(AND('Mapa final'!$H$58="Muy Baja",'Mapa final'!$L$58="Mayor"),CONCATENATE("R",'Mapa final'!$A$58),"")</f>
        <v/>
      </c>
      <c r="AG42" s="323"/>
      <c r="AH42" s="311" t="str">
        <f>IF(AND('Mapa final'!$H$46="Muy Baja",'Mapa final'!$L$46="Catastrófico"),CONCATENATE("R",'Mapa final'!$A$46),"")</f>
        <v/>
      </c>
      <c r="AI42" s="312"/>
      <c r="AJ42" s="312" t="str">
        <f>IF(AND('Mapa final'!$H$52="Muy Baja",'Mapa final'!$L$52="Catastrófico"),CONCATENATE("R",'Mapa final'!$A$52),"")</f>
        <v/>
      </c>
      <c r="AK42" s="312"/>
      <c r="AL42" s="312" t="str">
        <f>IF(AND('Mapa final'!$H$58="Muy Baja",'Mapa final'!$L$58="Catastrófico"),CONCATENATE("R",'Mapa final'!$A$58),"")</f>
        <v/>
      </c>
      <c r="AM42" s="313"/>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row>
    <row r="43" spans="1:80" x14ac:dyDescent="0.25">
      <c r="A43" s="99"/>
      <c r="B43" s="342"/>
      <c r="C43" s="342"/>
      <c r="D43" s="343"/>
      <c r="E43" s="334"/>
      <c r="F43" s="335"/>
      <c r="G43" s="335"/>
      <c r="H43" s="335"/>
      <c r="I43" s="336"/>
      <c r="J43" s="293"/>
      <c r="K43" s="294"/>
      <c r="L43" s="294"/>
      <c r="M43" s="294"/>
      <c r="N43" s="294"/>
      <c r="O43" s="295"/>
      <c r="P43" s="293"/>
      <c r="Q43" s="294"/>
      <c r="R43" s="294"/>
      <c r="S43" s="294"/>
      <c r="T43" s="294"/>
      <c r="U43" s="295"/>
      <c r="V43" s="302"/>
      <c r="W43" s="303"/>
      <c r="X43" s="303"/>
      <c r="Y43" s="303"/>
      <c r="Z43" s="303"/>
      <c r="AA43" s="304"/>
      <c r="AB43" s="320"/>
      <c r="AC43" s="321"/>
      <c r="AD43" s="322"/>
      <c r="AE43" s="322"/>
      <c r="AF43" s="322"/>
      <c r="AG43" s="323"/>
      <c r="AH43" s="311"/>
      <c r="AI43" s="312"/>
      <c r="AJ43" s="312"/>
      <c r="AK43" s="312"/>
      <c r="AL43" s="312"/>
      <c r="AM43" s="313"/>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row>
    <row r="44" spans="1:80" x14ac:dyDescent="0.25">
      <c r="A44" s="99"/>
      <c r="B44" s="342"/>
      <c r="C44" s="342"/>
      <c r="D44" s="343"/>
      <c r="E44" s="334"/>
      <c r="F44" s="335"/>
      <c r="G44" s="335"/>
      <c r="H44" s="335"/>
      <c r="I44" s="336"/>
      <c r="J44" s="293" t="str">
        <f>IF(AND('Mapa final'!$H$64="Muy Baja",'Mapa final'!$L$64="Leve"),CONCATENATE("R",'Mapa final'!$A$64),"")</f>
        <v/>
      </c>
      <c r="K44" s="294"/>
      <c r="L44" s="294" t="str">
        <f>IF(AND('Mapa final'!$H$70="Muy Baja",'Mapa final'!$L$70="Leve"),CONCATENATE("R",'Mapa final'!$A$70),"")</f>
        <v/>
      </c>
      <c r="M44" s="294"/>
      <c r="N44" s="294" t="str">
        <f>IF(AND('Mapa final'!$H$76="Muy Baja",'Mapa final'!$L$76="Leve"),CONCATENATE("R",'Mapa final'!$A$76),"")</f>
        <v/>
      </c>
      <c r="O44" s="295"/>
      <c r="P44" s="293" t="str">
        <f>IF(AND('Mapa final'!$H$64="Muy Baja",'Mapa final'!$L$64="Menor"),CONCATENATE("R",'Mapa final'!$A$64),"")</f>
        <v/>
      </c>
      <c r="Q44" s="294"/>
      <c r="R44" s="294" t="str">
        <f>IF(AND('Mapa final'!$H$70="Muy Baja",'Mapa final'!$L$70="Menor"),CONCATENATE("R",'Mapa final'!$A$70),"")</f>
        <v/>
      </c>
      <c r="S44" s="294"/>
      <c r="T44" s="294" t="str">
        <f>IF(AND('Mapa final'!$H$76="Muy Baja",'Mapa final'!$L$76="Menor"),CONCATENATE("R",'Mapa final'!$A$76),"")</f>
        <v/>
      </c>
      <c r="U44" s="295"/>
      <c r="V44" s="302" t="str">
        <f>IF(AND('Mapa final'!$H$64="Muy Baja",'Mapa final'!$L$64="Moderado"),CONCATENATE("R",'Mapa final'!$A$64),"")</f>
        <v/>
      </c>
      <c r="W44" s="303"/>
      <c r="X44" s="303" t="str">
        <f>IF(AND('Mapa final'!$H$70="Muy Baja",'Mapa final'!$L$70="Moderado"),CONCATENATE("R",'Mapa final'!$A$70),"")</f>
        <v/>
      </c>
      <c r="Y44" s="303"/>
      <c r="Z44" s="303" t="str">
        <f>IF(AND('Mapa final'!$H$76="Muy Baja",'Mapa final'!$L$76="Moderado"),CONCATENATE("R",'Mapa final'!$A$76),"")</f>
        <v/>
      </c>
      <c r="AA44" s="304"/>
      <c r="AB44" s="320" t="str">
        <f>IF(AND('Mapa final'!$H$64="Muy Baja",'Mapa final'!$L$64="Mayor"),CONCATENATE("R",'Mapa final'!$A$64),"")</f>
        <v/>
      </c>
      <c r="AC44" s="321"/>
      <c r="AD44" s="322" t="str">
        <f>IF(AND('Mapa final'!$H$70="Muy Baja",'Mapa final'!$L$70="Mayor"),CONCATENATE("R",'Mapa final'!$A$70),"")</f>
        <v/>
      </c>
      <c r="AE44" s="322"/>
      <c r="AF44" s="322" t="str">
        <f>IF(AND('Mapa final'!$H$76="Muy Baja",'Mapa final'!$L$76="Mayor"),CONCATENATE("R",'Mapa final'!$A$76),"")</f>
        <v/>
      </c>
      <c r="AG44" s="323"/>
      <c r="AH44" s="311" t="str">
        <f>IF(AND('Mapa final'!$H$64="Muy Baja",'Mapa final'!$L$64="Catastrófico"),CONCATENATE("R",'Mapa final'!$A$64),"")</f>
        <v/>
      </c>
      <c r="AI44" s="312"/>
      <c r="AJ44" s="312" t="str">
        <f>IF(AND('Mapa final'!$H$70="Muy Baja",'Mapa final'!$L$70="Catastrófico"),CONCATENATE("R",'Mapa final'!$A$70),"")</f>
        <v/>
      </c>
      <c r="AK44" s="312"/>
      <c r="AL44" s="312" t="str">
        <f>IF(AND('Mapa final'!$H$76="Muy Baja",'Mapa final'!$L$76="Catastrófico"),CONCATENATE("R",'Mapa final'!$A$76),"")</f>
        <v/>
      </c>
      <c r="AM44" s="313"/>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row>
    <row r="45" spans="1:80" ht="15.75" thickBot="1" x14ac:dyDescent="0.3">
      <c r="A45" s="99"/>
      <c r="B45" s="342"/>
      <c r="C45" s="342"/>
      <c r="D45" s="343"/>
      <c r="E45" s="337"/>
      <c r="F45" s="338"/>
      <c r="G45" s="338"/>
      <c r="H45" s="338"/>
      <c r="I45" s="339"/>
      <c r="J45" s="296"/>
      <c r="K45" s="297"/>
      <c r="L45" s="297"/>
      <c r="M45" s="297"/>
      <c r="N45" s="297"/>
      <c r="O45" s="298"/>
      <c r="P45" s="296"/>
      <c r="Q45" s="297"/>
      <c r="R45" s="297"/>
      <c r="S45" s="297"/>
      <c r="T45" s="297"/>
      <c r="U45" s="298"/>
      <c r="V45" s="305"/>
      <c r="W45" s="306"/>
      <c r="X45" s="306"/>
      <c r="Y45" s="306"/>
      <c r="Z45" s="306"/>
      <c r="AA45" s="307"/>
      <c r="AB45" s="324"/>
      <c r="AC45" s="325"/>
      <c r="AD45" s="325"/>
      <c r="AE45" s="325"/>
      <c r="AF45" s="325"/>
      <c r="AG45" s="326"/>
      <c r="AH45" s="314"/>
      <c r="AI45" s="315"/>
      <c r="AJ45" s="315"/>
      <c r="AK45" s="315"/>
      <c r="AL45" s="315"/>
      <c r="AM45" s="316"/>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row>
    <row r="46" spans="1:80" x14ac:dyDescent="0.25">
      <c r="A46" s="99"/>
      <c r="B46" s="99"/>
      <c r="C46" s="99"/>
      <c r="D46" s="99"/>
      <c r="E46" s="99"/>
      <c r="F46" s="99"/>
      <c r="G46" s="99"/>
      <c r="H46" s="99"/>
      <c r="I46" s="99"/>
      <c r="J46" s="331" t="s">
        <v>112</v>
      </c>
      <c r="K46" s="332"/>
      <c r="L46" s="332"/>
      <c r="M46" s="332"/>
      <c r="N46" s="332"/>
      <c r="O46" s="333"/>
      <c r="P46" s="331" t="s">
        <v>111</v>
      </c>
      <c r="Q46" s="332"/>
      <c r="R46" s="332"/>
      <c r="S46" s="332"/>
      <c r="T46" s="332"/>
      <c r="U46" s="333"/>
      <c r="V46" s="331" t="s">
        <v>110</v>
      </c>
      <c r="W46" s="332"/>
      <c r="X46" s="332"/>
      <c r="Y46" s="332"/>
      <c r="Z46" s="332"/>
      <c r="AA46" s="333"/>
      <c r="AB46" s="331" t="s">
        <v>109</v>
      </c>
      <c r="AC46" s="341"/>
      <c r="AD46" s="332"/>
      <c r="AE46" s="332"/>
      <c r="AF46" s="332"/>
      <c r="AG46" s="333"/>
      <c r="AH46" s="331" t="s">
        <v>108</v>
      </c>
      <c r="AI46" s="332"/>
      <c r="AJ46" s="332"/>
      <c r="AK46" s="332"/>
      <c r="AL46" s="332"/>
      <c r="AM46" s="333"/>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row>
    <row r="47" spans="1:80" x14ac:dyDescent="0.25">
      <c r="A47" s="99"/>
      <c r="B47" s="99"/>
      <c r="C47" s="99"/>
      <c r="D47" s="99"/>
      <c r="E47" s="99"/>
      <c r="F47" s="99"/>
      <c r="G47" s="99"/>
      <c r="H47" s="99"/>
      <c r="I47" s="99"/>
      <c r="J47" s="334"/>
      <c r="K47" s="335"/>
      <c r="L47" s="335"/>
      <c r="M47" s="335"/>
      <c r="N47" s="335"/>
      <c r="O47" s="336"/>
      <c r="P47" s="334"/>
      <c r="Q47" s="335"/>
      <c r="R47" s="335"/>
      <c r="S47" s="335"/>
      <c r="T47" s="335"/>
      <c r="U47" s="336"/>
      <c r="V47" s="334"/>
      <c r="W47" s="335"/>
      <c r="X47" s="335"/>
      <c r="Y47" s="335"/>
      <c r="Z47" s="335"/>
      <c r="AA47" s="336"/>
      <c r="AB47" s="334"/>
      <c r="AC47" s="335"/>
      <c r="AD47" s="335"/>
      <c r="AE47" s="335"/>
      <c r="AF47" s="335"/>
      <c r="AG47" s="336"/>
      <c r="AH47" s="334"/>
      <c r="AI47" s="335"/>
      <c r="AJ47" s="335"/>
      <c r="AK47" s="335"/>
      <c r="AL47" s="335"/>
      <c r="AM47" s="336"/>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row>
    <row r="48" spans="1:80" x14ac:dyDescent="0.25">
      <c r="A48" s="99"/>
      <c r="B48" s="99"/>
      <c r="C48" s="99"/>
      <c r="D48" s="99"/>
      <c r="E48" s="99"/>
      <c r="F48" s="99"/>
      <c r="G48" s="99"/>
      <c r="H48" s="99"/>
      <c r="I48" s="99"/>
      <c r="J48" s="334"/>
      <c r="K48" s="335"/>
      <c r="L48" s="335"/>
      <c r="M48" s="335"/>
      <c r="N48" s="335"/>
      <c r="O48" s="336"/>
      <c r="P48" s="334"/>
      <c r="Q48" s="335"/>
      <c r="R48" s="335"/>
      <c r="S48" s="335"/>
      <c r="T48" s="335"/>
      <c r="U48" s="336"/>
      <c r="V48" s="334"/>
      <c r="W48" s="335"/>
      <c r="X48" s="335"/>
      <c r="Y48" s="335"/>
      <c r="Z48" s="335"/>
      <c r="AA48" s="336"/>
      <c r="AB48" s="334"/>
      <c r="AC48" s="335"/>
      <c r="AD48" s="335"/>
      <c r="AE48" s="335"/>
      <c r="AF48" s="335"/>
      <c r="AG48" s="336"/>
      <c r="AH48" s="334"/>
      <c r="AI48" s="335"/>
      <c r="AJ48" s="335"/>
      <c r="AK48" s="335"/>
      <c r="AL48" s="335"/>
      <c r="AM48" s="336"/>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row>
    <row r="49" spans="1:80" x14ac:dyDescent="0.25">
      <c r="A49" s="99"/>
      <c r="B49" s="99"/>
      <c r="C49" s="99"/>
      <c r="D49" s="99"/>
      <c r="E49" s="99"/>
      <c r="F49" s="99"/>
      <c r="G49" s="99"/>
      <c r="H49" s="99"/>
      <c r="I49" s="99"/>
      <c r="J49" s="334"/>
      <c r="K49" s="335"/>
      <c r="L49" s="335"/>
      <c r="M49" s="335"/>
      <c r="N49" s="335"/>
      <c r="O49" s="336"/>
      <c r="P49" s="334"/>
      <c r="Q49" s="335"/>
      <c r="R49" s="335"/>
      <c r="S49" s="335"/>
      <c r="T49" s="335"/>
      <c r="U49" s="336"/>
      <c r="V49" s="334"/>
      <c r="W49" s="335"/>
      <c r="X49" s="335"/>
      <c r="Y49" s="335"/>
      <c r="Z49" s="335"/>
      <c r="AA49" s="336"/>
      <c r="AB49" s="334"/>
      <c r="AC49" s="335"/>
      <c r="AD49" s="335"/>
      <c r="AE49" s="335"/>
      <c r="AF49" s="335"/>
      <c r="AG49" s="336"/>
      <c r="AH49" s="334"/>
      <c r="AI49" s="335"/>
      <c r="AJ49" s="335"/>
      <c r="AK49" s="335"/>
      <c r="AL49" s="335"/>
      <c r="AM49" s="336"/>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row>
    <row r="50" spans="1:80" x14ac:dyDescent="0.25">
      <c r="A50" s="99"/>
      <c r="B50" s="99"/>
      <c r="C50" s="99"/>
      <c r="D50" s="99"/>
      <c r="E50" s="99"/>
      <c r="F50" s="99"/>
      <c r="G50" s="99"/>
      <c r="H50" s="99"/>
      <c r="I50" s="99"/>
      <c r="J50" s="334"/>
      <c r="K50" s="335"/>
      <c r="L50" s="335"/>
      <c r="M50" s="335"/>
      <c r="N50" s="335"/>
      <c r="O50" s="336"/>
      <c r="P50" s="334"/>
      <c r="Q50" s="335"/>
      <c r="R50" s="335"/>
      <c r="S50" s="335"/>
      <c r="T50" s="335"/>
      <c r="U50" s="336"/>
      <c r="V50" s="334"/>
      <c r="W50" s="335"/>
      <c r="X50" s="335"/>
      <c r="Y50" s="335"/>
      <c r="Z50" s="335"/>
      <c r="AA50" s="336"/>
      <c r="AB50" s="334"/>
      <c r="AC50" s="335"/>
      <c r="AD50" s="335"/>
      <c r="AE50" s="335"/>
      <c r="AF50" s="335"/>
      <c r="AG50" s="336"/>
      <c r="AH50" s="334"/>
      <c r="AI50" s="335"/>
      <c r="AJ50" s="335"/>
      <c r="AK50" s="335"/>
      <c r="AL50" s="335"/>
      <c r="AM50" s="336"/>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row>
    <row r="51" spans="1:80" ht="15.75" thickBot="1" x14ac:dyDescent="0.3">
      <c r="A51" s="99"/>
      <c r="B51" s="99"/>
      <c r="C51" s="99"/>
      <c r="D51" s="99"/>
      <c r="E51" s="99"/>
      <c r="F51" s="99"/>
      <c r="G51" s="99"/>
      <c r="H51" s="99"/>
      <c r="I51" s="99"/>
      <c r="J51" s="337"/>
      <c r="K51" s="338"/>
      <c r="L51" s="338"/>
      <c r="M51" s="338"/>
      <c r="N51" s="338"/>
      <c r="O51" s="339"/>
      <c r="P51" s="337"/>
      <c r="Q51" s="338"/>
      <c r="R51" s="338"/>
      <c r="S51" s="338"/>
      <c r="T51" s="338"/>
      <c r="U51" s="339"/>
      <c r="V51" s="337"/>
      <c r="W51" s="338"/>
      <c r="X51" s="338"/>
      <c r="Y51" s="338"/>
      <c r="Z51" s="338"/>
      <c r="AA51" s="339"/>
      <c r="AB51" s="337"/>
      <c r="AC51" s="338"/>
      <c r="AD51" s="338"/>
      <c r="AE51" s="338"/>
      <c r="AF51" s="338"/>
      <c r="AG51" s="339"/>
      <c r="AH51" s="337"/>
      <c r="AI51" s="338"/>
      <c r="AJ51" s="338"/>
      <c r="AK51" s="338"/>
      <c r="AL51" s="338"/>
      <c r="AM51" s="33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row>
    <row r="52" spans="1:80" x14ac:dyDescent="0.2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row>
    <row r="53" spans="1:80" ht="15" customHeight="1" x14ac:dyDescent="0.25">
      <c r="A53" s="99"/>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row>
    <row r="54" spans="1:80" ht="15" customHeight="1" x14ac:dyDescent="0.25">
      <c r="A54" s="99"/>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row>
    <row r="55" spans="1:80" x14ac:dyDescent="0.2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row>
    <row r="56" spans="1:80" x14ac:dyDescent="0.25">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row>
    <row r="57" spans="1:80" x14ac:dyDescent="0.2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row>
    <row r="58" spans="1:80" x14ac:dyDescent="0.2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row>
    <row r="59" spans="1:80" x14ac:dyDescent="0.2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row>
    <row r="60" spans="1:80" x14ac:dyDescent="0.2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row>
    <row r="61" spans="1:80" x14ac:dyDescent="0.2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row>
    <row r="62" spans="1:80" x14ac:dyDescent="0.2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row>
    <row r="63" spans="1:80" x14ac:dyDescent="0.2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row>
    <row r="64" spans="1:80" x14ac:dyDescent="0.2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row>
    <row r="65" spans="1:80" x14ac:dyDescent="0.2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row>
    <row r="66" spans="1:80" x14ac:dyDescent="0.2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row>
    <row r="67" spans="1:80" x14ac:dyDescent="0.2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row>
    <row r="68" spans="1:80" x14ac:dyDescent="0.2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row>
    <row r="69" spans="1:80" x14ac:dyDescent="0.2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row>
    <row r="70" spans="1:80" x14ac:dyDescent="0.2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row>
    <row r="71" spans="1:80" x14ac:dyDescent="0.2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row>
    <row r="72" spans="1:80" x14ac:dyDescent="0.2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row>
    <row r="73" spans="1:80" x14ac:dyDescent="0.2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row>
    <row r="74" spans="1:80" x14ac:dyDescent="0.2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row>
    <row r="75" spans="1:80" x14ac:dyDescent="0.2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row>
    <row r="76" spans="1:80" x14ac:dyDescent="0.2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row>
    <row r="77" spans="1:80"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row>
    <row r="78" spans="1:80" x14ac:dyDescent="0.2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row>
    <row r="79" spans="1:80" x14ac:dyDescent="0.2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row>
    <row r="80" spans="1:80"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row>
    <row r="81" spans="1:63" x14ac:dyDescent="0.2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row>
    <row r="82" spans="1:63" x14ac:dyDescent="0.2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row>
    <row r="83" spans="1:63" x14ac:dyDescent="0.25">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row>
    <row r="84" spans="1:63" x14ac:dyDescent="0.25">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row>
    <row r="85" spans="1:63" x14ac:dyDescent="0.2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row>
    <row r="86" spans="1:63" x14ac:dyDescent="0.25">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row>
    <row r="87" spans="1:63" x14ac:dyDescent="0.25">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row>
    <row r="88" spans="1:63" x14ac:dyDescent="0.25">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row>
    <row r="89" spans="1:63" x14ac:dyDescent="0.2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row>
    <row r="90" spans="1:63" x14ac:dyDescent="0.25">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row>
    <row r="91" spans="1:63" x14ac:dyDescent="0.25">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row>
    <row r="92" spans="1:63" x14ac:dyDescent="0.2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row>
    <row r="93" spans="1:63" x14ac:dyDescent="0.2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row>
    <row r="94" spans="1:63" x14ac:dyDescent="0.2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row>
    <row r="95" spans="1:63" x14ac:dyDescent="0.25">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row>
    <row r="96" spans="1:63" x14ac:dyDescent="0.25">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row>
    <row r="97" spans="1:63" x14ac:dyDescent="0.25">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row>
    <row r="98" spans="1:63" x14ac:dyDescent="0.25">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row>
    <row r="99" spans="1:63" x14ac:dyDescent="0.25">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row>
    <row r="100" spans="1:63" x14ac:dyDescent="0.25">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row>
    <row r="101" spans="1:63" x14ac:dyDescent="0.25">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row>
    <row r="102" spans="1:63" x14ac:dyDescent="0.25">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row>
    <row r="103" spans="1:63" x14ac:dyDescent="0.25">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row>
    <row r="104" spans="1:63" x14ac:dyDescent="0.25">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row>
    <row r="105" spans="1:63" x14ac:dyDescent="0.25">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row>
    <row r="106" spans="1:63" x14ac:dyDescent="0.25">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row>
    <row r="107" spans="1:63" x14ac:dyDescent="0.25">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row>
    <row r="108" spans="1:63" x14ac:dyDescent="0.25">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row>
    <row r="109" spans="1:63" x14ac:dyDescent="0.25">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row>
    <row r="110" spans="1:63" x14ac:dyDescent="0.25">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row>
    <row r="111" spans="1:63" x14ac:dyDescent="0.25">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row>
    <row r="112" spans="1:63" x14ac:dyDescent="0.25">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row>
    <row r="113" spans="1:63" x14ac:dyDescent="0.25">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row>
    <row r="114" spans="1:63" x14ac:dyDescent="0.25">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row>
    <row r="115" spans="1:63" x14ac:dyDescent="0.25">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row>
    <row r="116" spans="1:63" x14ac:dyDescent="0.25">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row>
    <row r="117" spans="1:63" x14ac:dyDescent="0.25">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row>
    <row r="118" spans="1:63" x14ac:dyDescent="0.25">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row>
    <row r="119" spans="1:63" x14ac:dyDescent="0.25">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row>
    <row r="120" spans="1:63" x14ac:dyDescent="0.25">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row>
    <row r="121" spans="1:63" x14ac:dyDescent="0.25">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row>
    <row r="122" spans="1:63" x14ac:dyDescent="0.25">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row>
    <row r="123" spans="1:63" x14ac:dyDescent="0.25">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row>
    <row r="124" spans="1:63" x14ac:dyDescent="0.25">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row>
    <row r="125" spans="1:63" x14ac:dyDescent="0.25">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row>
    <row r="126" spans="1:63" x14ac:dyDescent="0.25">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row>
    <row r="127" spans="1:63" x14ac:dyDescent="0.25">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row>
    <row r="128" spans="1:63" x14ac:dyDescent="0.25">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row>
    <row r="129" spans="2:63" x14ac:dyDescent="0.25">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row>
    <row r="130" spans="2:63" x14ac:dyDescent="0.25">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row>
    <row r="131" spans="2:63" x14ac:dyDescent="0.25">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row>
    <row r="132" spans="2:63" x14ac:dyDescent="0.25">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row>
    <row r="133" spans="2:63" x14ac:dyDescent="0.25">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row>
    <row r="134" spans="2:63" x14ac:dyDescent="0.25">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row>
    <row r="135" spans="2:63" x14ac:dyDescent="0.25">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row>
    <row r="136" spans="2:63" x14ac:dyDescent="0.25">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row>
    <row r="137" spans="2:63" x14ac:dyDescent="0.25">
      <c r="B137" s="99"/>
      <c r="C137" s="99"/>
      <c r="D137" s="99"/>
      <c r="E137" s="99"/>
      <c r="F137" s="99"/>
      <c r="G137" s="99"/>
      <c r="H137" s="99"/>
      <c r="I137" s="99"/>
    </row>
    <row r="138" spans="2:63" x14ac:dyDescent="0.25">
      <c r="B138" s="99"/>
      <c r="C138" s="99"/>
      <c r="D138" s="99"/>
      <c r="E138" s="99"/>
      <c r="F138" s="99"/>
      <c r="G138" s="99"/>
      <c r="H138" s="99"/>
      <c r="I138" s="99"/>
    </row>
    <row r="139" spans="2:63" x14ac:dyDescent="0.25">
      <c r="B139" s="99"/>
      <c r="C139" s="99"/>
      <c r="D139" s="99"/>
      <c r="E139" s="99"/>
      <c r="F139" s="99"/>
      <c r="G139" s="99"/>
      <c r="H139" s="99"/>
      <c r="I139" s="99"/>
    </row>
    <row r="140" spans="2:63" x14ac:dyDescent="0.25">
      <c r="B140" s="99"/>
      <c r="C140" s="99"/>
      <c r="D140" s="99"/>
      <c r="E140" s="99"/>
      <c r="F140" s="99"/>
      <c r="G140" s="99"/>
      <c r="H140" s="99"/>
      <c r="I140" s="99"/>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5" zoomScaleNormal="50" workbookViewId="0">
      <selection activeCell="AA70" sqref="AA70"/>
    </sheetView>
  </sheetViews>
  <sheetFormatPr baseColWidth="10" defaultRowHeight="15" x14ac:dyDescent="0.25"/>
  <cols>
    <col min="2" max="18" width="5.7109375" customWidth="1"/>
    <col min="19" max="19" width="8.42578125" customWidth="1"/>
    <col min="20" max="21" width="5.7109375" customWidth="1"/>
    <col min="22" max="22" width="8.28515625" customWidth="1"/>
    <col min="23"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row>
    <row r="2" spans="1:91" ht="18" customHeight="1" x14ac:dyDescent="0.25">
      <c r="A2" s="99"/>
      <c r="B2" s="410" t="s">
        <v>160</v>
      </c>
      <c r="C2" s="411"/>
      <c r="D2" s="411"/>
      <c r="E2" s="411"/>
      <c r="F2" s="411"/>
      <c r="G2" s="411"/>
      <c r="H2" s="411"/>
      <c r="I2" s="411"/>
      <c r="J2" s="330" t="s">
        <v>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row>
    <row r="3" spans="1:91" ht="18.75" customHeight="1" x14ac:dyDescent="0.25">
      <c r="A3" s="99"/>
      <c r="B3" s="411"/>
      <c r="C3" s="411"/>
      <c r="D3" s="411"/>
      <c r="E3" s="411"/>
      <c r="F3" s="411"/>
      <c r="G3" s="411"/>
      <c r="H3" s="411"/>
      <c r="I3" s="411"/>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row>
    <row r="4" spans="1:91" ht="15" customHeight="1" x14ac:dyDescent="0.25">
      <c r="A4" s="99"/>
      <c r="B4" s="411"/>
      <c r="C4" s="411"/>
      <c r="D4" s="411"/>
      <c r="E4" s="411"/>
      <c r="F4" s="411"/>
      <c r="G4" s="411"/>
      <c r="H4" s="411"/>
      <c r="I4" s="411"/>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row>
    <row r="5" spans="1:91" ht="15.75" thickBot="1" x14ac:dyDescent="0.3">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row>
    <row r="6" spans="1:91" ht="15" customHeight="1" x14ac:dyDescent="0.25">
      <c r="A6" s="99"/>
      <c r="B6" s="342" t="s">
        <v>4</v>
      </c>
      <c r="C6" s="342"/>
      <c r="D6" s="343"/>
      <c r="E6" s="380" t="s">
        <v>116</v>
      </c>
      <c r="F6" s="381"/>
      <c r="G6" s="381"/>
      <c r="H6" s="381"/>
      <c r="I6" s="382"/>
      <c r="J6" s="61" t="str">
        <f>IF(AND('Mapa final'!$Y$10="Muy Alta",'Mapa final'!$AA$10="Leve"),CONCATENATE("R1C",'Mapa final'!$O$10),"")</f>
        <v/>
      </c>
      <c r="K6" s="62" t="str">
        <f>IF(AND('Mapa final'!$Y$11="Muy Alta",'Mapa final'!$AA$11="Leve"),CONCATENATE("R1C",'Mapa final'!$O$11),"")</f>
        <v/>
      </c>
      <c r="L6" s="62" t="str">
        <f>IF(AND('Mapa final'!$Y$12="Muy Alta",'Mapa final'!$AA$12="Leve"),CONCATENATE("R1C",'Mapa final'!$O$12),"")</f>
        <v/>
      </c>
      <c r="M6" s="62" t="str">
        <f>IF(AND('Mapa final'!$Y$13="Muy Alta",'Mapa final'!$AA$13="Leve"),CONCATENATE("R1C",'Mapa final'!$O$13),"")</f>
        <v/>
      </c>
      <c r="N6" s="62" t="str">
        <f>IF(AND('Mapa final'!$Y$14="Muy Alta",'Mapa final'!$AA$14="Leve"),CONCATENATE("R1C",'Mapa final'!$O$14),"")</f>
        <v/>
      </c>
      <c r="O6" s="63" t="str">
        <f>IF(AND('Mapa final'!$Y$15="Muy Alta",'Mapa final'!$AA$15="Leve"),CONCATENATE("R1C",'Mapa final'!$O$15),"")</f>
        <v/>
      </c>
      <c r="P6" s="61" t="str">
        <f>IF(AND('Mapa final'!$Y$10="Muy Alta",'Mapa final'!$AA$10="Menor"),CONCATENATE("R1C",'Mapa final'!$O$10),"")</f>
        <v/>
      </c>
      <c r="Q6" s="62" t="str">
        <f>IF(AND('Mapa final'!$Y$11="Muy Alta",'Mapa final'!$AA$11="Menor"),CONCATENATE("R1C",'Mapa final'!$O$11),"")</f>
        <v/>
      </c>
      <c r="R6" s="62" t="str">
        <f>IF(AND('Mapa final'!$Y$12="Muy Alta",'Mapa final'!$AA$12="Menor"),CONCATENATE("R1C",'Mapa final'!$O$12),"")</f>
        <v/>
      </c>
      <c r="S6" s="62" t="str">
        <f>IF(AND('Mapa final'!$Y$13="Muy Alta",'Mapa final'!$AA$13="Menor"),CONCATENATE("R1C",'Mapa final'!$O$13),"")</f>
        <v/>
      </c>
      <c r="T6" s="62" t="str">
        <f>IF(AND('Mapa final'!$Y$14="Muy Alta",'Mapa final'!$AA$14="Menor"),CONCATENATE("R1C",'Mapa final'!$O$14),"")</f>
        <v/>
      </c>
      <c r="U6" s="63" t="str">
        <f>IF(AND('Mapa final'!$Y$15="Muy Alta",'Mapa final'!$AA$15="Menor"),CONCATENATE("R1C",'Mapa final'!$O$15),"")</f>
        <v/>
      </c>
      <c r="V6" s="61" t="str">
        <f>IF(AND('Mapa final'!$Y$10="Muy Alta",'Mapa final'!$AA$10="Moderado"),CONCATENATE("R1C",'Mapa final'!$O$10),"")</f>
        <v/>
      </c>
      <c r="W6" s="62" t="str">
        <f>IF(AND('Mapa final'!$Y$11="Muy Alta",'Mapa final'!$AA$11="Moderado"),CONCATENATE("R1C",'Mapa final'!$O$11),"")</f>
        <v/>
      </c>
      <c r="X6" s="62" t="str">
        <f>IF(AND('Mapa final'!$Y$12="Muy Alta",'Mapa final'!$AA$12="Moderado"),CONCATENATE("R1C",'Mapa final'!$O$12),"")</f>
        <v/>
      </c>
      <c r="Y6" s="62" t="str">
        <f>IF(AND('Mapa final'!$Y$13="Muy Alta",'Mapa final'!$AA$13="Moderado"),CONCATENATE("R1C",'Mapa final'!$O$13),"")</f>
        <v/>
      </c>
      <c r="Z6" s="62" t="str">
        <f>IF(AND('Mapa final'!$Y$14="Muy Alta",'Mapa final'!$AA$14="Moderado"),CONCATENATE("R1C",'Mapa final'!$O$14),"")</f>
        <v/>
      </c>
      <c r="AA6" s="63" t="str">
        <f>IF(AND('Mapa final'!$Y$15="Muy Alta",'Mapa final'!$AA$15="Moderado"),CONCATENATE("R1C",'Mapa final'!$O$15),"")</f>
        <v/>
      </c>
      <c r="AB6" s="61" t="str">
        <f>IF(AND('Mapa final'!$Y$10="Muy Alta",'Mapa final'!$AA$10="Mayor"),CONCATENATE("R1C",'Mapa final'!$O$10),"")</f>
        <v/>
      </c>
      <c r="AC6" s="62" t="str">
        <f>IF(AND('Mapa final'!$Y$11="Muy Alta",'Mapa final'!$AA$11="Mayor"),CONCATENATE("R1C",'Mapa final'!$O$11),"")</f>
        <v/>
      </c>
      <c r="AD6" s="62" t="str">
        <f>IF(AND('Mapa final'!$Y$12="Muy Alta",'Mapa final'!$AA$12="Mayor"),CONCATENATE("R1C",'Mapa final'!$O$12),"")</f>
        <v/>
      </c>
      <c r="AE6" s="62" t="str">
        <f>IF(AND('Mapa final'!$Y$13="Muy Alta",'Mapa final'!$AA$13="Mayor"),CONCATENATE("R1C",'Mapa final'!$O$13),"")</f>
        <v/>
      </c>
      <c r="AF6" s="62" t="str">
        <f>IF(AND('Mapa final'!$Y$14="Muy Alta",'Mapa final'!$AA$14="Mayor"),CONCATENATE("R1C",'Mapa final'!$O$14),"")</f>
        <v/>
      </c>
      <c r="AG6" s="63" t="str">
        <f>IF(AND('Mapa final'!$Y$15="Muy Alta",'Mapa final'!$AA$15="Mayor"),CONCATENATE("R1C",'Mapa final'!$O$15),"")</f>
        <v/>
      </c>
      <c r="AH6" s="64" t="str">
        <f>IF(AND('Mapa final'!$Y$10="Muy Alta",'Mapa final'!$AA$10="Catastrófico"),CONCATENATE("R1C",'Mapa final'!$O$10),"")</f>
        <v/>
      </c>
      <c r="AI6" s="65" t="str">
        <f>IF(AND('Mapa final'!$Y$11="Muy Alta",'Mapa final'!$AA$11="Catastrófico"),CONCATENATE("R1C",'Mapa final'!$O$11),"")</f>
        <v/>
      </c>
      <c r="AJ6" s="65" t="str">
        <f>IF(AND('Mapa final'!$Y$12="Muy Alta",'Mapa final'!$AA$12="Catastrófico"),CONCATENATE("R1C",'Mapa final'!$O$12),"")</f>
        <v/>
      </c>
      <c r="AK6" s="65" t="str">
        <f>IF(AND('Mapa final'!$Y$13="Muy Alta",'Mapa final'!$AA$13="Catastrófico"),CONCATENATE("R1C",'Mapa final'!$O$13),"")</f>
        <v/>
      </c>
      <c r="AL6" s="65" t="str">
        <f>IF(AND('Mapa final'!$Y$14="Muy Alta",'Mapa final'!$AA$14="Catastrófico"),CONCATENATE("R1C",'Mapa final'!$O$14),"")</f>
        <v/>
      </c>
      <c r="AM6" s="66" t="str">
        <f>IF(AND('Mapa final'!$Y$15="Muy Alta",'Mapa final'!$AA$15="Catastrófico"),CONCATENATE("R1C",'Mapa final'!$O$15),"")</f>
        <v/>
      </c>
      <c r="AN6" s="99"/>
      <c r="AO6" s="401" t="s">
        <v>79</v>
      </c>
      <c r="AP6" s="402"/>
      <c r="AQ6" s="402"/>
      <c r="AR6" s="402"/>
      <c r="AS6" s="402"/>
      <c r="AT6" s="403"/>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row>
    <row r="7" spans="1:91" ht="15" customHeight="1" x14ac:dyDescent="0.25">
      <c r="A7" s="99"/>
      <c r="B7" s="342"/>
      <c r="C7" s="342"/>
      <c r="D7" s="343"/>
      <c r="E7" s="383"/>
      <c r="F7" s="384"/>
      <c r="G7" s="384"/>
      <c r="H7" s="384"/>
      <c r="I7" s="385"/>
      <c r="J7" s="67" t="str">
        <f>IF(AND('Mapa final'!$Y$16="Muy Alta",'Mapa final'!$AA$16="Leve"),CONCATENATE("R2C",'Mapa final'!$O$16),"")</f>
        <v/>
      </c>
      <c r="K7" s="68" t="str">
        <f>IF(AND('Mapa final'!$Y$17="Muy Alta",'Mapa final'!$AA$17="Leve"),CONCATENATE("R2C",'Mapa final'!$O$17),"")</f>
        <v/>
      </c>
      <c r="L7" s="68" t="str">
        <f>IF(AND('Mapa final'!$Y$18="Muy Alta",'Mapa final'!$AA$18="Leve"),CONCATENATE("R2C",'Mapa final'!$O$18),"")</f>
        <v/>
      </c>
      <c r="M7" s="68" t="str">
        <f>IF(AND('Mapa final'!$Y$19="Muy Alta",'Mapa final'!$AA$19="Leve"),CONCATENATE("R2C",'Mapa final'!$O$19),"")</f>
        <v/>
      </c>
      <c r="N7" s="68" t="str">
        <f>IF(AND('Mapa final'!$Y$20="Muy Alta",'Mapa final'!$AA$20="Leve"),CONCATENATE("R2C",'Mapa final'!$O$20),"")</f>
        <v/>
      </c>
      <c r="O7" s="69" t="str">
        <f>IF(AND('Mapa final'!$Y$21="Muy Alta",'Mapa final'!$AA$21="Leve"),CONCATENATE("R2C",'Mapa final'!$O$21),"")</f>
        <v/>
      </c>
      <c r="P7" s="67" t="str">
        <f>IF(AND('Mapa final'!$Y$16="Muy Alta",'Mapa final'!$AA$16="Menor"),CONCATENATE("R2C",'Mapa final'!$O$16),"")</f>
        <v/>
      </c>
      <c r="Q7" s="68" t="str">
        <f>IF(AND('Mapa final'!$Y$17="Muy Alta",'Mapa final'!$AA$17="Menor"),CONCATENATE("R2C",'Mapa final'!$O$17),"")</f>
        <v/>
      </c>
      <c r="R7" s="68" t="str">
        <f>IF(AND('Mapa final'!$Y$18="Muy Alta",'Mapa final'!$AA$18="Menor"),CONCATENATE("R2C",'Mapa final'!$O$18),"")</f>
        <v/>
      </c>
      <c r="S7" s="68" t="str">
        <f>IF(AND('Mapa final'!$Y$19="Muy Alta",'Mapa final'!$AA$19="Menor"),CONCATENATE("R2C",'Mapa final'!$O$19),"")</f>
        <v/>
      </c>
      <c r="T7" s="68" t="str">
        <f>IF(AND('Mapa final'!$Y$20="Muy Alta",'Mapa final'!$AA$20="Menor"),CONCATENATE("R2C",'Mapa final'!$O$20),"")</f>
        <v/>
      </c>
      <c r="U7" s="69" t="str">
        <f>IF(AND('Mapa final'!$Y$21="Muy Alta",'Mapa final'!$AA$21="Menor"),CONCATENATE("R2C",'Mapa final'!$O$21),"")</f>
        <v/>
      </c>
      <c r="V7" s="67" t="str">
        <f>IF(AND('Mapa final'!$Y$16="Muy Alta",'Mapa final'!$AA$16="Moderado"),CONCATENATE("R2C",'Mapa final'!$O$16),"")</f>
        <v/>
      </c>
      <c r="W7" s="68" t="str">
        <f>IF(AND('Mapa final'!$Y$17="Muy Alta",'Mapa final'!$AA$17="Moderado"),CONCATENATE("R2C",'Mapa final'!$O$17),"")</f>
        <v/>
      </c>
      <c r="X7" s="68" t="str">
        <f>IF(AND('Mapa final'!$Y$18="Muy Alta",'Mapa final'!$AA$18="Moderado"),CONCATENATE("R2C",'Mapa final'!$O$18),"")</f>
        <v/>
      </c>
      <c r="Y7" s="68" t="str">
        <f>IF(AND('Mapa final'!$Y$19="Muy Alta",'Mapa final'!$AA$19="Moderado"),CONCATENATE("R2C",'Mapa final'!$O$19),"")</f>
        <v/>
      </c>
      <c r="Z7" s="68" t="str">
        <f>IF(AND('Mapa final'!$Y$20="Muy Alta",'Mapa final'!$AA$20="Moderado"),CONCATENATE("R2C",'Mapa final'!$O$20),"")</f>
        <v/>
      </c>
      <c r="AA7" s="69" t="str">
        <f>IF(AND('Mapa final'!$Y$21="Muy Alta",'Mapa final'!$AA$21="Moderado"),CONCATENATE("R2C",'Mapa final'!$O$21),"")</f>
        <v/>
      </c>
      <c r="AB7" s="67" t="str">
        <f>IF(AND('Mapa final'!$Y$16="Muy Alta",'Mapa final'!$AA$16="Mayor"),CONCATENATE("R2C",'Mapa final'!$O$16),"")</f>
        <v/>
      </c>
      <c r="AC7" s="68" t="str">
        <f>IF(AND('Mapa final'!$Y$17="Muy Alta",'Mapa final'!$AA$17="Mayor"),CONCATENATE("R2C",'Mapa final'!$O$17),"")</f>
        <v/>
      </c>
      <c r="AD7" s="68" t="str">
        <f>IF(AND('Mapa final'!$Y$18="Muy Alta",'Mapa final'!$AA$18="Mayor"),CONCATENATE("R2C",'Mapa final'!$O$18),"")</f>
        <v/>
      </c>
      <c r="AE7" s="68" t="str">
        <f>IF(AND('Mapa final'!$Y$19="Muy Alta",'Mapa final'!$AA$19="Mayor"),CONCATENATE("R2C",'Mapa final'!$O$19),"")</f>
        <v/>
      </c>
      <c r="AF7" s="68" t="str">
        <f>IF(AND('Mapa final'!$Y$20="Muy Alta",'Mapa final'!$AA$20="Mayor"),CONCATENATE("R2C",'Mapa final'!$O$20),"")</f>
        <v/>
      </c>
      <c r="AG7" s="69" t="str">
        <f>IF(AND('Mapa final'!$Y$21="Muy Alta",'Mapa final'!$AA$21="Mayor"),CONCATENATE("R2C",'Mapa final'!$O$21),"")</f>
        <v/>
      </c>
      <c r="AH7" s="70" t="str">
        <f>IF(AND('Mapa final'!$Y$16="Muy Alta",'Mapa final'!$AA$16="Catastrófico"),CONCATENATE("R2C",'Mapa final'!$O$16),"")</f>
        <v/>
      </c>
      <c r="AI7" s="71" t="str">
        <f>IF(AND('Mapa final'!$Y$17="Muy Alta",'Mapa final'!$AA$17="Catastrófico"),CONCATENATE("R2C",'Mapa final'!$O$17),"")</f>
        <v/>
      </c>
      <c r="AJ7" s="71" t="str">
        <f>IF(AND('Mapa final'!$Y$18="Muy Alta",'Mapa final'!$AA$18="Catastrófico"),CONCATENATE("R2C",'Mapa final'!$O$18),"")</f>
        <v/>
      </c>
      <c r="AK7" s="71" t="str">
        <f>IF(AND('Mapa final'!$Y$19="Muy Alta",'Mapa final'!$AA$19="Catastrófico"),CONCATENATE("R2C",'Mapa final'!$O$19),"")</f>
        <v/>
      </c>
      <c r="AL7" s="71" t="str">
        <f>IF(AND('Mapa final'!$Y$20="Muy Alta",'Mapa final'!$AA$20="Catastrófico"),CONCATENATE("R2C",'Mapa final'!$O$20),"")</f>
        <v/>
      </c>
      <c r="AM7" s="72" t="str">
        <f>IF(AND('Mapa final'!$Y$21="Muy Alta",'Mapa final'!$AA$21="Catastrófico"),CONCATENATE("R2C",'Mapa final'!$O$21),"")</f>
        <v/>
      </c>
      <c r="AN7" s="99"/>
      <c r="AO7" s="404"/>
      <c r="AP7" s="405"/>
      <c r="AQ7" s="405"/>
      <c r="AR7" s="405"/>
      <c r="AS7" s="405"/>
      <c r="AT7" s="406"/>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row>
    <row r="8" spans="1:91" ht="15" customHeight="1" x14ac:dyDescent="0.25">
      <c r="A8" s="99"/>
      <c r="B8" s="342"/>
      <c r="C8" s="342"/>
      <c r="D8" s="343"/>
      <c r="E8" s="383"/>
      <c r="F8" s="384"/>
      <c r="G8" s="384"/>
      <c r="H8" s="384"/>
      <c r="I8" s="385"/>
      <c r="J8" s="67" t="str">
        <f>IF(AND('Mapa final'!$Y$22="Muy Alta",'Mapa final'!$AA$22="Leve"),CONCATENATE("R3C",'Mapa final'!$O$22),"")</f>
        <v/>
      </c>
      <c r="K8" s="68" t="str">
        <f>IF(AND('Mapa final'!$Y$23="Muy Alta",'Mapa final'!$AA$23="Leve"),CONCATENATE("R3C",'Mapa final'!$O$23),"")</f>
        <v/>
      </c>
      <c r="L8" s="68" t="str">
        <f>IF(AND('Mapa final'!$Y$24="Muy Alta",'Mapa final'!$AA$24="Leve"),CONCATENATE("R3C",'Mapa final'!$O$24),"")</f>
        <v/>
      </c>
      <c r="M8" s="68" t="str">
        <f>IF(AND('Mapa final'!$Y$25="Muy Alta",'Mapa final'!$AA$25="Leve"),CONCATENATE("R3C",'Mapa final'!$O$25),"")</f>
        <v/>
      </c>
      <c r="N8" s="68" t="str">
        <f>IF(AND('Mapa final'!$Y$26="Muy Alta",'Mapa final'!$AA$26="Leve"),CONCATENATE("R3C",'Mapa final'!$O$26),"")</f>
        <v/>
      </c>
      <c r="O8" s="69" t="str">
        <f>IF(AND('Mapa final'!$Y$27="Muy Alta",'Mapa final'!$AA$27="Leve"),CONCATENATE("R3C",'Mapa final'!$O$27),"")</f>
        <v/>
      </c>
      <c r="P8" s="67" t="str">
        <f>IF(AND('Mapa final'!$Y$22="Muy Alta",'Mapa final'!$AA$22="Menor"),CONCATENATE("R3C",'Mapa final'!$O$22),"")</f>
        <v/>
      </c>
      <c r="Q8" s="68" t="str">
        <f>IF(AND('Mapa final'!$Y$23="Muy Alta",'Mapa final'!$AA$23="Menor"),CONCATENATE("R3C",'Mapa final'!$O$23),"")</f>
        <v/>
      </c>
      <c r="R8" s="68" t="str">
        <f>IF(AND('Mapa final'!$Y$24="Muy Alta",'Mapa final'!$AA$24="Menor"),CONCATENATE("R3C",'Mapa final'!$O$24),"")</f>
        <v/>
      </c>
      <c r="S8" s="68" t="str">
        <f>IF(AND('Mapa final'!$Y$25="Muy Alta",'Mapa final'!$AA$25="Menor"),CONCATENATE("R3C",'Mapa final'!$O$25),"")</f>
        <v/>
      </c>
      <c r="T8" s="68" t="str">
        <f>IF(AND('Mapa final'!$Y$26="Muy Alta",'Mapa final'!$AA$26="Menor"),CONCATENATE("R3C",'Mapa final'!$O$26),"")</f>
        <v/>
      </c>
      <c r="U8" s="69" t="str">
        <f>IF(AND('Mapa final'!$Y$27="Muy Alta",'Mapa final'!$AA$27="Menor"),CONCATENATE("R3C",'Mapa final'!$O$27),"")</f>
        <v/>
      </c>
      <c r="V8" s="67" t="str">
        <f>IF(AND('Mapa final'!$Y$22="Muy Alta",'Mapa final'!$AA$22="Moderado"),CONCATENATE("R3C",'Mapa final'!$O$22),"")</f>
        <v/>
      </c>
      <c r="W8" s="68" t="str">
        <f>IF(AND('Mapa final'!$Y$23="Muy Alta",'Mapa final'!$AA$23="Moderado"),CONCATENATE("R3C",'Mapa final'!$O$23),"")</f>
        <v/>
      </c>
      <c r="X8" s="68" t="str">
        <f>IF(AND('Mapa final'!$Y$24="Muy Alta",'Mapa final'!$AA$24="Moderado"),CONCATENATE("R3C",'Mapa final'!$O$24),"")</f>
        <v/>
      </c>
      <c r="Y8" s="68" t="str">
        <f>IF(AND('Mapa final'!$Y$25="Muy Alta",'Mapa final'!$AA$25="Moderado"),CONCATENATE("R3C",'Mapa final'!$O$25),"")</f>
        <v/>
      </c>
      <c r="Z8" s="68" t="str">
        <f>IF(AND('Mapa final'!$Y$26="Muy Alta",'Mapa final'!$AA$26="Moderado"),CONCATENATE("R3C",'Mapa final'!$O$26),"")</f>
        <v/>
      </c>
      <c r="AA8" s="69" t="str">
        <f>IF(AND('Mapa final'!$Y$27="Muy Alta",'Mapa final'!$AA$27="Moderado"),CONCATENATE("R3C",'Mapa final'!$O$27),"")</f>
        <v/>
      </c>
      <c r="AB8" s="67" t="str">
        <f>IF(AND('Mapa final'!$Y$22="Muy Alta",'Mapa final'!$AA$22="Mayor"),CONCATENATE("R3C",'Mapa final'!$O$22),"")</f>
        <v/>
      </c>
      <c r="AC8" s="68" t="str">
        <f>IF(AND('Mapa final'!$Y$23="Muy Alta",'Mapa final'!$AA$23="Mayor"),CONCATENATE("R3C",'Mapa final'!$O$23),"")</f>
        <v/>
      </c>
      <c r="AD8" s="68" t="str">
        <f>IF(AND('Mapa final'!$Y$24="Muy Alta",'Mapa final'!$AA$24="Mayor"),CONCATENATE("R3C",'Mapa final'!$O$24),"")</f>
        <v/>
      </c>
      <c r="AE8" s="68" t="str">
        <f>IF(AND('Mapa final'!$Y$25="Muy Alta",'Mapa final'!$AA$25="Mayor"),CONCATENATE("R3C",'Mapa final'!$O$25),"")</f>
        <v/>
      </c>
      <c r="AF8" s="68" t="str">
        <f>IF(AND('Mapa final'!$Y$26="Muy Alta",'Mapa final'!$AA$26="Mayor"),CONCATENATE("R3C",'Mapa final'!$O$26),"")</f>
        <v/>
      </c>
      <c r="AG8" s="69" t="str">
        <f>IF(AND('Mapa final'!$Y$27="Muy Alta",'Mapa final'!$AA$27="Mayor"),CONCATENATE("R3C",'Mapa final'!$O$27),"")</f>
        <v/>
      </c>
      <c r="AH8" s="70" t="str">
        <f>IF(AND('Mapa final'!$Y$22="Muy Alta",'Mapa final'!$AA$22="Catastrófico"),CONCATENATE("R3C",'Mapa final'!$O$22),"")</f>
        <v/>
      </c>
      <c r="AI8" s="71" t="str">
        <f>IF(AND('Mapa final'!$Y$23="Muy Alta",'Mapa final'!$AA$23="Catastrófico"),CONCATENATE("R3C",'Mapa final'!$O$23),"")</f>
        <v/>
      </c>
      <c r="AJ8" s="71" t="str">
        <f>IF(AND('Mapa final'!$Y$24="Muy Alta",'Mapa final'!$AA$24="Catastrófico"),CONCATENATE("R3C",'Mapa final'!$O$24),"")</f>
        <v/>
      </c>
      <c r="AK8" s="71" t="str">
        <f>IF(AND('Mapa final'!$Y$25="Muy Alta",'Mapa final'!$AA$25="Catastrófico"),CONCATENATE("R3C",'Mapa final'!$O$25),"")</f>
        <v/>
      </c>
      <c r="AL8" s="71" t="str">
        <f>IF(AND('Mapa final'!$Y$26="Muy Alta",'Mapa final'!$AA$26="Catastrófico"),CONCATENATE("R3C",'Mapa final'!$O$26),"")</f>
        <v/>
      </c>
      <c r="AM8" s="72" t="str">
        <f>IF(AND('Mapa final'!$Y$27="Muy Alta",'Mapa final'!$AA$27="Catastrófico"),CONCATENATE("R3C",'Mapa final'!$O$27),"")</f>
        <v/>
      </c>
      <c r="AN8" s="99"/>
      <c r="AO8" s="404"/>
      <c r="AP8" s="405"/>
      <c r="AQ8" s="405"/>
      <c r="AR8" s="405"/>
      <c r="AS8" s="405"/>
      <c r="AT8" s="406"/>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row>
    <row r="9" spans="1:91" ht="15" customHeight="1" x14ac:dyDescent="0.25">
      <c r="A9" s="99"/>
      <c r="B9" s="342"/>
      <c r="C9" s="342"/>
      <c r="D9" s="343"/>
      <c r="E9" s="383"/>
      <c r="F9" s="384"/>
      <c r="G9" s="384"/>
      <c r="H9" s="384"/>
      <c r="I9" s="385"/>
      <c r="J9" s="67" t="str">
        <f>IF(AND('Mapa final'!$Y$28="Muy Alta",'Mapa final'!$AA$28="Leve"),CONCATENATE("R4C",'Mapa final'!$O$28),"")</f>
        <v/>
      </c>
      <c r="K9" s="68" t="str">
        <f>IF(AND('Mapa final'!$Y$29="Muy Alta",'Mapa final'!$AA$29="Leve"),CONCATENATE("R4C",'Mapa final'!$O$29),"")</f>
        <v/>
      </c>
      <c r="L9" s="73" t="str">
        <f>IF(AND('Mapa final'!$Y$30="Muy Alta",'Mapa final'!$AA$30="Leve"),CONCATENATE("R4C",'Mapa final'!$O$30),"")</f>
        <v/>
      </c>
      <c r="M9" s="73" t="str">
        <f>IF(AND('Mapa final'!$Y$31="Muy Alta",'Mapa final'!$AA$31="Leve"),CONCATENATE("R4C",'Mapa final'!$O$31),"")</f>
        <v/>
      </c>
      <c r="N9" s="73" t="str">
        <f>IF(AND('Mapa final'!$Y$32="Muy Alta",'Mapa final'!$AA$32="Leve"),CONCATENATE("R4C",'Mapa final'!$O$32),"")</f>
        <v/>
      </c>
      <c r="O9" s="69" t="str">
        <f>IF(AND('Mapa final'!$Y$33="Muy Alta",'Mapa final'!$AA$33="Leve"),CONCATENATE("R4C",'Mapa final'!$O$33),"")</f>
        <v/>
      </c>
      <c r="P9" s="67" t="str">
        <f>IF(AND('Mapa final'!$Y$28="Muy Alta",'Mapa final'!$AA$28="Menor"),CONCATENATE("R4C",'Mapa final'!$O$28),"")</f>
        <v/>
      </c>
      <c r="Q9" s="68" t="str">
        <f>IF(AND('Mapa final'!$Y$29="Muy Alta",'Mapa final'!$AA$29="Menor"),CONCATENATE("R4C",'Mapa final'!$O$29),"")</f>
        <v/>
      </c>
      <c r="R9" s="73" t="str">
        <f>IF(AND('Mapa final'!$Y$30="Muy Alta",'Mapa final'!$AA$30="Menor"),CONCATENATE("R4C",'Mapa final'!$O$30),"")</f>
        <v/>
      </c>
      <c r="S9" s="73" t="str">
        <f>IF(AND('Mapa final'!$Y$31="Muy Alta",'Mapa final'!$AA$31="Menor"),CONCATENATE("R4C",'Mapa final'!$O$31),"")</f>
        <v/>
      </c>
      <c r="T9" s="73" t="str">
        <f>IF(AND('Mapa final'!$Y$32="Muy Alta",'Mapa final'!$AA$32="Menor"),CONCATENATE("R4C",'Mapa final'!$O$32),"")</f>
        <v/>
      </c>
      <c r="U9" s="69" t="str">
        <f>IF(AND('Mapa final'!$Y$33="Muy Alta",'Mapa final'!$AA$33="Menor"),CONCATENATE("R4C",'Mapa final'!$O$33),"")</f>
        <v/>
      </c>
      <c r="V9" s="67" t="str">
        <f>IF(AND('Mapa final'!$Y$28="Muy Alta",'Mapa final'!$AA$28="Moderado"),CONCATENATE("R4C",'Mapa final'!$O$28),"")</f>
        <v/>
      </c>
      <c r="W9" s="68" t="str">
        <f>IF(AND('Mapa final'!$Y$29="Muy Alta",'Mapa final'!$AA$29="Moderado"),CONCATENATE("R4C",'Mapa final'!$O$29),"")</f>
        <v/>
      </c>
      <c r="X9" s="73" t="str">
        <f>IF(AND('Mapa final'!$Y$30="Muy Alta",'Mapa final'!$AA$30="Moderado"),CONCATENATE("R4C",'Mapa final'!$O$30),"")</f>
        <v/>
      </c>
      <c r="Y9" s="73" t="str">
        <f>IF(AND('Mapa final'!$Y$31="Muy Alta",'Mapa final'!$AA$31="Moderado"),CONCATENATE("R4C",'Mapa final'!$O$31),"")</f>
        <v/>
      </c>
      <c r="Z9" s="73" t="str">
        <f>IF(AND('Mapa final'!$Y$32="Muy Alta",'Mapa final'!$AA$32="Moderado"),CONCATENATE("R4C",'Mapa final'!$O$32),"")</f>
        <v/>
      </c>
      <c r="AA9" s="69" t="str">
        <f>IF(AND('Mapa final'!$Y$33="Muy Alta",'Mapa final'!$AA$33="Moderado"),CONCATENATE("R4C",'Mapa final'!$O$33),"")</f>
        <v/>
      </c>
      <c r="AB9" s="67" t="str">
        <f>IF(AND('Mapa final'!$Y$28="Muy Alta",'Mapa final'!$AA$28="Mayor"),CONCATENATE("R4C",'Mapa final'!$O$28),"")</f>
        <v/>
      </c>
      <c r="AC9" s="68" t="str">
        <f>IF(AND('Mapa final'!$Y$29="Muy Alta",'Mapa final'!$AA$29="Mayor"),CONCATENATE("R4C",'Mapa final'!$O$29),"")</f>
        <v/>
      </c>
      <c r="AD9" s="73" t="str">
        <f>IF(AND('Mapa final'!$Y$30="Muy Alta",'Mapa final'!$AA$30="Mayor"),CONCATENATE("R4C",'Mapa final'!$O$30),"")</f>
        <v/>
      </c>
      <c r="AE9" s="73" t="str">
        <f>IF(AND('Mapa final'!$Y$31="Muy Alta",'Mapa final'!$AA$31="Mayor"),CONCATENATE("R4C",'Mapa final'!$O$31),"")</f>
        <v/>
      </c>
      <c r="AF9" s="73" t="str">
        <f>IF(AND('Mapa final'!$Y$32="Muy Alta",'Mapa final'!$AA$32="Mayor"),CONCATENATE("R4C",'Mapa final'!$O$32),"")</f>
        <v/>
      </c>
      <c r="AG9" s="69" t="str">
        <f>IF(AND('Mapa final'!$Y$33="Muy Alta",'Mapa final'!$AA$33="Mayor"),CONCATENATE("R4C",'Mapa final'!$O$33),"")</f>
        <v/>
      </c>
      <c r="AH9" s="70" t="str">
        <f>IF(AND('Mapa final'!$Y$28="Muy Alta",'Mapa final'!$AA$28="Catastrófico"),CONCATENATE("R4C",'Mapa final'!$O$28),"")</f>
        <v/>
      </c>
      <c r="AI9" s="71" t="str">
        <f>IF(AND('Mapa final'!$Y$29="Muy Alta",'Mapa final'!$AA$29="Catastrófico"),CONCATENATE("R4C",'Mapa final'!$O$29),"")</f>
        <v/>
      </c>
      <c r="AJ9" s="71" t="str">
        <f>IF(AND('Mapa final'!$Y$30="Muy Alta",'Mapa final'!$AA$30="Catastrófico"),CONCATENATE("R4C",'Mapa final'!$O$30),"")</f>
        <v/>
      </c>
      <c r="AK9" s="71" t="str">
        <f>IF(AND('Mapa final'!$Y$31="Muy Alta",'Mapa final'!$AA$31="Catastrófico"),CONCATENATE("R4C",'Mapa final'!$O$31),"")</f>
        <v/>
      </c>
      <c r="AL9" s="71" t="str">
        <f>IF(AND('Mapa final'!$Y$32="Muy Alta",'Mapa final'!$AA$32="Catastrófico"),CONCATENATE("R4C",'Mapa final'!$O$32),"")</f>
        <v/>
      </c>
      <c r="AM9" s="72" t="str">
        <f>IF(AND('Mapa final'!$Y$33="Muy Alta",'Mapa final'!$AA$33="Catastrófico"),CONCATENATE("R4C",'Mapa final'!$O$33),"")</f>
        <v/>
      </c>
      <c r="AN9" s="99"/>
      <c r="AO9" s="404"/>
      <c r="AP9" s="405"/>
      <c r="AQ9" s="405"/>
      <c r="AR9" s="405"/>
      <c r="AS9" s="405"/>
      <c r="AT9" s="406"/>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row>
    <row r="10" spans="1:91" ht="15" customHeight="1" x14ac:dyDescent="0.25">
      <c r="A10" s="99"/>
      <c r="B10" s="342"/>
      <c r="C10" s="342"/>
      <c r="D10" s="343"/>
      <c r="E10" s="383"/>
      <c r="F10" s="384"/>
      <c r="G10" s="384"/>
      <c r="H10" s="384"/>
      <c r="I10" s="385"/>
      <c r="J10" s="67" t="str">
        <f>IF(AND('Mapa final'!$Y$34="Muy Alta",'Mapa final'!$AA$34="Leve"),CONCATENATE("R5C",'Mapa final'!$O$34),"")</f>
        <v/>
      </c>
      <c r="K10" s="68" t="str">
        <f>IF(AND('Mapa final'!$Y$35="Muy Alta",'Mapa final'!$AA$35="Leve"),CONCATENATE("R5C",'Mapa final'!$O$35),"")</f>
        <v/>
      </c>
      <c r="L10" s="73" t="str">
        <f>IF(AND('Mapa final'!$Y$36="Muy Alta",'Mapa final'!$AA$36="Leve"),CONCATENATE("R5C",'Mapa final'!$O$36),"")</f>
        <v/>
      </c>
      <c r="M10" s="73" t="str">
        <f>IF(AND('Mapa final'!$Y$37="Muy Alta",'Mapa final'!$AA$37="Leve"),CONCATENATE("R5C",'Mapa final'!$O$37),"")</f>
        <v/>
      </c>
      <c r="N10" s="73" t="str">
        <f>IF(AND('Mapa final'!$Y$38="Muy Alta",'Mapa final'!$AA$38="Leve"),CONCATENATE("R5C",'Mapa final'!$O$38),"")</f>
        <v/>
      </c>
      <c r="O10" s="69" t="str">
        <f>IF(AND('Mapa final'!$Y$39="Muy Alta",'Mapa final'!$AA$39="Leve"),CONCATENATE("R5C",'Mapa final'!$O$39),"")</f>
        <v/>
      </c>
      <c r="P10" s="67" t="str">
        <f>IF(AND('Mapa final'!$Y$34="Muy Alta",'Mapa final'!$AA$34="Menor"),CONCATENATE("R5C",'Mapa final'!$O$34),"")</f>
        <v/>
      </c>
      <c r="Q10" s="68" t="str">
        <f>IF(AND('Mapa final'!$Y$35="Muy Alta",'Mapa final'!$AA$35="Menor"),CONCATENATE("R5C",'Mapa final'!$O$35),"")</f>
        <v/>
      </c>
      <c r="R10" s="73" t="str">
        <f>IF(AND('Mapa final'!$Y$36="Muy Alta",'Mapa final'!$AA$36="Menor"),CONCATENATE("R5C",'Mapa final'!$O$36),"")</f>
        <v/>
      </c>
      <c r="S10" s="73" t="str">
        <f>IF(AND('Mapa final'!$Y$37="Muy Alta",'Mapa final'!$AA$37="Menor"),CONCATENATE("R5C",'Mapa final'!$O$37),"")</f>
        <v/>
      </c>
      <c r="T10" s="73" t="str">
        <f>IF(AND('Mapa final'!$Y$38="Muy Alta",'Mapa final'!$AA$38="Menor"),CONCATENATE("R5C",'Mapa final'!$O$38),"")</f>
        <v/>
      </c>
      <c r="U10" s="69" t="str">
        <f>IF(AND('Mapa final'!$Y$39="Muy Alta",'Mapa final'!$AA$39="Menor"),CONCATENATE("R5C",'Mapa final'!$O$39),"")</f>
        <v/>
      </c>
      <c r="V10" s="67" t="str">
        <f>IF(AND('Mapa final'!$Y$34="Muy Alta",'Mapa final'!$AA$34="Moderado"),CONCATENATE("R5C",'Mapa final'!$O$34),"")</f>
        <v/>
      </c>
      <c r="W10" s="68" t="str">
        <f>IF(AND('Mapa final'!$Y$35="Muy Alta",'Mapa final'!$AA$35="Moderado"),CONCATENATE("R5C",'Mapa final'!$O$35),"")</f>
        <v/>
      </c>
      <c r="X10" s="73" t="str">
        <f>IF(AND('Mapa final'!$Y$36="Muy Alta",'Mapa final'!$AA$36="Moderado"),CONCATENATE("R5C",'Mapa final'!$O$36),"")</f>
        <v/>
      </c>
      <c r="Y10" s="73" t="str">
        <f>IF(AND('Mapa final'!$Y$37="Muy Alta",'Mapa final'!$AA$37="Moderado"),CONCATENATE("R5C",'Mapa final'!$O$37),"")</f>
        <v/>
      </c>
      <c r="Z10" s="73" t="str">
        <f>IF(AND('Mapa final'!$Y$38="Muy Alta",'Mapa final'!$AA$38="Moderado"),CONCATENATE("R5C",'Mapa final'!$O$38),"")</f>
        <v/>
      </c>
      <c r="AA10" s="69" t="str">
        <f>IF(AND('Mapa final'!$Y$39="Muy Alta",'Mapa final'!$AA$39="Moderado"),CONCATENATE("R5C",'Mapa final'!$O$39),"")</f>
        <v/>
      </c>
      <c r="AB10" s="67" t="str">
        <f>IF(AND('Mapa final'!$Y$34="Muy Alta",'Mapa final'!$AA$34="Mayor"),CONCATENATE("R5C",'Mapa final'!$O$34),"")</f>
        <v/>
      </c>
      <c r="AC10" s="68" t="str">
        <f>IF(AND('Mapa final'!$Y$35="Muy Alta",'Mapa final'!$AA$35="Mayor"),CONCATENATE("R5C",'Mapa final'!$O$35),"")</f>
        <v/>
      </c>
      <c r="AD10" s="73" t="str">
        <f>IF(AND('Mapa final'!$Y$36="Muy Alta",'Mapa final'!$AA$36="Mayor"),CONCATENATE("R5C",'Mapa final'!$O$36),"")</f>
        <v/>
      </c>
      <c r="AE10" s="73" t="str">
        <f>IF(AND('Mapa final'!$Y$37="Muy Alta",'Mapa final'!$AA$37="Mayor"),CONCATENATE("R5C",'Mapa final'!$O$37),"")</f>
        <v/>
      </c>
      <c r="AF10" s="73" t="str">
        <f>IF(AND('Mapa final'!$Y$38="Muy Alta",'Mapa final'!$AA$38="Mayor"),CONCATENATE("R5C",'Mapa final'!$O$38),"")</f>
        <v/>
      </c>
      <c r="AG10" s="69" t="str">
        <f>IF(AND('Mapa final'!$Y$39="Muy Alta",'Mapa final'!$AA$39="Mayor"),CONCATENATE("R5C",'Mapa final'!$O$39),"")</f>
        <v/>
      </c>
      <c r="AH10" s="70" t="str">
        <f>IF(AND('Mapa final'!$Y$34="Muy Alta",'Mapa final'!$AA$34="Catastrófico"),CONCATENATE("R5C",'Mapa final'!$O$34),"")</f>
        <v/>
      </c>
      <c r="AI10" s="71" t="str">
        <f>IF(AND('Mapa final'!$Y$35="Muy Alta",'Mapa final'!$AA$35="Catastrófico"),CONCATENATE("R5C",'Mapa final'!$O$35),"")</f>
        <v/>
      </c>
      <c r="AJ10" s="71" t="str">
        <f>IF(AND('Mapa final'!$Y$36="Muy Alta",'Mapa final'!$AA$36="Catastrófico"),CONCATENATE("R5C",'Mapa final'!$O$36),"")</f>
        <v/>
      </c>
      <c r="AK10" s="71" t="str">
        <f>IF(AND('Mapa final'!$Y$37="Muy Alta",'Mapa final'!$AA$37="Catastrófico"),CONCATENATE("R5C",'Mapa final'!$O$37),"")</f>
        <v/>
      </c>
      <c r="AL10" s="71" t="str">
        <f>IF(AND('Mapa final'!$Y$38="Muy Alta",'Mapa final'!$AA$38="Catastrófico"),CONCATENATE("R5C",'Mapa final'!$O$38),"")</f>
        <v/>
      </c>
      <c r="AM10" s="72" t="str">
        <f>IF(AND('Mapa final'!$Y$39="Muy Alta",'Mapa final'!$AA$39="Catastrófico"),CONCATENATE("R5C",'Mapa final'!$O$39),"")</f>
        <v/>
      </c>
      <c r="AN10" s="99"/>
      <c r="AO10" s="404"/>
      <c r="AP10" s="405"/>
      <c r="AQ10" s="405"/>
      <c r="AR10" s="405"/>
      <c r="AS10" s="405"/>
      <c r="AT10" s="406"/>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row>
    <row r="11" spans="1:91" ht="15" customHeight="1" x14ac:dyDescent="0.25">
      <c r="A11" s="99"/>
      <c r="B11" s="342"/>
      <c r="C11" s="342"/>
      <c r="D11" s="343"/>
      <c r="E11" s="383"/>
      <c r="F11" s="384"/>
      <c r="G11" s="384"/>
      <c r="H11" s="384"/>
      <c r="I11" s="385"/>
      <c r="J11" s="67" t="str">
        <f>IF(AND('Mapa final'!$Y$40="Muy Alta",'Mapa final'!$AA$40="Leve"),CONCATENATE("R6C",'Mapa final'!$O$40),"")</f>
        <v/>
      </c>
      <c r="K11" s="68" t="str">
        <f>IF(AND('Mapa final'!$Y$41="Muy Alta",'Mapa final'!$AA$41="Leve"),CONCATENATE("R6C",'Mapa final'!$O$41),"")</f>
        <v/>
      </c>
      <c r="L11" s="73" t="str">
        <f>IF(AND('Mapa final'!$Y$42="Muy Alta",'Mapa final'!$AA$42="Leve"),CONCATENATE("R6C",'Mapa final'!$O$42),"")</f>
        <v/>
      </c>
      <c r="M11" s="73" t="str">
        <f>IF(AND('Mapa final'!$Y$43="Muy Alta",'Mapa final'!$AA$43="Leve"),CONCATENATE("R6C",'Mapa final'!$O$43),"")</f>
        <v/>
      </c>
      <c r="N11" s="73" t="str">
        <f>IF(AND('Mapa final'!$Y$44="Muy Alta",'Mapa final'!$AA$44="Leve"),CONCATENATE("R6C",'Mapa final'!$O$44),"")</f>
        <v/>
      </c>
      <c r="O11" s="69" t="str">
        <f>IF(AND('Mapa final'!$Y$45="Muy Alta",'Mapa final'!$AA$45="Leve"),CONCATENATE("R6C",'Mapa final'!$O$45),"")</f>
        <v/>
      </c>
      <c r="P11" s="67" t="str">
        <f>IF(AND('Mapa final'!$Y$40="Muy Alta",'Mapa final'!$AA$40="Menor"),CONCATENATE("R6C",'Mapa final'!$O$40),"")</f>
        <v/>
      </c>
      <c r="Q11" s="68" t="str">
        <f>IF(AND('Mapa final'!$Y$41="Muy Alta",'Mapa final'!$AA$41="Menor"),CONCATENATE("R6C",'Mapa final'!$O$41),"")</f>
        <v/>
      </c>
      <c r="R11" s="73" t="str">
        <f>IF(AND('Mapa final'!$Y$42="Muy Alta",'Mapa final'!$AA$42="Menor"),CONCATENATE("R6C",'Mapa final'!$O$42),"")</f>
        <v/>
      </c>
      <c r="S11" s="73" t="str">
        <f>IF(AND('Mapa final'!$Y$43="Muy Alta",'Mapa final'!$AA$43="Menor"),CONCATENATE("R6C",'Mapa final'!$O$43),"")</f>
        <v/>
      </c>
      <c r="T11" s="73" t="str">
        <f>IF(AND('Mapa final'!$Y$44="Muy Alta",'Mapa final'!$AA$44="Menor"),CONCATENATE("R6C",'Mapa final'!$O$44),"")</f>
        <v/>
      </c>
      <c r="U11" s="69" t="str">
        <f>IF(AND('Mapa final'!$Y$45="Muy Alta",'Mapa final'!$AA$45="Menor"),CONCATENATE("R6C",'Mapa final'!$O$45),"")</f>
        <v/>
      </c>
      <c r="V11" s="67" t="str">
        <f>IF(AND('Mapa final'!$Y$40="Muy Alta",'Mapa final'!$AA$40="Moderado"),CONCATENATE("R6C",'Mapa final'!$O$40),"")</f>
        <v/>
      </c>
      <c r="W11" s="68" t="str">
        <f>IF(AND('Mapa final'!$Y$41="Muy Alta",'Mapa final'!$AA$41="Moderado"),CONCATENATE("R6C",'Mapa final'!$O$41),"")</f>
        <v/>
      </c>
      <c r="X11" s="73" t="str">
        <f>IF(AND('Mapa final'!$Y$42="Muy Alta",'Mapa final'!$AA$42="Moderado"),CONCATENATE("R6C",'Mapa final'!$O$42),"")</f>
        <v/>
      </c>
      <c r="Y11" s="73" t="str">
        <f>IF(AND('Mapa final'!$Y$43="Muy Alta",'Mapa final'!$AA$43="Moderado"),CONCATENATE("R6C",'Mapa final'!$O$43),"")</f>
        <v/>
      </c>
      <c r="Z11" s="73" t="str">
        <f>IF(AND('Mapa final'!$Y$44="Muy Alta",'Mapa final'!$AA$44="Moderado"),CONCATENATE("R6C",'Mapa final'!$O$44),"")</f>
        <v/>
      </c>
      <c r="AA11" s="69" t="str">
        <f>IF(AND('Mapa final'!$Y$45="Muy Alta",'Mapa final'!$AA$45="Moderado"),CONCATENATE("R6C",'Mapa final'!$O$45),"")</f>
        <v/>
      </c>
      <c r="AB11" s="67" t="str">
        <f>IF(AND('Mapa final'!$Y$40="Muy Alta",'Mapa final'!$AA$40="Mayor"),CONCATENATE("R6C",'Mapa final'!$O$40),"")</f>
        <v/>
      </c>
      <c r="AC11" s="68" t="str">
        <f>IF(AND('Mapa final'!$Y$41="Muy Alta",'Mapa final'!$AA$41="Mayor"),CONCATENATE("R6C",'Mapa final'!$O$41),"")</f>
        <v/>
      </c>
      <c r="AD11" s="73" t="str">
        <f>IF(AND('Mapa final'!$Y$42="Muy Alta",'Mapa final'!$AA$42="Mayor"),CONCATENATE("R6C",'Mapa final'!$O$42),"")</f>
        <v/>
      </c>
      <c r="AE11" s="73" t="str">
        <f>IF(AND('Mapa final'!$Y$43="Muy Alta",'Mapa final'!$AA$43="Mayor"),CONCATENATE("R6C",'Mapa final'!$O$43),"")</f>
        <v/>
      </c>
      <c r="AF11" s="73" t="str">
        <f>IF(AND('Mapa final'!$Y$44="Muy Alta",'Mapa final'!$AA$44="Mayor"),CONCATENATE("R6C",'Mapa final'!$O$44),"")</f>
        <v/>
      </c>
      <c r="AG11" s="69" t="str">
        <f>IF(AND('Mapa final'!$Y$45="Muy Alta",'Mapa final'!$AA$45="Mayor"),CONCATENATE("R6C",'Mapa final'!$O$45),"")</f>
        <v/>
      </c>
      <c r="AH11" s="70" t="str">
        <f>IF(AND('Mapa final'!$Y$40="Muy Alta",'Mapa final'!$AA$40="Catastrófico"),CONCATENATE("R6C",'Mapa final'!$O$40),"")</f>
        <v/>
      </c>
      <c r="AI11" s="71" t="str">
        <f>IF(AND('Mapa final'!$Y$41="Muy Alta",'Mapa final'!$AA$41="Catastrófico"),CONCATENATE("R6C",'Mapa final'!$O$41),"")</f>
        <v/>
      </c>
      <c r="AJ11" s="71" t="str">
        <f>IF(AND('Mapa final'!$Y$42="Muy Alta",'Mapa final'!$AA$42="Catastrófico"),CONCATENATE("R6C",'Mapa final'!$O$42),"")</f>
        <v/>
      </c>
      <c r="AK11" s="71" t="str">
        <f>IF(AND('Mapa final'!$Y$43="Muy Alta",'Mapa final'!$AA$43="Catastrófico"),CONCATENATE("R6C",'Mapa final'!$O$43),"")</f>
        <v/>
      </c>
      <c r="AL11" s="71" t="str">
        <f>IF(AND('Mapa final'!$Y$44="Muy Alta",'Mapa final'!$AA$44="Catastrófico"),CONCATENATE("R6C",'Mapa final'!$O$44),"")</f>
        <v/>
      </c>
      <c r="AM11" s="72" t="str">
        <f>IF(AND('Mapa final'!$Y$45="Muy Alta",'Mapa final'!$AA$45="Catastrófico"),CONCATENATE("R6C",'Mapa final'!$O$45),"")</f>
        <v/>
      </c>
      <c r="AN11" s="99"/>
      <c r="AO11" s="404"/>
      <c r="AP11" s="405"/>
      <c r="AQ11" s="405"/>
      <c r="AR11" s="405"/>
      <c r="AS11" s="405"/>
      <c r="AT11" s="406"/>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row>
    <row r="12" spans="1:91" ht="15" customHeight="1" x14ac:dyDescent="0.25">
      <c r="A12" s="99"/>
      <c r="B12" s="342"/>
      <c r="C12" s="342"/>
      <c r="D12" s="343"/>
      <c r="E12" s="383"/>
      <c r="F12" s="384"/>
      <c r="G12" s="384"/>
      <c r="H12" s="384"/>
      <c r="I12" s="385"/>
      <c r="J12" s="67" t="str">
        <f>IF(AND('Mapa final'!$Y$46="Muy Alta",'Mapa final'!$AA$46="Leve"),CONCATENATE("R7C",'Mapa final'!$O$46),"")</f>
        <v/>
      </c>
      <c r="K12" s="68" t="str">
        <f>IF(AND('Mapa final'!$Y$47="Muy Alta",'Mapa final'!$AA$47="Leve"),CONCATENATE("R7C",'Mapa final'!$O$47),"")</f>
        <v/>
      </c>
      <c r="L12" s="73" t="str">
        <f>IF(AND('Mapa final'!$Y$48="Muy Alta",'Mapa final'!$AA$48="Leve"),CONCATENATE("R7C",'Mapa final'!$O$48),"")</f>
        <v/>
      </c>
      <c r="M12" s="73" t="str">
        <f>IF(AND('Mapa final'!$Y$49="Muy Alta",'Mapa final'!$AA$49="Leve"),CONCATENATE("R7C",'Mapa final'!$O$49),"")</f>
        <v/>
      </c>
      <c r="N12" s="73" t="str">
        <f>IF(AND('Mapa final'!$Y$50="Muy Alta",'Mapa final'!$AA$50="Leve"),CONCATENATE("R7C",'Mapa final'!$O$50),"")</f>
        <v/>
      </c>
      <c r="O12" s="69" t="str">
        <f>IF(AND('Mapa final'!$Y$51="Muy Alta",'Mapa final'!$AA$51="Leve"),CONCATENATE("R7C",'Mapa final'!$O$51),"")</f>
        <v/>
      </c>
      <c r="P12" s="67" t="str">
        <f>IF(AND('Mapa final'!$Y$46="Muy Alta",'Mapa final'!$AA$46="Menor"),CONCATENATE("R7C",'Mapa final'!$O$46),"")</f>
        <v/>
      </c>
      <c r="Q12" s="68" t="str">
        <f>IF(AND('Mapa final'!$Y$47="Muy Alta",'Mapa final'!$AA$47="Menor"),CONCATENATE("R7C",'Mapa final'!$O$47),"")</f>
        <v/>
      </c>
      <c r="R12" s="73" t="str">
        <f>IF(AND('Mapa final'!$Y$48="Muy Alta",'Mapa final'!$AA$48="Menor"),CONCATENATE("R7C",'Mapa final'!$O$48),"")</f>
        <v/>
      </c>
      <c r="S12" s="73" t="str">
        <f>IF(AND('Mapa final'!$Y$49="Muy Alta",'Mapa final'!$AA$49="Menor"),CONCATENATE("R7C",'Mapa final'!$O$49),"")</f>
        <v/>
      </c>
      <c r="T12" s="73" t="str">
        <f>IF(AND('Mapa final'!$Y$50="Muy Alta",'Mapa final'!$AA$50="Menor"),CONCATENATE("R7C",'Mapa final'!$O$50),"")</f>
        <v/>
      </c>
      <c r="U12" s="69" t="str">
        <f>IF(AND('Mapa final'!$Y$51="Muy Alta",'Mapa final'!$AA$51="Menor"),CONCATENATE("R7C",'Mapa final'!$O$51),"")</f>
        <v/>
      </c>
      <c r="V12" s="67" t="str">
        <f>IF(AND('Mapa final'!$Y$46="Muy Alta",'Mapa final'!$AA$46="Moderado"),CONCATENATE("R7C",'Mapa final'!$O$46),"")</f>
        <v/>
      </c>
      <c r="W12" s="68" t="str">
        <f>IF(AND('Mapa final'!$Y$47="Muy Alta",'Mapa final'!$AA$47="Moderado"),CONCATENATE("R7C",'Mapa final'!$O$47),"")</f>
        <v/>
      </c>
      <c r="X12" s="73" t="str">
        <f>IF(AND('Mapa final'!$Y$48="Muy Alta",'Mapa final'!$AA$48="Moderado"),CONCATENATE("R7C",'Mapa final'!$O$48),"")</f>
        <v/>
      </c>
      <c r="Y12" s="73" t="str">
        <f>IF(AND('Mapa final'!$Y$49="Muy Alta",'Mapa final'!$AA$49="Moderado"),CONCATENATE("R7C",'Mapa final'!$O$49),"")</f>
        <v/>
      </c>
      <c r="Z12" s="73" t="str">
        <f>IF(AND('Mapa final'!$Y$50="Muy Alta",'Mapa final'!$AA$50="Moderado"),CONCATENATE("R7C",'Mapa final'!$O$50),"")</f>
        <v/>
      </c>
      <c r="AA12" s="69" t="str">
        <f>IF(AND('Mapa final'!$Y$51="Muy Alta",'Mapa final'!$AA$51="Moderado"),CONCATENATE("R7C",'Mapa final'!$O$51),"")</f>
        <v/>
      </c>
      <c r="AB12" s="67" t="str">
        <f>IF(AND('Mapa final'!$Y$46="Muy Alta",'Mapa final'!$AA$46="Mayor"),CONCATENATE("R7C",'Mapa final'!$O$46),"")</f>
        <v/>
      </c>
      <c r="AC12" s="68" t="str">
        <f>IF(AND('Mapa final'!$Y$47="Muy Alta",'Mapa final'!$AA$47="Mayor"),CONCATENATE("R7C",'Mapa final'!$O$47),"")</f>
        <v/>
      </c>
      <c r="AD12" s="73" t="str">
        <f>IF(AND('Mapa final'!$Y$48="Muy Alta",'Mapa final'!$AA$48="Mayor"),CONCATENATE("R7C",'Mapa final'!$O$48),"")</f>
        <v/>
      </c>
      <c r="AE12" s="73" t="str">
        <f>IF(AND('Mapa final'!$Y$49="Muy Alta",'Mapa final'!$AA$49="Mayor"),CONCATENATE("R7C",'Mapa final'!$O$49),"")</f>
        <v/>
      </c>
      <c r="AF12" s="73" t="str">
        <f>IF(AND('Mapa final'!$Y$50="Muy Alta",'Mapa final'!$AA$50="Mayor"),CONCATENATE("R7C",'Mapa final'!$O$50),"")</f>
        <v/>
      </c>
      <c r="AG12" s="69" t="str">
        <f>IF(AND('Mapa final'!$Y$51="Muy Alta",'Mapa final'!$AA$51="Mayor"),CONCATENATE("R7C",'Mapa final'!$O$51),"")</f>
        <v/>
      </c>
      <c r="AH12" s="70" t="str">
        <f>IF(AND('Mapa final'!$Y$46="Muy Alta",'Mapa final'!$AA$46="Catastrófico"),CONCATENATE("R7C",'Mapa final'!$O$46),"")</f>
        <v/>
      </c>
      <c r="AI12" s="71" t="str">
        <f>IF(AND('Mapa final'!$Y$47="Muy Alta",'Mapa final'!$AA$47="Catastrófico"),CONCATENATE("R7C",'Mapa final'!$O$47),"")</f>
        <v/>
      </c>
      <c r="AJ12" s="71" t="str">
        <f>IF(AND('Mapa final'!$Y$48="Muy Alta",'Mapa final'!$AA$48="Catastrófico"),CONCATENATE("R7C",'Mapa final'!$O$48),"")</f>
        <v/>
      </c>
      <c r="AK12" s="71" t="str">
        <f>IF(AND('Mapa final'!$Y$49="Muy Alta",'Mapa final'!$AA$49="Catastrófico"),CONCATENATE("R7C",'Mapa final'!$O$49),"")</f>
        <v/>
      </c>
      <c r="AL12" s="71" t="str">
        <f>IF(AND('Mapa final'!$Y$50="Muy Alta",'Mapa final'!$AA$50="Catastrófico"),CONCATENATE("R7C",'Mapa final'!$O$50),"")</f>
        <v/>
      </c>
      <c r="AM12" s="72" t="str">
        <f>IF(AND('Mapa final'!$Y$51="Muy Alta",'Mapa final'!$AA$51="Catastrófico"),CONCATENATE("R7C",'Mapa final'!$O$51),"")</f>
        <v/>
      </c>
      <c r="AN12" s="99"/>
      <c r="AO12" s="404"/>
      <c r="AP12" s="405"/>
      <c r="AQ12" s="405"/>
      <c r="AR12" s="405"/>
      <c r="AS12" s="405"/>
      <c r="AT12" s="406"/>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row>
    <row r="13" spans="1:91" ht="15" customHeight="1" x14ac:dyDescent="0.25">
      <c r="A13" s="99"/>
      <c r="B13" s="342"/>
      <c r="C13" s="342"/>
      <c r="D13" s="343"/>
      <c r="E13" s="383"/>
      <c r="F13" s="384"/>
      <c r="G13" s="384"/>
      <c r="H13" s="384"/>
      <c r="I13" s="385"/>
      <c r="J13" s="67" t="str">
        <f>IF(AND('Mapa final'!$Y$52="Muy Alta",'Mapa final'!$AA$52="Leve"),CONCATENATE("R8C",'Mapa final'!$O$52),"")</f>
        <v/>
      </c>
      <c r="K13" s="68" t="str">
        <f>IF(AND('Mapa final'!$Y$53="Muy Alta",'Mapa final'!$AA$53="Leve"),CONCATENATE("R8C",'Mapa final'!$O$53),"")</f>
        <v/>
      </c>
      <c r="L13" s="73" t="str">
        <f>IF(AND('Mapa final'!$Y$54="Muy Alta",'Mapa final'!$AA$54="Leve"),CONCATENATE("R8C",'Mapa final'!$O$54),"")</f>
        <v/>
      </c>
      <c r="M13" s="73" t="str">
        <f>IF(AND('Mapa final'!$Y$55="Muy Alta",'Mapa final'!$AA$55="Leve"),CONCATENATE("R8C",'Mapa final'!$O$55),"")</f>
        <v/>
      </c>
      <c r="N13" s="73" t="str">
        <f>IF(AND('Mapa final'!$Y$56="Muy Alta",'Mapa final'!$AA$56="Leve"),CONCATENATE("R8C",'Mapa final'!$O$56),"")</f>
        <v/>
      </c>
      <c r="O13" s="69" t="str">
        <f>IF(AND('Mapa final'!$Y$57="Muy Alta",'Mapa final'!$AA$57="Leve"),CONCATENATE("R8C",'Mapa final'!$O$57),"")</f>
        <v/>
      </c>
      <c r="P13" s="67" t="str">
        <f>IF(AND('Mapa final'!$Y$52="Muy Alta",'Mapa final'!$AA$52="Menor"),CONCATENATE("R8C",'Mapa final'!$O$52),"")</f>
        <v/>
      </c>
      <c r="Q13" s="68" t="str">
        <f>IF(AND('Mapa final'!$Y$53="Muy Alta",'Mapa final'!$AA$53="Menor"),CONCATENATE("R8C",'Mapa final'!$O$53),"")</f>
        <v/>
      </c>
      <c r="R13" s="73" t="str">
        <f>IF(AND('Mapa final'!$Y$54="Muy Alta",'Mapa final'!$AA$54="Menor"),CONCATENATE("R8C",'Mapa final'!$O$54),"")</f>
        <v/>
      </c>
      <c r="S13" s="73" t="str">
        <f>IF(AND('Mapa final'!$Y$55="Muy Alta",'Mapa final'!$AA$55="Menor"),CONCATENATE("R8C",'Mapa final'!$O$55),"")</f>
        <v/>
      </c>
      <c r="T13" s="73" t="str">
        <f>IF(AND('Mapa final'!$Y$56="Muy Alta",'Mapa final'!$AA$56="Menor"),CONCATENATE("R8C",'Mapa final'!$O$56),"")</f>
        <v/>
      </c>
      <c r="U13" s="69" t="str">
        <f>IF(AND('Mapa final'!$Y$57="Muy Alta",'Mapa final'!$AA$57="Menor"),CONCATENATE("R8C",'Mapa final'!$O$57),"")</f>
        <v/>
      </c>
      <c r="V13" s="67" t="str">
        <f>IF(AND('Mapa final'!$Y$52="Muy Alta",'Mapa final'!$AA$52="Moderado"),CONCATENATE("R8C",'Mapa final'!$O$52),"")</f>
        <v/>
      </c>
      <c r="W13" s="68" t="str">
        <f>IF(AND('Mapa final'!$Y$53="Muy Alta",'Mapa final'!$AA$53="Moderado"),CONCATENATE("R8C",'Mapa final'!$O$53),"")</f>
        <v/>
      </c>
      <c r="X13" s="73" t="str">
        <f>IF(AND('Mapa final'!$Y$54="Muy Alta",'Mapa final'!$AA$54="Moderado"),CONCATENATE("R8C",'Mapa final'!$O$54),"")</f>
        <v/>
      </c>
      <c r="Y13" s="73" t="str">
        <f>IF(AND('Mapa final'!$Y$55="Muy Alta",'Mapa final'!$AA$55="Moderado"),CONCATENATE("R8C",'Mapa final'!$O$55),"")</f>
        <v/>
      </c>
      <c r="Z13" s="73" t="str">
        <f>IF(AND('Mapa final'!$Y$56="Muy Alta",'Mapa final'!$AA$56="Moderado"),CONCATENATE("R8C",'Mapa final'!$O$56),"")</f>
        <v/>
      </c>
      <c r="AA13" s="69" t="str">
        <f>IF(AND('Mapa final'!$Y$57="Muy Alta",'Mapa final'!$AA$57="Moderado"),CONCATENATE("R8C",'Mapa final'!$O$57),"")</f>
        <v/>
      </c>
      <c r="AB13" s="67" t="str">
        <f>IF(AND('Mapa final'!$Y$52="Muy Alta",'Mapa final'!$AA$52="Mayor"),CONCATENATE("R8C",'Mapa final'!$O$52),"")</f>
        <v/>
      </c>
      <c r="AC13" s="68" t="str">
        <f>IF(AND('Mapa final'!$Y$53="Muy Alta",'Mapa final'!$AA$53="Mayor"),CONCATENATE("R8C",'Mapa final'!$O$53),"")</f>
        <v/>
      </c>
      <c r="AD13" s="73" t="str">
        <f>IF(AND('Mapa final'!$Y$54="Muy Alta",'Mapa final'!$AA$54="Mayor"),CONCATENATE("R8C",'Mapa final'!$O$54),"")</f>
        <v/>
      </c>
      <c r="AE13" s="73" t="str">
        <f>IF(AND('Mapa final'!$Y$55="Muy Alta",'Mapa final'!$AA$55="Mayor"),CONCATENATE("R8C",'Mapa final'!$O$55),"")</f>
        <v/>
      </c>
      <c r="AF13" s="73" t="str">
        <f>IF(AND('Mapa final'!$Y$56="Muy Alta",'Mapa final'!$AA$56="Mayor"),CONCATENATE("R8C",'Mapa final'!$O$56),"")</f>
        <v/>
      </c>
      <c r="AG13" s="69" t="str">
        <f>IF(AND('Mapa final'!$Y$57="Muy Alta",'Mapa final'!$AA$57="Mayor"),CONCATENATE("R8C",'Mapa final'!$O$57),"")</f>
        <v/>
      </c>
      <c r="AH13" s="70" t="str">
        <f>IF(AND('Mapa final'!$Y$52="Muy Alta",'Mapa final'!$AA$52="Catastrófico"),CONCATENATE("R8C",'Mapa final'!$O$52),"")</f>
        <v/>
      </c>
      <c r="AI13" s="71" t="str">
        <f>IF(AND('Mapa final'!$Y$53="Muy Alta",'Mapa final'!$AA$53="Catastrófico"),CONCATENATE("R8C",'Mapa final'!$O$53),"")</f>
        <v/>
      </c>
      <c r="AJ13" s="71" t="str">
        <f>IF(AND('Mapa final'!$Y$54="Muy Alta",'Mapa final'!$AA$54="Catastrófico"),CONCATENATE("R8C",'Mapa final'!$O$54),"")</f>
        <v/>
      </c>
      <c r="AK13" s="71" t="str">
        <f>IF(AND('Mapa final'!$Y$55="Muy Alta",'Mapa final'!$AA$55="Catastrófico"),CONCATENATE("R8C",'Mapa final'!$O$55),"")</f>
        <v/>
      </c>
      <c r="AL13" s="71" t="str">
        <f>IF(AND('Mapa final'!$Y$56="Muy Alta",'Mapa final'!$AA$56="Catastrófico"),CONCATENATE("R8C",'Mapa final'!$O$56),"")</f>
        <v/>
      </c>
      <c r="AM13" s="72" t="str">
        <f>IF(AND('Mapa final'!$Y$57="Muy Alta",'Mapa final'!$AA$57="Catastrófico"),CONCATENATE("R8C",'Mapa final'!$O$57),"")</f>
        <v/>
      </c>
      <c r="AN13" s="99"/>
      <c r="AO13" s="404"/>
      <c r="AP13" s="405"/>
      <c r="AQ13" s="405"/>
      <c r="AR13" s="405"/>
      <c r="AS13" s="405"/>
      <c r="AT13" s="406"/>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row>
    <row r="14" spans="1:91" ht="15" customHeight="1" x14ac:dyDescent="0.25">
      <c r="A14" s="99"/>
      <c r="B14" s="342"/>
      <c r="C14" s="342"/>
      <c r="D14" s="343"/>
      <c r="E14" s="383"/>
      <c r="F14" s="384"/>
      <c r="G14" s="384"/>
      <c r="H14" s="384"/>
      <c r="I14" s="385"/>
      <c r="J14" s="67" t="str">
        <f>IF(AND('Mapa final'!$Y$58="Muy Alta",'Mapa final'!$AA$58="Leve"),CONCATENATE("R9C",'Mapa final'!$O$58),"")</f>
        <v/>
      </c>
      <c r="K14" s="68" t="str">
        <f>IF(AND('Mapa final'!$Y$59="Muy Alta",'Mapa final'!$AA$59="Leve"),CONCATENATE("R9C",'Mapa final'!$O$59),"")</f>
        <v/>
      </c>
      <c r="L14" s="73" t="str">
        <f>IF(AND('Mapa final'!$Y$60="Muy Alta",'Mapa final'!$AA$60="Leve"),CONCATENATE("R9C",'Mapa final'!$O$60),"")</f>
        <v/>
      </c>
      <c r="M14" s="73" t="str">
        <f>IF(AND('Mapa final'!$Y$61="Muy Alta",'Mapa final'!$AA$61="Leve"),CONCATENATE("R9C",'Mapa final'!$O$61),"")</f>
        <v/>
      </c>
      <c r="N14" s="73" t="str">
        <f>IF(AND('Mapa final'!$Y$62="Muy Alta",'Mapa final'!$AA$62="Leve"),CONCATENATE("R9C",'Mapa final'!$O$62),"")</f>
        <v/>
      </c>
      <c r="O14" s="69" t="str">
        <f>IF(AND('Mapa final'!$Y$63="Muy Alta",'Mapa final'!$AA$63="Leve"),CONCATENATE("R9C",'Mapa final'!$O$63),"")</f>
        <v/>
      </c>
      <c r="P14" s="67" t="str">
        <f>IF(AND('Mapa final'!$Y$58="Muy Alta",'Mapa final'!$AA$58="Menor"),CONCATENATE("R9C",'Mapa final'!$O$58),"")</f>
        <v/>
      </c>
      <c r="Q14" s="68" t="str">
        <f>IF(AND('Mapa final'!$Y$59="Muy Alta",'Mapa final'!$AA$59="Menor"),CONCATENATE("R9C",'Mapa final'!$O$59),"")</f>
        <v/>
      </c>
      <c r="R14" s="73" t="str">
        <f>IF(AND('Mapa final'!$Y$60="Muy Alta",'Mapa final'!$AA$60="Menor"),CONCATENATE("R9C",'Mapa final'!$O$60),"")</f>
        <v/>
      </c>
      <c r="S14" s="73" t="str">
        <f>IF(AND('Mapa final'!$Y$61="Muy Alta",'Mapa final'!$AA$61="Menor"),CONCATENATE("R9C",'Mapa final'!$O$61),"")</f>
        <v/>
      </c>
      <c r="T14" s="73" t="str">
        <f>IF(AND('Mapa final'!$Y$62="Muy Alta",'Mapa final'!$AA$62="Menor"),CONCATENATE("R9C",'Mapa final'!$O$62),"")</f>
        <v/>
      </c>
      <c r="U14" s="69" t="str">
        <f>IF(AND('Mapa final'!$Y$63="Muy Alta",'Mapa final'!$AA$63="Menor"),CONCATENATE("R9C",'Mapa final'!$O$63),"")</f>
        <v/>
      </c>
      <c r="V14" s="67" t="str">
        <f>IF(AND('Mapa final'!$Y$58="Muy Alta",'Mapa final'!$AA$58="Moderado"),CONCATENATE("R9C",'Mapa final'!$O$58),"")</f>
        <v/>
      </c>
      <c r="W14" s="68" t="str">
        <f>IF(AND('Mapa final'!$Y$59="Muy Alta",'Mapa final'!$AA$59="Moderado"),CONCATENATE("R9C",'Mapa final'!$O$59),"")</f>
        <v/>
      </c>
      <c r="X14" s="73" t="str">
        <f>IF(AND('Mapa final'!$Y$60="Muy Alta",'Mapa final'!$AA$60="Moderado"),CONCATENATE("R9C",'Mapa final'!$O$60),"")</f>
        <v/>
      </c>
      <c r="Y14" s="73" t="str">
        <f>IF(AND('Mapa final'!$Y$61="Muy Alta",'Mapa final'!$AA$61="Moderado"),CONCATENATE("R9C",'Mapa final'!$O$61),"")</f>
        <v/>
      </c>
      <c r="Z14" s="73" t="str">
        <f>IF(AND('Mapa final'!$Y$62="Muy Alta",'Mapa final'!$AA$62="Moderado"),CONCATENATE("R9C",'Mapa final'!$O$62),"")</f>
        <v/>
      </c>
      <c r="AA14" s="69" t="str">
        <f>IF(AND('Mapa final'!$Y$63="Muy Alta",'Mapa final'!$AA$63="Moderado"),CONCATENATE("R9C",'Mapa final'!$O$63),"")</f>
        <v/>
      </c>
      <c r="AB14" s="67" t="str">
        <f>IF(AND('Mapa final'!$Y$58="Muy Alta",'Mapa final'!$AA$58="Mayor"),CONCATENATE("R9C",'Mapa final'!$O$58),"")</f>
        <v/>
      </c>
      <c r="AC14" s="68" t="str">
        <f>IF(AND('Mapa final'!$Y$59="Muy Alta",'Mapa final'!$AA$59="Mayor"),CONCATENATE("R9C",'Mapa final'!$O$59),"")</f>
        <v/>
      </c>
      <c r="AD14" s="73" t="str">
        <f>IF(AND('Mapa final'!$Y$60="Muy Alta",'Mapa final'!$AA$60="Mayor"),CONCATENATE("R9C",'Mapa final'!$O$60),"")</f>
        <v/>
      </c>
      <c r="AE14" s="73" t="str">
        <f>IF(AND('Mapa final'!$Y$61="Muy Alta",'Mapa final'!$AA$61="Mayor"),CONCATENATE("R9C",'Mapa final'!$O$61),"")</f>
        <v/>
      </c>
      <c r="AF14" s="73" t="str">
        <f>IF(AND('Mapa final'!$Y$62="Muy Alta",'Mapa final'!$AA$62="Mayor"),CONCATENATE("R9C",'Mapa final'!$O$62),"")</f>
        <v/>
      </c>
      <c r="AG14" s="69" t="str">
        <f>IF(AND('Mapa final'!$Y$63="Muy Alta",'Mapa final'!$AA$63="Mayor"),CONCATENATE("R9C",'Mapa final'!$O$63),"")</f>
        <v/>
      </c>
      <c r="AH14" s="70" t="str">
        <f>IF(AND('Mapa final'!$Y$58="Muy Alta",'Mapa final'!$AA$58="Catastrófico"),CONCATENATE("R9C",'Mapa final'!$O$58),"")</f>
        <v/>
      </c>
      <c r="AI14" s="71" t="str">
        <f>IF(AND('Mapa final'!$Y$59="Muy Alta",'Mapa final'!$AA$59="Catastrófico"),CONCATENATE("R9C",'Mapa final'!$O$59),"")</f>
        <v/>
      </c>
      <c r="AJ14" s="71" t="str">
        <f>IF(AND('Mapa final'!$Y$60="Muy Alta",'Mapa final'!$AA$60="Catastrófico"),CONCATENATE("R9C",'Mapa final'!$O$60),"")</f>
        <v/>
      </c>
      <c r="AK14" s="71" t="str">
        <f>IF(AND('Mapa final'!$Y$61="Muy Alta",'Mapa final'!$AA$61="Catastrófico"),CONCATENATE("R9C",'Mapa final'!$O$61),"")</f>
        <v/>
      </c>
      <c r="AL14" s="71" t="str">
        <f>IF(AND('Mapa final'!$Y$62="Muy Alta",'Mapa final'!$AA$62="Catastrófico"),CONCATENATE("R9C",'Mapa final'!$O$62),"")</f>
        <v/>
      </c>
      <c r="AM14" s="72" t="str">
        <f>IF(AND('Mapa final'!$Y$63="Muy Alta",'Mapa final'!$AA$63="Catastrófico"),CONCATENATE("R9C",'Mapa final'!$O$63),"")</f>
        <v/>
      </c>
      <c r="AN14" s="99"/>
      <c r="AO14" s="404"/>
      <c r="AP14" s="405"/>
      <c r="AQ14" s="405"/>
      <c r="AR14" s="405"/>
      <c r="AS14" s="405"/>
      <c r="AT14" s="406"/>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row>
    <row r="15" spans="1:91" ht="15.75" customHeight="1" thickBot="1" x14ac:dyDescent="0.3">
      <c r="A15" s="99"/>
      <c r="B15" s="342"/>
      <c r="C15" s="342"/>
      <c r="D15" s="343"/>
      <c r="E15" s="386"/>
      <c r="F15" s="387"/>
      <c r="G15" s="387"/>
      <c r="H15" s="387"/>
      <c r="I15" s="388"/>
      <c r="J15" s="74" t="str">
        <f>IF(AND('Mapa final'!$Y$64="Muy Alta",'Mapa final'!$AA$64="Leve"),CONCATENATE("R10C",'Mapa final'!$O$64),"")</f>
        <v/>
      </c>
      <c r="K15" s="75" t="str">
        <f>IF(AND('Mapa final'!$Y$65="Muy Alta",'Mapa final'!$AA$65="Leve"),CONCATENATE("R10C",'Mapa final'!$O$65),"")</f>
        <v/>
      </c>
      <c r="L15" s="75" t="str">
        <f>IF(AND('Mapa final'!$Y$66="Muy Alta",'Mapa final'!$AA$66="Leve"),CONCATENATE("R10C",'Mapa final'!$O$66),"")</f>
        <v/>
      </c>
      <c r="M15" s="75" t="str">
        <f>IF(AND('Mapa final'!$Y$67="Muy Alta",'Mapa final'!$AA$67="Leve"),CONCATENATE("R10C",'Mapa final'!$O$67),"")</f>
        <v/>
      </c>
      <c r="N15" s="75" t="str">
        <f>IF(AND('Mapa final'!$Y$68="Muy Alta",'Mapa final'!$AA$68="Leve"),CONCATENATE("R10C",'Mapa final'!$O$68),"")</f>
        <v/>
      </c>
      <c r="O15" s="76" t="str">
        <f>IF(AND('Mapa final'!$Y$69="Muy Alta",'Mapa final'!$AA$69="Leve"),CONCATENATE("R10C",'Mapa final'!$O$69),"")</f>
        <v/>
      </c>
      <c r="P15" s="67" t="str">
        <f>IF(AND('Mapa final'!$Y$64="Muy Alta",'Mapa final'!$AA$64="Menor"),CONCATENATE("R10C",'Mapa final'!$O$64),"")</f>
        <v/>
      </c>
      <c r="Q15" s="68" t="str">
        <f>IF(AND('Mapa final'!$Y$65="Muy Alta",'Mapa final'!$AA$65="Menor"),CONCATENATE("R10C",'Mapa final'!$O$65),"")</f>
        <v/>
      </c>
      <c r="R15" s="68" t="str">
        <f>IF(AND('Mapa final'!$Y$66="Muy Alta",'Mapa final'!$AA$66="Menor"),CONCATENATE("R10C",'Mapa final'!$O$66),"")</f>
        <v/>
      </c>
      <c r="S15" s="68" t="str">
        <f>IF(AND('Mapa final'!$Y$67="Muy Alta",'Mapa final'!$AA$67="Menor"),CONCATENATE("R10C",'Mapa final'!$O$67),"")</f>
        <v/>
      </c>
      <c r="T15" s="68" t="str">
        <f>IF(AND('Mapa final'!$Y$68="Muy Alta",'Mapa final'!$AA$68="Menor"),CONCATENATE("R10C",'Mapa final'!$O$68),"")</f>
        <v/>
      </c>
      <c r="U15" s="69" t="str">
        <f>IF(AND('Mapa final'!$Y$69="Muy Alta",'Mapa final'!$AA$69="Menor"),CONCATENATE("R10C",'Mapa final'!$O$69),"")</f>
        <v/>
      </c>
      <c r="V15" s="74" t="str">
        <f>IF(AND('Mapa final'!$Y$64="Muy Alta",'Mapa final'!$AA$64="Moderado"),CONCATENATE("R10C",'Mapa final'!$O$64),"")</f>
        <v/>
      </c>
      <c r="W15" s="75" t="str">
        <f>IF(AND('Mapa final'!$Y$65="Muy Alta",'Mapa final'!$AA$65="Moderado"),CONCATENATE("R10C",'Mapa final'!$O$65),"")</f>
        <v/>
      </c>
      <c r="X15" s="75" t="str">
        <f>IF(AND('Mapa final'!$Y$66="Muy Alta",'Mapa final'!$AA$66="Moderado"),CONCATENATE("R10C",'Mapa final'!$O$66),"")</f>
        <v/>
      </c>
      <c r="Y15" s="75" t="str">
        <f>IF(AND('Mapa final'!$Y$67="Muy Alta",'Mapa final'!$AA$67="Moderado"),CONCATENATE("R10C",'Mapa final'!$O$67),"")</f>
        <v/>
      </c>
      <c r="Z15" s="75" t="str">
        <f>IF(AND('Mapa final'!$Y$68="Muy Alta",'Mapa final'!$AA$68="Moderado"),CONCATENATE("R10C",'Mapa final'!$O$68),"")</f>
        <v/>
      </c>
      <c r="AA15" s="76" t="str">
        <f>IF(AND('Mapa final'!$Y$69="Muy Alta",'Mapa final'!$AA$69="Moderado"),CONCATENATE("R10C",'Mapa final'!$O$69),"")</f>
        <v/>
      </c>
      <c r="AB15" s="67" t="str">
        <f>IF(AND('Mapa final'!$Y$64="Muy Alta",'Mapa final'!$AA$64="Mayor"),CONCATENATE("R10C",'Mapa final'!$O$64),"")</f>
        <v/>
      </c>
      <c r="AC15" s="68" t="str">
        <f>IF(AND('Mapa final'!$Y$65="Muy Alta",'Mapa final'!$AA$65="Mayor"),CONCATENATE("R10C",'Mapa final'!$O$65),"")</f>
        <v/>
      </c>
      <c r="AD15" s="68" t="str">
        <f>IF(AND('Mapa final'!$Y$66="Muy Alta",'Mapa final'!$AA$66="Mayor"),CONCATENATE("R10C",'Mapa final'!$O$66),"")</f>
        <v/>
      </c>
      <c r="AE15" s="68" t="str">
        <f>IF(AND('Mapa final'!$Y$67="Muy Alta",'Mapa final'!$AA$67="Mayor"),CONCATENATE("R10C",'Mapa final'!$O$67),"")</f>
        <v/>
      </c>
      <c r="AF15" s="68" t="str">
        <f>IF(AND('Mapa final'!$Y$68="Muy Alta",'Mapa final'!$AA$68="Mayor"),CONCATENATE("R10C",'Mapa final'!$O$68),"")</f>
        <v/>
      </c>
      <c r="AG15" s="69" t="str">
        <f>IF(AND('Mapa final'!$Y$69="Muy Alta",'Mapa final'!$AA$69="Mayor"),CONCATENATE("R10C",'Mapa final'!$O$69),"")</f>
        <v/>
      </c>
      <c r="AH15" s="77" t="str">
        <f>IF(AND('Mapa final'!$Y$64="Muy Alta",'Mapa final'!$AA$64="Catastrófico"),CONCATENATE("R10C",'Mapa final'!$O$64),"")</f>
        <v/>
      </c>
      <c r="AI15" s="78" t="str">
        <f>IF(AND('Mapa final'!$Y$65="Muy Alta",'Mapa final'!$AA$65="Catastrófico"),CONCATENATE("R10C",'Mapa final'!$O$65),"")</f>
        <v/>
      </c>
      <c r="AJ15" s="78" t="str">
        <f>IF(AND('Mapa final'!$Y$66="Muy Alta",'Mapa final'!$AA$66="Catastrófico"),CONCATENATE("R10C",'Mapa final'!$O$66),"")</f>
        <v/>
      </c>
      <c r="AK15" s="78" t="str">
        <f>IF(AND('Mapa final'!$Y$67="Muy Alta",'Mapa final'!$AA$67="Catastrófico"),CONCATENATE("R10C",'Mapa final'!$O$67),"")</f>
        <v/>
      </c>
      <c r="AL15" s="78" t="str">
        <f>IF(AND('Mapa final'!$Y$68="Muy Alta",'Mapa final'!$AA$68="Catastrófico"),CONCATENATE("R10C",'Mapa final'!$O$68),"")</f>
        <v/>
      </c>
      <c r="AM15" s="79" t="str">
        <f>IF(AND('Mapa final'!$Y$69="Muy Alta",'Mapa final'!$AA$69="Catastrófico"),CONCATENATE("R10C",'Mapa final'!$O$69),"")</f>
        <v/>
      </c>
      <c r="AN15" s="99"/>
      <c r="AO15" s="407"/>
      <c r="AP15" s="408"/>
      <c r="AQ15" s="408"/>
      <c r="AR15" s="408"/>
      <c r="AS15" s="408"/>
      <c r="AT15" s="40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row>
    <row r="16" spans="1:91" ht="15" customHeight="1" x14ac:dyDescent="0.25">
      <c r="A16" s="99"/>
      <c r="B16" s="342"/>
      <c r="C16" s="342"/>
      <c r="D16" s="343"/>
      <c r="E16" s="380" t="s">
        <v>115</v>
      </c>
      <c r="F16" s="381"/>
      <c r="G16" s="381"/>
      <c r="H16" s="381"/>
      <c r="I16" s="381"/>
      <c r="J16" s="80" t="str">
        <f>IF(AND('Mapa final'!$Y$10="Alta",'Mapa final'!$AA$10="Leve"),CONCATENATE("R1C",'Mapa final'!$O$10),"")</f>
        <v/>
      </c>
      <c r="K16" s="81" t="str">
        <f>IF(AND('Mapa final'!$Y$11="Alta",'Mapa final'!$AA$11="Leve"),CONCATENATE("R1C",'Mapa final'!$O$11),"")</f>
        <v/>
      </c>
      <c r="L16" s="81" t="str">
        <f>IF(AND('Mapa final'!$Y$12="Alta",'Mapa final'!$AA$12="Leve"),CONCATENATE("R1C",'Mapa final'!$O$12),"")</f>
        <v/>
      </c>
      <c r="M16" s="81" t="str">
        <f>IF(AND('Mapa final'!$Y$13="Alta",'Mapa final'!$AA$13="Leve"),CONCATENATE("R1C",'Mapa final'!$O$13),"")</f>
        <v/>
      </c>
      <c r="N16" s="81" t="str">
        <f>IF(AND('Mapa final'!$Y$14="Alta",'Mapa final'!$AA$14="Leve"),CONCATENATE("R1C",'Mapa final'!$O$14),"")</f>
        <v/>
      </c>
      <c r="O16" s="82" t="str">
        <f>IF(AND('Mapa final'!$Y$15="Alta",'Mapa final'!$AA$15="Leve"),CONCATENATE("R1C",'Mapa final'!$O$15),"")</f>
        <v/>
      </c>
      <c r="P16" s="80" t="str">
        <f>IF(AND('Mapa final'!$Y$10="Alta",'Mapa final'!$AA$10="Menor"),CONCATENATE("R1C",'Mapa final'!$O$10),"")</f>
        <v/>
      </c>
      <c r="Q16" s="81" t="str">
        <f>IF(AND('Mapa final'!$Y$11="Alta",'Mapa final'!$AA$11="Menor"),CONCATENATE("R1C",'Mapa final'!$O$11),"")</f>
        <v/>
      </c>
      <c r="R16" s="81" t="str">
        <f>IF(AND('Mapa final'!$Y$12="Alta",'Mapa final'!$AA$12="Menor"),CONCATENATE("R1C",'Mapa final'!$O$12),"")</f>
        <v/>
      </c>
      <c r="S16" s="81" t="str">
        <f>IF(AND('Mapa final'!$Y$13="Alta",'Mapa final'!$AA$13="Menor"),CONCATENATE("R1C",'Mapa final'!$O$13),"")</f>
        <v/>
      </c>
      <c r="T16" s="81" t="str">
        <f>IF(AND('Mapa final'!$Y$14="Alta",'Mapa final'!$AA$14="Menor"),CONCATENATE("R1C",'Mapa final'!$O$14),"")</f>
        <v/>
      </c>
      <c r="U16" s="82" t="str">
        <f>IF(AND('Mapa final'!$Y$15="Alta",'Mapa final'!$AA$15="Menor"),CONCATENATE("R1C",'Mapa final'!$O$15),"")</f>
        <v/>
      </c>
      <c r="V16" s="61" t="str">
        <f>IF(AND('Mapa final'!$Y$10="Alta",'Mapa final'!$AA$10="Moderado"),CONCATENATE("R1C",'Mapa final'!$O$10),"")</f>
        <v/>
      </c>
      <c r="W16" s="62" t="str">
        <f>IF(AND('Mapa final'!$Y$11="Alta",'Mapa final'!$AA$11="Moderado"),CONCATENATE("R1C",'Mapa final'!$O$11),"")</f>
        <v/>
      </c>
      <c r="X16" s="62" t="str">
        <f>IF(AND('Mapa final'!$Y$12="Alta",'Mapa final'!$AA$12="Moderado"),CONCATENATE("R1C",'Mapa final'!$O$12),"")</f>
        <v/>
      </c>
      <c r="Y16" s="62" t="str">
        <f>IF(AND('Mapa final'!$Y$13="Alta",'Mapa final'!$AA$13="Moderado"),CONCATENATE("R1C",'Mapa final'!$O$13),"")</f>
        <v/>
      </c>
      <c r="Z16" s="62" t="str">
        <f>IF(AND('Mapa final'!$Y$14="Alta",'Mapa final'!$AA$14="Moderado"),CONCATENATE("R1C",'Mapa final'!$O$14),"")</f>
        <v/>
      </c>
      <c r="AA16" s="63" t="str">
        <f>IF(AND('Mapa final'!$Y$15="Alta",'Mapa final'!$AA$15="Moderado"),CONCATENATE("R1C",'Mapa final'!$O$15),"")</f>
        <v/>
      </c>
      <c r="AB16" s="61" t="str">
        <f>IF(AND('Mapa final'!$Y$10="Alta",'Mapa final'!$AA$10="Mayor"),CONCATENATE("R1C",'Mapa final'!$O$10),"")</f>
        <v/>
      </c>
      <c r="AC16" s="62" t="str">
        <f>IF(AND('Mapa final'!$Y$11="Alta",'Mapa final'!$AA$11="Mayor"),CONCATENATE("R1C",'Mapa final'!$O$11),"")</f>
        <v/>
      </c>
      <c r="AD16" s="62" t="str">
        <f>IF(AND('Mapa final'!$Y$12="Alta",'Mapa final'!$AA$12="Mayor"),CONCATENATE("R1C",'Mapa final'!$O$12),"")</f>
        <v/>
      </c>
      <c r="AE16" s="62" t="str">
        <f>IF(AND('Mapa final'!$Y$13="Alta",'Mapa final'!$AA$13="Mayor"),CONCATENATE("R1C",'Mapa final'!$O$13),"")</f>
        <v/>
      </c>
      <c r="AF16" s="62" t="str">
        <f>IF(AND('Mapa final'!$Y$14="Alta",'Mapa final'!$AA$14="Mayor"),CONCATENATE("R1C",'Mapa final'!$O$14),"")</f>
        <v/>
      </c>
      <c r="AG16" s="63" t="str">
        <f>IF(AND('Mapa final'!$Y$15="Alta",'Mapa final'!$AA$15="Mayor"),CONCATENATE("R1C",'Mapa final'!$O$15),"")</f>
        <v/>
      </c>
      <c r="AH16" s="64" t="str">
        <f>IF(AND('Mapa final'!$Y$10="Alta",'Mapa final'!$AA$10="Catastrófico"),CONCATENATE("R1C",'Mapa final'!$O$10),"")</f>
        <v/>
      </c>
      <c r="AI16" s="65" t="str">
        <f>IF(AND('Mapa final'!$Y$11="Alta",'Mapa final'!$AA$11="Catastrófico"),CONCATENATE("R1C",'Mapa final'!$O$11),"")</f>
        <v/>
      </c>
      <c r="AJ16" s="65" t="str">
        <f>IF(AND('Mapa final'!$Y$12="Alta",'Mapa final'!$AA$12="Catastrófico"),CONCATENATE("R1C",'Mapa final'!$O$12),"")</f>
        <v/>
      </c>
      <c r="AK16" s="65" t="str">
        <f>IF(AND('Mapa final'!$Y$13="Alta",'Mapa final'!$AA$13="Catastrófico"),CONCATENATE("R1C",'Mapa final'!$O$13),"")</f>
        <v/>
      </c>
      <c r="AL16" s="65" t="str">
        <f>IF(AND('Mapa final'!$Y$14="Alta",'Mapa final'!$AA$14="Catastrófico"),CONCATENATE("R1C",'Mapa final'!$O$14),"")</f>
        <v/>
      </c>
      <c r="AM16" s="66" t="str">
        <f>IF(AND('Mapa final'!$Y$15="Alta",'Mapa final'!$AA$15="Catastrófico"),CONCATENATE("R1C",'Mapa final'!$O$15),"")</f>
        <v/>
      </c>
      <c r="AN16" s="99"/>
      <c r="AO16" s="390" t="s">
        <v>80</v>
      </c>
      <c r="AP16" s="391"/>
      <c r="AQ16" s="391"/>
      <c r="AR16" s="391"/>
      <c r="AS16" s="391"/>
      <c r="AT16" s="392"/>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row>
    <row r="17" spans="1:76" ht="15" customHeight="1" x14ac:dyDescent="0.25">
      <c r="A17" s="99"/>
      <c r="B17" s="342"/>
      <c r="C17" s="342"/>
      <c r="D17" s="343"/>
      <c r="E17" s="399"/>
      <c r="F17" s="400"/>
      <c r="G17" s="400"/>
      <c r="H17" s="400"/>
      <c r="I17" s="400"/>
      <c r="J17" s="83" t="str">
        <f>IF(AND('Mapa final'!$Y$16="Alta",'Mapa final'!$AA$16="Leve"),CONCATENATE("R2C",'Mapa final'!$O$16),"")</f>
        <v/>
      </c>
      <c r="K17" s="84" t="str">
        <f>IF(AND('Mapa final'!$Y$17="Alta",'Mapa final'!$AA$17="Leve"),CONCATENATE("R2C",'Mapa final'!$O$17),"")</f>
        <v/>
      </c>
      <c r="L17" s="84" t="str">
        <f>IF(AND('Mapa final'!$Y$18="Alta",'Mapa final'!$AA$18="Leve"),CONCATENATE("R2C",'Mapa final'!$O$18),"")</f>
        <v/>
      </c>
      <c r="M17" s="84" t="str">
        <f>IF(AND('Mapa final'!$Y$19="Alta",'Mapa final'!$AA$19="Leve"),CONCATENATE("R2C",'Mapa final'!$O$19),"")</f>
        <v/>
      </c>
      <c r="N17" s="84" t="str">
        <f>IF(AND('Mapa final'!$Y$20="Alta",'Mapa final'!$AA$20="Leve"),CONCATENATE("R2C",'Mapa final'!$O$20),"")</f>
        <v/>
      </c>
      <c r="O17" s="85" t="str">
        <f>IF(AND('Mapa final'!$Y$21="Alta",'Mapa final'!$AA$21="Leve"),CONCATENATE("R2C",'Mapa final'!$O$21),"")</f>
        <v/>
      </c>
      <c r="P17" s="83" t="str">
        <f>IF(AND('Mapa final'!$Y$16="Alta",'Mapa final'!$AA$16="Menor"),CONCATENATE("R2C",'Mapa final'!$O$16),"")</f>
        <v/>
      </c>
      <c r="Q17" s="84" t="str">
        <f>IF(AND('Mapa final'!$Y$17="Alta",'Mapa final'!$AA$17="Menor"),CONCATENATE("R2C",'Mapa final'!$O$17),"")</f>
        <v/>
      </c>
      <c r="R17" s="84" t="str">
        <f>IF(AND('Mapa final'!$Y$18="Alta",'Mapa final'!$AA$18="Menor"),CONCATENATE("R2C",'Mapa final'!$O$18),"")</f>
        <v/>
      </c>
      <c r="S17" s="84" t="str">
        <f>IF(AND('Mapa final'!$Y$19="Alta",'Mapa final'!$AA$19="Menor"),CONCATENATE("R2C",'Mapa final'!$O$19),"")</f>
        <v/>
      </c>
      <c r="T17" s="84" t="str">
        <f>IF(AND('Mapa final'!$Y$20="Alta",'Mapa final'!$AA$20="Menor"),CONCATENATE("R2C",'Mapa final'!$O$20),"")</f>
        <v/>
      </c>
      <c r="U17" s="85" t="str">
        <f>IF(AND('Mapa final'!$Y$21="Alta",'Mapa final'!$AA$21="Menor"),CONCATENATE("R2C",'Mapa final'!$O$21),"")</f>
        <v/>
      </c>
      <c r="V17" s="67" t="str">
        <f>IF(AND('Mapa final'!$Y$16="Alta",'Mapa final'!$AA$16="Moderado"),CONCATENATE("R2C",'Mapa final'!$O$16),"")</f>
        <v/>
      </c>
      <c r="W17" s="68" t="str">
        <f>IF(AND('Mapa final'!$Y$17="Alta",'Mapa final'!$AA$17="Moderado"),CONCATENATE("R2C",'Mapa final'!$O$17),"")</f>
        <v/>
      </c>
      <c r="X17" s="68" t="str">
        <f>IF(AND('Mapa final'!$Y$18="Alta",'Mapa final'!$AA$18="Moderado"),CONCATENATE("R2C",'Mapa final'!$O$18),"")</f>
        <v/>
      </c>
      <c r="Y17" s="68" t="str">
        <f>IF(AND('Mapa final'!$Y$19="Alta",'Mapa final'!$AA$19="Moderado"),CONCATENATE("R2C",'Mapa final'!$O$19),"")</f>
        <v/>
      </c>
      <c r="Z17" s="68" t="str">
        <f>IF(AND('Mapa final'!$Y$20="Alta",'Mapa final'!$AA$20="Moderado"),CONCATENATE("R2C",'Mapa final'!$O$20),"")</f>
        <v/>
      </c>
      <c r="AA17" s="69" t="str">
        <f>IF(AND('Mapa final'!$Y$21="Alta",'Mapa final'!$AA$21="Moderado"),CONCATENATE("R2C",'Mapa final'!$O$21),"")</f>
        <v/>
      </c>
      <c r="AB17" s="67" t="str">
        <f>IF(AND('Mapa final'!$Y$16="Alta",'Mapa final'!$AA$16="Mayor"),CONCATENATE("R2C",'Mapa final'!$O$16),"")</f>
        <v/>
      </c>
      <c r="AC17" s="68" t="str">
        <f>IF(AND('Mapa final'!$Y$17="Alta",'Mapa final'!$AA$17="Mayor"),CONCATENATE("R2C",'Mapa final'!$O$17),"")</f>
        <v/>
      </c>
      <c r="AD17" s="68" t="str">
        <f>IF(AND('Mapa final'!$Y$18="Alta",'Mapa final'!$AA$18="Mayor"),CONCATENATE("R2C",'Mapa final'!$O$18),"")</f>
        <v/>
      </c>
      <c r="AE17" s="68" t="str">
        <f>IF(AND('Mapa final'!$Y$19="Alta",'Mapa final'!$AA$19="Mayor"),CONCATENATE("R2C",'Mapa final'!$O$19),"")</f>
        <v/>
      </c>
      <c r="AF17" s="68" t="str">
        <f>IF(AND('Mapa final'!$Y$20="Alta",'Mapa final'!$AA$20="Mayor"),CONCATENATE("R2C",'Mapa final'!$O$20),"")</f>
        <v/>
      </c>
      <c r="AG17" s="69" t="str">
        <f>IF(AND('Mapa final'!$Y$21="Alta",'Mapa final'!$AA$21="Mayor"),CONCATENATE("R2C",'Mapa final'!$O$21),"")</f>
        <v/>
      </c>
      <c r="AH17" s="70" t="str">
        <f>IF(AND('Mapa final'!$Y$16="Alta",'Mapa final'!$AA$16="Catastrófico"),CONCATENATE("R2C",'Mapa final'!$O$16),"")</f>
        <v/>
      </c>
      <c r="AI17" s="71" t="str">
        <f>IF(AND('Mapa final'!$Y$17="Alta",'Mapa final'!$AA$17="Catastrófico"),CONCATENATE("R2C",'Mapa final'!$O$17),"")</f>
        <v/>
      </c>
      <c r="AJ17" s="71" t="str">
        <f>IF(AND('Mapa final'!$Y$18="Alta",'Mapa final'!$AA$18="Catastrófico"),CONCATENATE("R2C",'Mapa final'!$O$18),"")</f>
        <v/>
      </c>
      <c r="AK17" s="71" t="str">
        <f>IF(AND('Mapa final'!$Y$19="Alta",'Mapa final'!$AA$19="Catastrófico"),CONCATENATE("R2C",'Mapa final'!$O$19),"")</f>
        <v/>
      </c>
      <c r="AL17" s="71" t="str">
        <f>IF(AND('Mapa final'!$Y$20="Alta",'Mapa final'!$AA$20="Catastrófico"),CONCATENATE("R2C",'Mapa final'!$O$20),"")</f>
        <v/>
      </c>
      <c r="AM17" s="72" t="str">
        <f>IF(AND('Mapa final'!$Y$21="Alta",'Mapa final'!$AA$21="Catastrófico"),CONCATENATE("R2C",'Mapa final'!$O$21),"")</f>
        <v/>
      </c>
      <c r="AN17" s="99"/>
      <c r="AO17" s="393"/>
      <c r="AP17" s="394"/>
      <c r="AQ17" s="394"/>
      <c r="AR17" s="394"/>
      <c r="AS17" s="394"/>
      <c r="AT17" s="395"/>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row>
    <row r="18" spans="1:76" ht="15" customHeight="1" x14ac:dyDescent="0.25">
      <c r="A18" s="99"/>
      <c r="B18" s="342"/>
      <c r="C18" s="342"/>
      <c r="D18" s="343"/>
      <c r="E18" s="383"/>
      <c r="F18" s="384"/>
      <c r="G18" s="384"/>
      <c r="H18" s="384"/>
      <c r="I18" s="400"/>
      <c r="J18" s="83" t="str">
        <f>IF(AND('Mapa final'!$Y$22="Alta",'Mapa final'!$AA$22="Leve"),CONCATENATE("R3C",'Mapa final'!$O$22),"")</f>
        <v/>
      </c>
      <c r="K18" s="84" t="str">
        <f>IF(AND('Mapa final'!$Y$23="Alta",'Mapa final'!$AA$23="Leve"),CONCATENATE("R3C",'Mapa final'!$O$23),"")</f>
        <v/>
      </c>
      <c r="L18" s="84" t="str">
        <f>IF(AND('Mapa final'!$Y$24="Alta",'Mapa final'!$AA$24="Leve"),CONCATENATE("R3C",'Mapa final'!$O$24),"")</f>
        <v/>
      </c>
      <c r="M18" s="84" t="str">
        <f>IF(AND('Mapa final'!$Y$25="Alta",'Mapa final'!$AA$25="Leve"),CONCATENATE("R3C",'Mapa final'!$O$25),"")</f>
        <v/>
      </c>
      <c r="N18" s="84" t="str">
        <f>IF(AND('Mapa final'!$Y$26="Alta",'Mapa final'!$AA$26="Leve"),CONCATENATE("R3C",'Mapa final'!$O$26),"")</f>
        <v/>
      </c>
      <c r="O18" s="85" t="str">
        <f>IF(AND('Mapa final'!$Y$27="Alta",'Mapa final'!$AA$27="Leve"),CONCATENATE("R3C",'Mapa final'!$O$27),"")</f>
        <v/>
      </c>
      <c r="P18" s="83" t="str">
        <f>IF(AND('Mapa final'!$Y$22="Alta",'Mapa final'!$AA$22="Menor"),CONCATENATE("R3C",'Mapa final'!$O$22),"")</f>
        <v/>
      </c>
      <c r="Q18" s="84" t="str">
        <f>IF(AND('Mapa final'!$Y$23="Alta",'Mapa final'!$AA$23="Menor"),CONCATENATE("R3C",'Mapa final'!$O$23),"")</f>
        <v/>
      </c>
      <c r="R18" s="84" t="str">
        <f>IF(AND('Mapa final'!$Y$24="Alta",'Mapa final'!$AA$24="Menor"),CONCATENATE("R3C",'Mapa final'!$O$24),"")</f>
        <v/>
      </c>
      <c r="S18" s="84" t="str">
        <f>IF(AND('Mapa final'!$Y$25="Alta",'Mapa final'!$AA$25="Menor"),CONCATENATE("R3C",'Mapa final'!$O$25),"")</f>
        <v/>
      </c>
      <c r="T18" s="84" t="str">
        <f>IF(AND('Mapa final'!$Y$26="Alta",'Mapa final'!$AA$26="Menor"),CONCATENATE("R3C",'Mapa final'!$O$26),"")</f>
        <v/>
      </c>
      <c r="U18" s="85" t="str">
        <f>IF(AND('Mapa final'!$Y$27="Alta",'Mapa final'!$AA$27="Menor"),CONCATENATE("R3C",'Mapa final'!$O$27),"")</f>
        <v/>
      </c>
      <c r="V18" s="67" t="str">
        <f>IF(AND('Mapa final'!$Y$22="Alta",'Mapa final'!$AA$22="Moderado"),CONCATENATE("R3C",'Mapa final'!$O$22),"")</f>
        <v/>
      </c>
      <c r="W18" s="68" t="str">
        <f>IF(AND('Mapa final'!$Y$23="Alta",'Mapa final'!$AA$23="Moderado"),CONCATENATE("R3C",'Mapa final'!$O$23),"")</f>
        <v/>
      </c>
      <c r="X18" s="68" t="str">
        <f>IF(AND('Mapa final'!$Y$24="Alta",'Mapa final'!$AA$24="Moderado"),CONCATENATE("R3C",'Mapa final'!$O$24),"")</f>
        <v/>
      </c>
      <c r="Y18" s="68" t="str">
        <f>IF(AND('Mapa final'!$Y$25="Alta",'Mapa final'!$AA$25="Moderado"),CONCATENATE("R3C",'Mapa final'!$O$25),"")</f>
        <v/>
      </c>
      <c r="Z18" s="68" t="str">
        <f>IF(AND('Mapa final'!$Y$26="Alta",'Mapa final'!$AA$26="Moderado"),CONCATENATE("R3C",'Mapa final'!$O$26),"")</f>
        <v/>
      </c>
      <c r="AA18" s="69" t="str">
        <f>IF(AND('Mapa final'!$Y$27="Alta",'Mapa final'!$AA$27="Moderado"),CONCATENATE("R3C",'Mapa final'!$O$27),"")</f>
        <v/>
      </c>
      <c r="AB18" s="67" t="str">
        <f>IF(AND('Mapa final'!$Y$22="Alta",'Mapa final'!$AA$22="Mayor"),CONCATENATE("R3C",'Mapa final'!$O$22),"")</f>
        <v/>
      </c>
      <c r="AC18" s="68" t="str">
        <f>IF(AND('Mapa final'!$Y$23="Alta",'Mapa final'!$AA$23="Mayor"),CONCATENATE("R3C",'Mapa final'!$O$23),"")</f>
        <v/>
      </c>
      <c r="AD18" s="68" t="str">
        <f>IF(AND('Mapa final'!$Y$24="Alta",'Mapa final'!$AA$24="Mayor"),CONCATENATE("R3C",'Mapa final'!$O$24),"")</f>
        <v/>
      </c>
      <c r="AE18" s="68" t="str">
        <f>IF(AND('Mapa final'!$Y$25="Alta",'Mapa final'!$AA$25="Mayor"),CONCATENATE("R3C",'Mapa final'!$O$25),"")</f>
        <v/>
      </c>
      <c r="AF18" s="68" t="str">
        <f>IF(AND('Mapa final'!$Y$26="Alta",'Mapa final'!$AA$26="Mayor"),CONCATENATE("R3C",'Mapa final'!$O$26),"")</f>
        <v/>
      </c>
      <c r="AG18" s="69" t="str">
        <f>IF(AND('Mapa final'!$Y$27="Alta",'Mapa final'!$AA$27="Mayor"),CONCATENATE("R3C",'Mapa final'!$O$27),"")</f>
        <v/>
      </c>
      <c r="AH18" s="70" t="str">
        <f>IF(AND('Mapa final'!$Y$22="Alta",'Mapa final'!$AA$22="Catastrófico"),CONCATENATE("R3C",'Mapa final'!$O$22),"")</f>
        <v/>
      </c>
      <c r="AI18" s="71" t="str">
        <f>IF(AND('Mapa final'!$Y$23="Alta",'Mapa final'!$AA$23="Catastrófico"),CONCATENATE("R3C",'Mapa final'!$O$23),"")</f>
        <v/>
      </c>
      <c r="AJ18" s="71" t="str">
        <f>IF(AND('Mapa final'!$Y$24="Alta",'Mapa final'!$AA$24="Catastrófico"),CONCATENATE("R3C",'Mapa final'!$O$24),"")</f>
        <v/>
      </c>
      <c r="AK18" s="71" t="str">
        <f>IF(AND('Mapa final'!$Y$25="Alta",'Mapa final'!$AA$25="Catastrófico"),CONCATENATE("R3C",'Mapa final'!$O$25),"")</f>
        <v/>
      </c>
      <c r="AL18" s="71" t="str">
        <f>IF(AND('Mapa final'!$Y$26="Alta",'Mapa final'!$AA$26="Catastrófico"),CONCATENATE("R3C",'Mapa final'!$O$26),"")</f>
        <v/>
      </c>
      <c r="AM18" s="72" t="str">
        <f>IF(AND('Mapa final'!$Y$27="Alta",'Mapa final'!$AA$27="Catastrófico"),CONCATENATE("R3C",'Mapa final'!$O$27),"")</f>
        <v/>
      </c>
      <c r="AN18" s="99"/>
      <c r="AO18" s="393"/>
      <c r="AP18" s="394"/>
      <c r="AQ18" s="394"/>
      <c r="AR18" s="394"/>
      <c r="AS18" s="394"/>
      <c r="AT18" s="395"/>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row>
    <row r="19" spans="1:76" ht="15" customHeight="1" x14ac:dyDescent="0.25">
      <c r="A19" s="99"/>
      <c r="B19" s="342"/>
      <c r="C19" s="342"/>
      <c r="D19" s="343"/>
      <c r="E19" s="383"/>
      <c r="F19" s="384"/>
      <c r="G19" s="384"/>
      <c r="H19" s="384"/>
      <c r="I19" s="400"/>
      <c r="J19" s="83" t="str">
        <f>IF(AND('Mapa final'!$Y$28="Alta",'Mapa final'!$AA$28="Leve"),CONCATENATE("R4C",'Mapa final'!$O$28),"")</f>
        <v/>
      </c>
      <c r="K19" s="84" t="str">
        <f>IF(AND('Mapa final'!$Y$29="Alta",'Mapa final'!$AA$29="Leve"),CONCATENATE("R4C",'Mapa final'!$O$29),"")</f>
        <v/>
      </c>
      <c r="L19" s="84" t="str">
        <f>IF(AND('Mapa final'!$Y$30="Alta",'Mapa final'!$AA$30="Leve"),CONCATENATE("R4C",'Mapa final'!$O$30),"")</f>
        <v/>
      </c>
      <c r="M19" s="84" t="str">
        <f>IF(AND('Mapa final'!$Y$31="Alta",'Mapa final'!$AA$31="Leve"),CONCATENATE("R4C",'Mapa final'!$O$31),"")</f>
        <v/>
      </c>
      <c r="N19" s="84" t="str">
        <f>IF(AND('Mapa final'!$Y$32="Alta",'Mapa final'!$AA$32="Leve"),CONCATENATE("R4C",'Mapa final'!$O$32),"")</f>
        <v/>
      </c>
      <c r="O19" s="85" t="str">
        <f>IF(AND('Mapa final'!$Y$33="Alta",'Mapa final'!$AA$33="Leve"),CONCATENATE("R4C",'Mapa final'!$O$33),"")</f>
        <v/>
      </c>
      <c r="P19" s="83" t="str">
        <f>IF(AND('Mapa final'!$Y$28="Alta",'Mapa final'!$AA$28="Menor"),CONCATENATE("R4C",'Mapa final'!$O$28),"")</f>
        <v/>
      </c>
      <c r="Q19" s="84" t="str">
        <f>IF(AND('Mapa final'!$Y$29="Alta",'Mapa final'!$AA$29="Menor"),CONCATENATE("R4C",'Mapa final'!$O$29),"")</f>
        <v/>
      </c>
      <c r="R19" s="84" t="str">
        <f>IF(AND('Mapa final'!$Y$30="Alta",'Mapa final'!$AA$30="Menor"),CONCATENATE("R4C",'Mapa final'!$O$30),"")</f>
        <v/>
      </c>
      <c r="S19" s="84" t="str">
        <f>IF(AND('Mapa final'!$Y$31="Alta",'Mapa final'!$AA$31="Menor"),CONCATENATE("R4C",'Mapa final'!$O$31),"")</f>
        <v/>
      </c>
      <c r="T19" s="84" t="str">
        <f>IF(AND('Mapa final'!$Y$32="Alta",'Mapa final'!$AA$32="Menor"),CONCATENATE("R4C",'Mapa final'!$O$32),"")</f>
        <v/>
      </c>
      <c r="U19" s="85" t="str">
        <f>IF(AND('Mapa final'!$Y$33="Alta",'Mapa final'!$AA$33="Menor"),CONCATENATE("R4C",'Mapa final'!$O$33),"")</f>
        <v/>
      </c>
      <c r="V19" s="67" t="str">
        <f>IF(AND('Mapa final'!$Y$28="Alta",'Mapa final'!$AA$28="Moderado"),CONCATENATE("R4C",'Mapa final'!$O$28),"")</f>
        <v/>
      </c>
      <c r="W19" s="68" t="str">
        <f>IF(AND('Mapa final'!$Y$29="Alta",'Mapa final'!$AA$29="Moderado"),CONCATENATE("R4C",'Mapa final'!$O$29),"")</f>
        <v/>
      </c>
      <c r="X19" s="73" t="str">
        <f>IF(AND('Mapa final'!$Y$30="Alta",'Mapa final'!$AA$30="Moderado"),CONCATENATE("R4C",'Mapa final'!$O$30),"")</f>
        <v/>
      </c>
      <c r="Y19" s="73" t="str">
        <f>IF(AND('Mapa final'!$Y$31="Alta",'Mapa final'!$AA$31="Moderado"),CONCATENATE("R4C",'Mapa final'!$O$31),"")</f>
        <v/>
      </c>
      <c r="Z19" s="73" t="str">
        <f>IF(AND('Mapa final'!$Y$32="Alta",'Mapa final'!$AA$32="Moderado"),CONCATENATE("R4C",'Mapa final'!$O$32),"")</f>
        <v/>
      </c>
      <c r="AA19" s="69" t="str">
        <f>IF(AND('Mapa final'!$Y$33="Alta",'Mapa final'!$AA$33="Moderado"),CONCATENATE("R4C",'Mapa final'!$O$33),"")</f>
        <v/>
      </c>
      <c r="AB19" s="67" t="str">
        <f>IF(AND('Mapa final'!$Y$28="Alta",'Mapa final'!$AA$28="Mayor"),CONCATENATE("R4C",'Mapa final'!$O$28),"")</f>
        <v/>
      </c>
      <c r="AC19" s="68" t="str">
        <f>IF(AND('Mapa final'!$Y$29="Alta",'Mapa final'!$AA$29="Mayor"),CONCATENATE("R4C",'Mapa final'!$O$29),"")</f>
        <v/>
      </c>
      <c r="AD19" s="73" t="str">
        <f>IF(AND('Mapa final'!$Y$30="Alta",'Mapa final'!$AA$30="Mayor"),CONCATENATE("R4C",'Mapa final'!$O$30),"")</f>
        <v/>
      </c>
      <c r="AE19" s="73" t="str">
        <f>IF(AND('Mapa final'!$Y$31="Alta",'Mapa final'!$AA$31="Mayor"),CONCATENATE("R4C",'Mapa final'!$O$31),"")</f>
        <v/>
      </c>
      <c r="AF19" s="73" t="str">
        <f>IF(AND('Mapa final'!$Y$32="Alta",'Mapa final'!$AA$32="Mayor"),CONCATENATE("R4C",'Mapa final'!$O$32),"")</f>
        <v/>
      </c>
      <c r="AG19" s="69" t="str">
        <f>IF(AND('Mapa final'!$Y$33="Alta",'Mapa final'!$AA$33="Mayor"),CONCATENATE("R4C",'Mapa final'!$O$33),"")</f>
        <v/>
      </c>
      <c r="AH19" s="70" t="str">
        <f>IF(AND('Mapa final'!$Y$28="Alta",'Mapa final'!$AA$28="Catastrófico"),CONCATENATE("R4C",'Mapa final'!$O$28),"")</f>
        <v/>
      </c>
      <c r="AI19" s="71" t="str">
        <f>IF(AND('Mapa final'!$Y$29="Alta",'Mapa final'!$AA$29="Catastrófico"),CONCATENATE("R4C",'Mapa final'!$O$29),"")</f>
        <v/>
      </c>
      <c r="AJ19" s="71" t="str">
        <f>IF(AND('Mapa final'!$Y$30="Alta",'Mapa final'!$AA$30="Catastrófico"),CONCATENATE("R4C",'Mapa final'!$O$30),"")</f>
        <v/>
      </c>
      <c r="AK19" s="71" t="str">
        <f>IF(AND('Mapa final'!$Y$31="Alta",'Mapa final'!$AA$31="Catastrófico"),CONCATENATE("R4C",'Mapa final'!$O$31),"")</f>
        <v/>
      </c>
      <c r="AL19" s="71" t="str">
        <f>IF(AND('Mapa final'!$Y$32="Alta",'Mapa final'!$AA$32="Catastrófico"),CONCATENATE("R4C",'Mapa final'!$O$32),"")</f>
        <v/>
      </c>
      <c r="AM19" s="72" t="str">
        <f>IF(AND('Mapa final'!$Y$33="Alta",'Mapa final'!$AA$33="Catastrófico"),CONCATENATE("R4C",'Mapa final'!$O$33),"")</f>
        <v/>
      </c>
      <c r="AN19" s="99"/>
      <c r="AO19" s="393"/>
      <c r="AP19" s="394"/>
      <c r="AQ19" s="394"/>
      <c r="AR19" s="394"/>
      <c r="AS19" s="394"/>
      <c r="AT19" s="395"/>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row>
    <row r="20" spans="1:76" ht="15" customHeight="1" x14ac:dyDescent="0.25">
      <c r="A20" s="99"/>
      <c r="B20" s="342"/>
      <c r="C20" s="342"/>
      <c r="D20" s="343"/>
      <c r="E20" s="383"/>
      <c r="F20" s="384"/>
      <c r="G20" s="384"/>
      <c r="H20" s="384"/>
      <c r="I20" s="400"/>
      <c r="J20" s="83" t="str">
        <f>IF(AND('Mapa final'!$Y$34="Alta",'Mapa final'!$AA$34="Leve"),CONCATENATE("R5C",'Mapa final'!$O$34),"")</f>
        <v/>
      </c>
      <c r="K20" s="84" t="str">
        <f>IF(AND('Mapa final'!$Y$35="Alta",'Mapa final'!$AA$35="Leve"),CONCATENATE("R5C",'Mapa final'!$O$35),"")</f>
        <v/>
      </c>
      <c r="L20" s="84" t="str">
        <f>IF(AND('Mapa final'!$Y$36="Alta",'Mapa final'!$AA$36="Leve"),CONCATENATE("R5C",'Mapa final'!$O$36),"")</f>
        <v/>
      </c>
      <c r="M20" s="84" t="str">
        <f>IF(AND('Mapa final'!$Y$37="Alta",'Mapa final'!$AA$37="Leve"),CONCATENATE("R5C",'Mapa final'!$O$37),"")</f>
        <v/>
      </c>
      <c r="N20" s="84" t="str">
        <f>IF(AND('Mapa final'!$Y$38="Alta",'Mapa final'!$AA$38="Leve"),CONCATENATE("R5C",'Mapa final'!$O$38),"")</f>
        <v/>
      </c>
      <c r="O20" s="85" t="str">
        <f>IF(AND('Mapa final'!$Y$39="Alta",'Mapa final'!$AA$39="Leve"),CONCATENATE("R5C",'Mapa final'!$O$39),"")</f>
        <v/>
      </c>
      <c r="P20" s="83" t="str">
        <f>IF(AND('Mapa final'!$Y$34="Alta",'Mapa final'!$AA$34="Menor"),CONCATENATE("R5C",'Mapa final'!$O$34),"")</f>
        <v/>
      </c>
      <c r="Q20" s="84" t="str">
        <f>IF(AND('Mapa final'!$Y$35="Alta",'Mapa final'!$AA$35="Menor"),CONCATENATE("R5C",'Mapa final'!$O$35),"")</f>
        <v/>
      </c>
      <c r="R20" s="84" t="str">
        <f>IF(AND('Mapa final'!$Y$36="Alta",'Mapa final'!$AA$36="Menor"),CONCATENATE("R5C",'Mapa final'!$O$36),"")</f>
        <v/>
      </c>
      <c r="S20" s="84" t="str">
        <f>IF(AND('Mapa final'!$Y$37="Alta",'Mapa final'!$AA$37="Menor"),CONCATENATE("R5C",'Mapa final'!$O$37),"")</f>
        <v/>
      </c>
      <c r="T20" s="84" t="str">
        <f>IF(AND('Mapa final'!$Y$38="Alta",'Mapa final'!$AA$38="Menor"),CONCATENATE("R5C",'Mapa final'!$O$38),"")</f>
        <v/>
      </c>
      <c r="U20" s="85" t="str">
        <f>IF(AND('Mapa final'!$Y$39="Alta",'Mapa final'!$AA$39="Menor"),CONCATENATE("R5C",'Mapa final'!$O$39),"")</f>
        <v/>
      </c>
      <c r="V20" s="67" t="str">
        <f>IF(AND('Mapa final'!$Y$34="Alta",'Mapa final'!$AA$34="Moderado"),CONCATENATE("R5C",'Mapa final'!$O$34),"")</f>
        <v>R5C1</v>
      </c>
      <c r="W20" s="68" t="str">
        <f>IF(AND('Mapa final'!$Y$35="Alta",'Mapa final'!$AA$35="Moderado"),CONCATENATE("R5C",'Mapa final'!$O$35),"")</f>
        <v/>
      </c>
      <c r="X20" s="73" t="str">
        <f>IF(AND('Mapa final'!$Y$36="Alta",'Mapa final'!$AA$36="Moderado"),CONCATENATE("R5C",'Mapa final'!$O$36),"")</f>
        <v/>
      </c>
      <c r="Y20" s="73" t="str">
        <f>IF(AND('Mapa final'!$Y$37="Alta",'Mapa final'!$AA$37="Moderado"),CONCATENATE("R5C",'Mapa final'!$O$37),"")</f>
        <v/>
      </c>
      <c r="Z20" s="73" t="str">
        <f>IF(AND('Mapa final'!$Y$38="Alta",'Mapa final'!$AA$38="Moderado"),CONCATENATE("R5C",'Mapa final'!$O$38),"")</f>
        <v/>
      </c>
      <c r="AA20" s="69" t="str">
        <f>IF(AND('Mapa final'!$Y$39="Alta",'Mapa final'!$AA$39="Moderado"),CONCATENATE("R5C",'Mapa final'!$O$39),"")</f>
        <v/>
      </c>
      <c r="AB20" s="67" t="str">
        <f>IF(AND('Mapa final'!$Y$34="Alta",'Mapa final'!$AA$34="Mayor"),CONCATENATE("R5C",'Mapa final'!$O$34),"")</f>
        <v/>
      </c>
      <c r="AC20" s="68" t="str">
        <f>IF(AND('Mapa final'!$Y$35="Alta",'Mapa final'!$AA$35="Mayor"),CONCATENATE("R5C",'Mapa final'!$O$35),"")</f>
        <v/>
      </c>
      <c r="AD20" s="73" t="str">
        <f>IF(AND('Mapa final'!$Y$36="Alta",'Mapa final'!$AA$36="Mayor"),CONCATENATE("R5C",'Mapa final'!$O$36),"")</f>
        <v/>
      </c>
      <c r="AE20" s="73" t="str">
        <f>IF(AND('Mapa final'!$Y$37="Alta",'Mapa final'!$AA$37="Mayor"),CONCATENATE("R5C",'Mapa final'!$O$37),"")</f>
        <v/>
      </c>
      <c r="AF20" s="73" t="str">
        <f>IF(AND('Mapa final'!$Y$38="Alta",'Mapa final'!$AA$38="Mayor"),CONCATENATE("R5C",'Mapa final'!$O$38),"")</f>
        <v/>
      </c>
      <c r="AG20" s="69" t="str">
        <f>IF(AND('Mapa final'!$Y$39="Alta",'Mapa final'!$AA$39="Mayor"),CONCATENATE("R5C",'Mapa final'!$O$39),"")</f>
        <v/>
      </c>
      <c r="AH20" s="70" t="str">
        <f>IF(AND('Mapa final'!$Y$34="Alta",'Mapa final'!$AA$34="Catastrófico"),CONCATENATE("R5C",'Mapa final'!$O$34),"")</f>
        <v/>
      </c>
      <c r="AI20" s="71" t="str">
        <f>IF(AND('Mapa final'!$Y$35="Alta",'Mapa final'!$AA$35="Catastrófico"),CONCATENATE("R5C",'Mapa final'!$O$35),"")</f>
        <v/>
      </c>
      <c r="AJ20" s="71" t="str">
        <f>IF(AND('Mapa final'!$Y$36="Alta",'Mapa final'!$AA$36="Catastrófico"),CONCATENATE("R5C",'Mapa final'!$O$36),"")</f>
        <v/>
      </c>
      <c r="AK20" s="71" t="str">
        <f>IF(AND('Mapa final'!$Y$37="Alta",'Mapa final'!$AA$37="Catastrófico"),CONCATENATE("R5C",'Mapa final'!$O$37),"")</f>
        <v/>
      </c>
      <c r="AL20" s="71" t="str">
        <f>IF(AND('Mapa final'!$Y$38="Alta",'Mapa final'!$AA$38="Catastrófico"),CONCATENATE("R5C",'Mapa final'!$O$38),"")</f>
        <v/>
      </c>
      <c r="AM20" s="72" t="str">
        <f>IF(AND('Mapa final'!$Y$39="Alta",'Mapa final'!$AA$39="Catastrófico"),CONCATENATE("R5C",'Mapa final'!$O$39),"")</f>
        <v/>
      </c>
      <c r="AN20" s="99"/>
      <c r="AO20" s="393"/>
      <c r="AP20" s="394"/>
      <c r="AQ20" s="394"/>
      <c r="AR20" s="394"/>
      <c r="AS20" s="394"/>
      <c r="AT20" s="395"/>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row>
    <row r="21" spans="1:76" ht="15" customHeight="1" x14ac:dyDescent="0.25">
      <c r="A21" s="99"/>
      <c r="B21" s="342"/>
      <c r="C21" s="342"/>
      <c r="D21" s="343"/>
      <c r="E21" s="383"/>
      <c r="F21" s="384"/>
      <c r="G21" s="384"/>
      <c r="H21" s="384"/>
      <c r="I21" s="400"/>
      <c r="J21" s="83" t="str">
        <f>IF(AND('Mapa final'!$Y$40="Alta",'Mapa final'!$AA$40="Leve"),CONCATENATE("R6C",'Mapa final'!$O$40),"")</f>
        <v/>
      </c>
      <c r="K21" s="84" t="str">
        <f>IF(AND('Mapa final'!$Y$41="Alta",'Mapa final'!$AA$41="Leve"),CONCATENATE("R6C",'Mapa final'!$O$41),"")</f>
        <v/>
      </c>
      <c r="L21" s="84" t="str">
        <f>IF(AND('Mapa final'!$Y$42="Alta",'Mapa final'!$AA$42="Leve"),CONCATENATE("R6C",'Mapa final'!$O$42),"")</f>
        <v/>
      </c>
      <c r="M21" s="84" t="str">
        <f>IF(AND('Mapa final'!$Y$43="Alta",'Mapa final'!$AA$43="Leve"),CONCATENATE("R6C",'Mapa final'!$O$43),"")</f>
        <v/>
      </c>
      <c r="N21" s="84" t="str">
        <f>IF(AND('Mapa final'!$Y$44="Alta",'Mapa final'!$AA$44="Leve"),CONCATENATE("R6C",'Mapa final'!$O$44),"")</f>
        <v/>
      </c>
      <c r="O21" s="85" t="str">
        <f>IF(AND('Mapa final'!$Y$45="Alta",'Mapa final'!$AA$45="Leve"),CONCATENATE("R6C",'Mapa final'!$O$45),"")</f>
        <v/>
      </c>
      <c r="P21" s="83" t="str">
        <f>IF(AND('Mapa final'!$Y$40="Alta",'Mapa final'!$AA$40="Menor"),CONCATENATE("R6C",'Mapa final'!$O$40),"")</f>
        <v/>
      </c>
      <c r="Q21" s="84" t="str">
        <f>IF(AND('Mapa final'!$Y$41="Alta",'Mapa final'!$AA$41="Menor"),CONCATENATE("R6C",'Mapa final'!$O$41),"")</f>
        <v/>
      </c>
      <c r="R21" s="84" t="str">
        <f>IF(AND('Mapa final'!$Y$42="Alta",'Mapa final'!$AA$42="Menor"),CONCATENATE("R6C",'Mapa final'!$O$42),"")</f>
        <v/>
      </c>
      <c r="S21" s="84" t="str">
        <f>IF(AND('Mapa final'!$Y$43="Alta",'Mapa final'!$AA$43="Menor"),CONCATENATE("R6C",'Mapa final'!$O$43),"")</f>
        <v/>
      </c>
      <c r="T21" s="84" t="str">
        <f>IF(AND('Mapa final'!$Y$44="Alta",'Mapa final'!$AA$44="Menor"),CONCATENATE("R6C",'Mapa final'!$O$44),"")</f>
        <v/>
      </c>
      <c r="U21" s="85" t="str">
        <f>IF(AND('Mapa final'!$Y$45="Alta",'Mapa final'!$AA$45="Menor"),CONCATENATE("R6C",'Mapa final'!$O$45),"")</f>
        <v/>
      </c>
      <c r="V21" s="67" t="str">
        <f>IF(AND('Mapa final'!$Y$40="Alta",'Mapa final'!$AA$40="Moderado"),CONCATENATE("R6C",'Mapa final'!$O$40),"")</f>
        <v/>
      </c>
      <c r="W21" s="68" t="str">
        <f>IF(AND('Mapa final'!$Y$41="Alta",'Mapa final'!$AA$41="Moderado"),CONCATENATE("R6C",'Mapa final'!$O$41),"")</f>
        <v/>
      </c>
      <c r="X21" s="73" t="str">
        <f>IF(AND('Mapa final'!$Y$42="Alta",'Mapa final'!$AA$42="Moderado"),CONCATENATE("R6C",'Mapa final'!$O$42),"")</f>
        <v/>
      </c>
      <c r="Y21" s="73" t="str">
        <f>IF(AND('Mapa final'!$Y$43="Alta",'Mapa final'!$AA$43="Moderado"),CONCATENATE("R6C",'Mapa final'!$O$43),"")</f>
        <v/>
      </c>
      <c r="Z21" s="73" t="str">
        <f>IF(AND('Mapa final'!$Y$44="Alta",'Mapa final'!$AA$44="Moderado"),CONCATENATE("R6C",'Mapa final'!$O$44),"")</f>
        <v/>
      </c>
      <c r="AA21" s="69" t="str">
        <f>IF(AND('Mapa final'!$Y$45="Alta",'Mapa final'!$AA$45="Moderado"),CONCATENATE("R6C",'Mapa final'!$O$45),"")</f>
        <v/>
      </c>
      <c r="AB21" s="67" t="str">
        <f>IF(AND('Mapa final'!$Y$40="Alta",'Mapa final'!$AA$40="Mayor"),CONCATENATE("R6C",'Mapa final'!$O$40),"")</f>
        <v/>
      </c>
      <c r="AC21" s="68" t="str">
        <f>IF(AND('Mapa final'!$Y$41="Alta",'Mapa final'!$AA$41="Mayor"),CONCATENATE("R6C",'Mapa final'!$O$41),"")</f>
        <v/>
      </c>
      <c r="AD21" s="73" t="str">
        <f>IF(AND('Mapa final'!$Y$42="Alta",'Mapa final'!$AA$42="Mayor"),CONCATENATE("R6C",'Mapa final'!$O$42),"")</f>
        <v/>
      </c>
      <c r="AE21" s="73" t="str">
        <f>IF(AND('Mapa final'!$Y$43="Alta",'Mapa final'!$AA$43="Mayor"),CONCATENATE("R6C",'Mapa final'!$O$43),"")</f>
        <v/>
      </c>
      <c r="AF21" s="73" t="str">
        <f>IF(AND('Mapa final'!$Y$44="Alta",'Mapa final'!$AA$44="Mayor"),CONCATENATE("R6C",'Mapa final'!$O$44),"")</f>
        <v/>
      </c>
      <c r="AG21" s="69" t="str">
        <f>IF(AND('Mapa final'!$Y$45="Alta",'Mapa final'!$AA$45="Mayor"),CONCATENATE("R6C",'Mapa final'!$O$45),"")</f>
        <v/>
      </c>
      <c r="AH21" s="70" t="str">
        <f>IF(AND('Mapa final'!$Y$40="Alta",'Mapa final'!$AA$40="Catastrófico"),CONCATENATE("R6C",'Mapa final'!$O$40),"")</f>
        <v/>
      </c>
      <c r="AI21" s="71" t="str">
        <f>IF(AND('Mapa final'!$Y$41="Alta",'Mapa final'!$AA$41="Catastrófico"),CONCATENATE("R6C",'Mapa final'!$O$41),"")</f>
        <v/>
      </c>
      <c r="AJ21" s="71" t="str">
        <f>IF(AND('Mapa final'!$Y$42="Alta",'Mapa final'!$AA$42="Catastrófico"),CONCATENATE("R6C",'Mapa final'!$O$42),"")</f>
        <v/>
      </c>
      <c r="AK21" s="71" t="str">
        <f>IF(AND('Mapa final'!$Y$43="Alta",'Mapa final'!$AA$43="Catastrófico"),CONCATENATE("R6C",'Mapa final'!$O$43),"")</f>
        <v/>
      </c>
      <c r="AL21" s="71" t="str">
        <f>IF(AND('Mapa final'!$Y$44="Alta",'Mapa final'!$AA$44="Catastrófico"),CONCATENATE("R6C",'Mapa final'!$O$44),"")</f>
        <v/>
      </c>
      <c r="AM21" s="72" t="str">
        <f>IF(AND('Mapa final'!$Y$45="Alta",'Mapa final'!$AA$45="Catastrófico"),CONCATENATE("R6C",'Mapa final'!$O$45),"")</f>
        <v/>
      </c>
      <c r="AN21" s="99"/>
      <c r="AO21" s="393"/>
      <c r="AP21" s="394"/>
      <c r="AQ21" s="394"/>
      <c r="AR21" s="394"/>
      <c r="AS21" s="394"/>
      <c r="AT21" s="395"/>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row>
    <row r="22" spans="1:76" ht="15" customHeight="1" x14ac:dyDescent="0.25">
      <c r="A22" s="99"/>
      <c r="B22" s="342"/>
      <c r="C22" s="342"/>
      <c r="D22" s="343"/>
      <c r="E22" s="383"/>
      <c r="F22" s="384"/>
      <c r="G22" s="384"/>
      <c r="H22" s="384"/>
      <c r="I22" s="400"/>
      <c r="J22" s="83" t="str">
        <f>IF(AND('Mapa final'!$Y$46="Alta",'Mapa final'!$AA$46="Leve"),CONCATENATE("R7C",'Mapa final'!$O$46),"")</f>
        <v/>
      </c>
      <c r="K22" s="84" t="str">
        <f>IF(AND('Mapa final'!$Y$47="Alta",'Mapa final'!$AA$47="Leve"),CONCATENATE("R7C",'Mapa final'!$O$47),"")</f>
        <v/>
      </c>
      <c r="L22" s="84" t="str">
        <f>IF(AND('Mapa final'!$Y$48="Alta",'Mapa final'!$AA$48="Leve"),CONCATENATE("R7C",'Mapa final'!$O$48),"")</f>
        <v/>
      </c>
      <c r="M22" s="84" t="str">
        <f>IF(AND('Mapa final'!$Y$49="Alta",'Mapa final'!$AA$49="Leve"),CONCATENATE("R7C",'Mapa final'!$O$49),"")</f>
        <v/>
      </c>
      <c r="N22" s="84" t="str">
        <f>IF(AND('Mapa final'!$Y$50="Alta",'Mapa final'!$AA$50="Leve"),CONCATENATE("R7C",'Mapa final'!$O$50),"")</f>
        <v/>
      </c>
      <c r="O22" s="85" t="str">
        <f>IF(AND('Mapa final'!$Y$51="Alta",'Mapa final'!$AA$51="Leve"),CONCATENATE("R7C",'Mapa final'!$O$51),"")</f>
        <v/>
      </c>
      <c r="P22" s="83" t="str">
        <f>IF(AND('Mapa final'!$Y$46="Alta",'Mapa final'!$AA$46="Menor"),CONCATENATE("R7C",'Mapa final'!$O$46),"")</f>
        <v/>
      </c>
      <c r="Q22" s="84" t="str">
        <f>IF(AND('Mapa final'!$Y$47="Alta",'Mapa final'!$AA$47="Menor"),CONCATENATE("R7C",'Mapa final'!$O$47),"")</f>
        <v/>
      </c>
      <c r="R22" s="84" t="str">
        <f>IF(AND('Mapa final'!$Y$48="Alta",'Mapa final'!$AA$48="Menor"),CONCATENATE("R7C",'Mapa final'!$O$48),"")</f>
        <v/>
      </c>
      <c r="S22" s="84" t="str">
        <f>IF(AND('Mapa final'!$Y$49="Alta",'Mapa final'!$AA$49="Menor"),CONCATENATE("R7C",'Mapa final'!$O$49),"")</f>
        <v/>
      </c>
      <c r="T22" s="84" t="str">
        <f>IF(AND('Mapa final'!$Y$50="Alta",'Mapa final'!$AA$50="Menor"),CONCATENATE("R7C",'Mapa final'!$O$50),"")</f>
        <v/>
      </c>
      <c r="U22" s="85" t="str">
        <f>IF(AND('Mapa final'!$Y$51="Alta",'Mapa final'!$AA$51="Menor"),CONCATENATE("R7C",'Mapa final'!$O$51),"")</f>
        <v/>
      </c>
      <c r="V22" s="67" t="str">
        <f>IF(AND('Mapa final'!$Y$46="Alta",'Mapa final'!$AA$46="Moderado"),CONCATENATE("R7C",'Mapa final'!$O$46),"")</f>
        <v/>
      </c>
      <c r="W22" s="68" t="str">
        <f>IF(AND('Mapa final'!$Y$47="Alta",'Mapa final'!$AA$47="Moderado"),CONCATENATE("R7C",'Mapa final'!$O$47),"")</f>
        <v/>
      </c>
      <c r="X22" s="73" t="str">
        <f>IF(AND('Mapa final'!$Y$48="Alta",'Mapa final'!$AA$48="Moderado"),CONCATENATE("R7C",'Mapa final'!$O$48),"")</f>
        <v/>
      </c>
      <c r="Y22" s="73" t="str">
        <f>IF(AND('Mapa final'!$Y$49="Alta",'Mapa final'!$AA$49="Moderado"),CONCATENATE("R7C",'Mapa final'!$O$49),"")</f>
        <v/>
      </c>
      <c r="Z22" s="73" t="str">
        <f>IF(AND('Mapa final'!$Y$50="Alta",'Mapa final'!$AA$50="Moderado"),CONCATENATE("R7C",'Mapa final'!$O$50),"")</f>
        <v/>
      </c>
      <c r="AA22" s="69" t="str">
        <f>IF(AND('Mapa final'!$Y$51="Alta",'Mapa final'!$AA$51="Moderado"),CONCATENATE("R7C",'Mapa final'!$O$51),"")</f>
        <v/>
      </c>
      <c r="AB22" s="67" t="str">
        <f>IF(AND('Mapa final'!$Y$46="Alta",'Mapa final'!$AA$46="Mayor"),CONCATENATE("R7C",'Mapa final'!$O$46),"")</f>
        <v/>
      </c>
      <c r="AC22" s="68" t="str">
        <f>IF(AND('Mapa final'!$Y$47="Alta",'Mapa final'!$AA$47="Mayor"),CONCATENATE("R7C",'Mapa final'!$O$47),"")</f>
        <v/>
      </c>
      <c r="AD22" s="73" t="str">
        <f>IF(AND('Mapa final'!$Y$48="Alta",'Mapa final'!$AA$48="Mayor"),CONCATENATE("R7C",'Mapa final'!$O$48),"")</f>
        <v/>
      </c>
      <c r="AE22" s="73" t="str">
        <f>IF(AND('Mapa final'!$Y$49="Alta",'Mapa final'!$AA$49="Mayor"),CONCATENATE("R7C",'Mapa final'!$O$49),"")</f>
        <v/>
      </c>
      <c r="AF22" s="73" t="str">
        <f>IF(AND('Mapa final'!$Y$50="Alta",'Mapa final'!$AA$50="Mayor"),CONCATENATE("R7C",'Mapa final'!$O$50),"")</f>
        <v/>
      </c>
      <c r="AG22" s="69" t="str">
        <f>IF(AND('Mapa final'!$Y$51="Alta",'Mapa final'!$AA$51="Mayor"),CONCATENATE("R7C",'Mapa final'!$O$51),"")</f>
        <v/>
      </c>
      <c r="AH22" s="70" t="str">
        <f>IF(AND('Mapa final'!$Y$46="Alta",'Mapa final'!$AA$46="Catastrófico"),CONCATENATE("R7C",'Mapa final'!$O$46),"")</f>
        <v/>
      </c>
      <c r="AI22" s="71" t="str">
        <f>IF(AND('Mapa final'!$Y$47="Alta",'Mapa final'!$AA$47="Catastrófico"),CONCATENATE("R7C",'Mapa final'!$O$47),"")</f>
        <v/>
      </c>
      <c r="AJ22" s="71" t="str">
        <f>IF(AND('Mapa final'!$Y$48="Alta",'Mapa final'!$AA$48="Catastrófico"),CONCATENATE("R7C",'Mapa final'!$O$48),"")</f>
        <v/>
      </c>
      <c r="AK22" s="71" t="str">
        <f>IF(AND('Mapa final'!$Y$49="Alta",'Mapa final'!$AA$49="Catastrófico"),CONCATENATE("R7C",'Mapa final'!$O$49),"")</f>
        <v/>
      </c>
      <c r="AL22" s="71" t="str">
        <f>IF(AND('Mapa final'!$Y$50="Alta",'Mapa final'!$AA$50="Catastrófico"),CONCATENATE("R7C",'Mapa final'!$O$50),"")</f>
        <v/>
      </c>
      <c r="AM22" s="72" t="str">
        <f>IF(AND('Mapa final'!$Y$51="Alta",'Mapa final'!$AA$51="Catastrófico"),CONCATENATE("R7C",'Mapa final'!$O$51),"")</f>
        <v/>
      </c>
      <c r="AN22" s="99"/>
      <c r="AO22" s="393"/>
      <c r="AP22" s="394"/>
      <c r="AQ22" s="394"/>
      <c r="AR22" s="394"/>
      <c r="AS22" s="394"/>
      <c r="AT22" s="395"/>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row>
    <row r="23" spans="1:76" ht="15" customHeight="1" x14ac:dyDescent="0.25">
      <c r="A23" s="99"/>
      <c r="B23" s="342"/>
      <c r="C23" s="342"/>
      <c r="D23" s="343"/>
      <c r="E23" s="383"/>
      <c r="F23" s="384"/>
      <c r="G23" s="384"/>
      <c r="H23" s="384"/>
      <c r="I23" s="400"/>
      <c r="J23" s="83" t="str">
        <f>IF(AND('Mapa final'!$Y$52="Alta",'Mapa final'!$AA$52="Leve"),CONCATENATE("R8C",'Mapa final'!$O$52),"")</f>
        <v/>
      </c>
      <c r="K23" s="84" t="str">
        <f>IF(AND('Mapa final'!$Y$53="Alta",'Mapa final'!$AA$53="Leve"),CONCATENATE("R8C",'Mapa final'!$O$53),"")</f>
        <v/>
      </c>
      <c r="L23" s="84" t="str">
        <f>IF(AND('Mapa final'!$Y$54="Alta",'Mapa final'!$AA$54="Leve"),CONCATENATE("R8C",'Mapa final'!$O$54),"")</f>
        <v/>
      </c>
      <c r="M23" s="84" t="str">
        <f>IF(AND('Mapa final'!$Y$55="Alta",'Mapa final'!$AA$55="Leve"),CONCATENATE("R8C",'Mapa final'!$O$55),"")</f>
        <v/>
      </c>
      <c r="N23" s="84" t="str">
        <f>IF(AND('Mapa final'!$Y$56="Alta",'Mapa final'!$AA$56="Leve"),CONCATENATE("R8C",'Mapa final'!$O$56),"")</f>
        <v/>
      </c>
      <c r="O23" s="85" t="str">
        <f>IF(AND('Mapa final'!$Y$57="Alta",'Mapa final'!$AA$57="Leve"),CONCATENATE("R8C",'Mapa final'!$O$57),"")</f>
        <v/>
      </c>
      <c r="P23" s="83" t="str">
        <f>IF(AND('Mapa final'!$Y$52="Alta",'Mapa final'!$AA$52="Menor"),CONCATENATE("R8C",'Mapa final'!$O$52),"")</f>
        <v/>
      </c>
      <c r="Q23" s="84" t="str">
        <f>IF(AND('Mapa final'!$Y$53="Alta",'Mapa final'!$AA$53="Menor"),CONCATENATE("R8C",'Mapa final'!$O$53),"")</f>
        <v/>
      </c>
      <c r="R23" s="84" t="str">
        <f>IF(AND('Mapa final'!$Y$54="Alta",'Mapa final'!$AA$54="Menor"),CONCATENATE("R8C",'Mapa final'!$O$54),"")</f>
        <v/>
      </c>
      <c r="S23" s="84" t="str">
        <f>IF(AND('Mapa final'!$Y$55="Alta",'Mapa final'!$AA$55="Menor"),CONCATENATE("R8C",'Mapa final'!$O$55),"")</f>
        <v/>
      </c>
      <c r="T23" s="84" t="str">
        <f>IF(AND('Mapa final'!$Y$56="Alta",'Mapa final'!$AA$56="Menor"),CONCATENATE("R8C",'Mapa final'!$O$56),"")</f>
        <v/>
      </c>
      <c r="U23" s="85" t="str">
        <f>IF(AND('Mapa final'!$Y$57="Alta",'Mapa final'!$AA$57="Menor"),CONCATENATE("R8C",'Mapa final'!$O$57),"")</f>
        <v/>
      </c>
      <c r="V23" s="67" t="str">
        <f>IF(AND('Mapa final'!$Y$52="Alta",'Mapa final'!$AA$52="Moderado"),CONCATENATE("R8C",'Mapa final'!$O$52),"")</f>
        <v/>
      </c>
      <c r="W23" s="68" t="str">
        <f>IF(AND('Mapa final'!$Y$53="Alta",'Mapa final'!$AA$53="Moderado"),CONCATENATE("R8C",'Mapa final'!$O$53),"")</f>
        <v/>
      </c>
      <c r="X23" s="73" t="str">
        <f>IF(AND('Mapa final'!$Y$54="Alta",'Mapa final'!$AA$54="Moderado"),CONCATENATE("R8C",'Mapa final'!$O$54),"")</f>
        <v/>
      </c>
      <c r="Y23" s="73" t="str">
        <f>IF(AND('Mapa final'!$Y$55="Alta",'Mapa final'!$AA$55="Moderado"),CONCATENATE("R8C",'Mapa final'!$O$55),"")</f>
        <v/>
      </c>
      <c r="Z23" s="73" t="str">
        <f>IF(AND('Mapa final'!$Y$56="Alta",'Mapa final'!$AA$56="Moderado"),CONCATENATE("R8C",'Mapa final'!$O$56),"")</f>
        <v/>
      </c>
      <c r="AA23" s="69" t="str">
        <f>IF(AND('Mapa final'!$Y$57="Alta",'Mapa final'!$AA$57="Moderado"),CONCATENATE("R8C",'Mapa final'!$O$57),"")</f>
        <v/>
      </c>
      <c r="AB23" s="67" t="str">
        <f>IF(AND('Mapa final'!$Y$52="Alta",'Mapa final'!$AA$52="Mayor"),CONCATENATE("R8C",'Mapa final'!$O$52),"")</f>
        <v/>
      </c>
      <c r="AC23" s="68" t="str">
        <f>IF(AND('Mapa final'!$Y$53="Alta",'Mapa final'!$AA$53="Mayor"),CONCATENATE("R8C",'Mapa final'!$O$53),"")</f>
        <v/>
      </c>
      <c r="AD23" s="73" t="str">
        <f>IF(AND('Mapa final'!$Y$54="Alta",'Mapa final'!$AA$54="Mayor"),CONCATENATE("R8C",'Mapa final'!$O$54),"")</f>
        <v/>
      </c>
      <c r="AE23" s="73" t="str">
        <f>IF(AND('Mapa final'!$Y$55="Alta",'Mapa final'!$AA$55="Mayor"),CONCATENATE("R8C",'Mapa final'!$O$55),"")</f>
        <v/>
      </c>
      <c r="AF23" s="73" t="str">
        <f>IF(AND('Mapa final'!$Y$56="Alta",'Mapa final'!$AA$56="Mayor"),CONCATENATE("R8C",'Mapa final'!$O$56),"")</f>
        <v/>
      </c>
      <c r="AG23" s="69" t="str">
        <f>IF(AND('Mapa final'!$Y$57="Alta",'Mapa final'!$AA$57="Mayor"),CONCATENATE("R8C",'Mapa final'!$O$57),"")</f>
        <v/>
      </c>
      <c r="AH23" s="70" t="str">
        <f>IF(AND('Mapa final'!$Y$52="Alta",'Mapa final'!$AA$52="Catastrófico"),CONCATENATE("R8C",'Mapa final'!$O$52),"")</f>
        <v/>
      </c>
      <c r="AI23" s="71" t="str">
        <f>IF(AND('Mapa final'!$Y$53="Alta",'Mapa final'!$AA$53="Catastrófico"),CONCATENATE("R8C",'Mapa final'!$O$53),"")</f>
        <v/>
      </c>
      <c r="AJ23" s="71" t="str">
        <f>IF(AND('Mapa final'!$Y$54="Alta",'Mapa final'!$AA$54="Catastrófico"),CONCATENATE("R8C",'Mapa final'!$O$54),"")</f>
        <v/>
      </c>
      <c r="AK23" s="71" t="str">
        <f>IF(AND('Mapa final'!$Y$55="Alta",'Mapa final'!$AA$55="Catastrófico"),CONCATENATE("R8C",'Mapa final'!$O$55),"")</f>
        <v/>
      </c>
      <c r="AL23" s="71" t="str">
        <f>IF(AND('Mapa final'!$Y$56="Alta",'Mapa final'!$AA$56="Catastrófico"),CONCATENATE("R8C",'Mapa final'!$O$56),"")</f>
        <v/>
      </c>
      <c r="AM23" s="72" t="str">
        <f>IF(AND('Mapa final'!$Y$57="Alta",'Mapa final'!$AA$57="Catastrófico"),CONCATENATE("R8C",'Mapa final'!$O$57),"")</f>
        <v/>
      </c>
      <c r="AN23" s="99"/>
      <c r="AO23" s="393"/>
      <c r="AP23" s="394"/>
      <c r="AQ23" s="394"/>
      <c r="AR23" s="394"/>
      <c r="AS23" s="394"/>
      <c r="AT23" s="395"/>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row>
    <row r="24" spans="1:76" ht="15" customHeight="1" x14ac:dyDescent="0.25">
      <c r="A24" s="99"/>
      <c r="B24" s="342"/>
      <c r="C24" s="342"/>
      <c r="D24" s="343"/>
      <c r="E24" s="383"/>
      <c r="F24" s="384"/>
      <c r="G24" s="384"/>
      <c r="H24" s="384"/>
      <c r="I24" s="400"/>
      <c r="J24" s="83" t="str">
        <f>IF(AND('Mapa final'!$Y$58="Alta",'Mapa final'!$AA$58="Leve"),CONCATENATE("R9C",'Mapa final'!$O$58),"")</f>
        <v/>
      </c>
      <c r="K24" s="84" t="str">
        <f>IF(AND('Mapa final'!$Y$59="Alta",'Mapa final'!$AA$59="Leve"),CONCATENATE("R9C",'Mapa final'!$O$59),"")</f>
        <v/>
      </c>
      <c r="L24" s="84" t="str">
        <f>IF(AND('Mapa final'!$Y$60="Alta",'Mapa final'!$AA$60="Leve"),CONCATENATE("R9C",'Mapa final'!$O$60),"")</f>
        <v/>
      </c>
      <c r="M24" s="84" t="str">
        <f>IF(AND('Mapa final'!$Y$61="Alta",'Mapa final'!$AA$61="Leve"),CONCATENATE("R9C",'Mapa final'!$O$61),"")</f>
        <v/>
      </c>
      <c r="N24" s="84" t="str">
        <f>IF(AND('Mapa final'!$Y$62="Alta",'Mapa final'!$AA$62="Leve"),CONCATENATE("R9C",'Mapa final'!$O$62),"")</f>
        <v/>
      </c>
      <c r="O24" s="85" t="str">
        <f>IF(AND('Mapa final'!$Y$63="Alta",'Mapa final'!$AA$63="Leve"),CONCATENATE("R9C",'Mapa final'!$O$63),"")</f>
        <v/>
      </c>
      <c r="P24" s="83" t="str">
        <f>IF(AND('Mapa final'!$Y$58="Alta",'Mapa final'!$AA$58="Menor"),CONCATENATE("R9C",'Mapa final'!$O$58),"")</f>
        <v/>
      </c>
      <c r="Q24" s="84" t="str">
        <f>IF(AND('Mapa final'!$Y$59="Alta",'Mapa final'!$AA$59="Menor"),CONCATENATE("R9C",'Mapa final'!$O$59),"")</f>
        <v/>
      </c>
      <c r="R24" s="84" t="str">
        <f>IF(AND('Mapa final'!$Y$60="Alta",'Mapa final'!$AA$60="Menor"),CONCATENATE("R9C",'Mapa final'!$O$60),"")</f>
        <v/>
      </c>
      <c r="S24" s="84" t="str">
        <f>IF(AND('Mapa final'!$Y$61="Alta",'Mapa final'!$AA$61="Menor"),CONCATENATE("R9C",'Mapa final'!$O$61),"")</f>
        <v/>
      </c>
      <c r="T24" s="84" t="str">
        <f>IF(AND('Mapa final'!$Y$62="Alta",'Mapa final'!$AA$62="Menor"),CONCATENATE("R9C",'Mapa final'!$O$62),"")</f>
        <v/>
      </c>
      <c r="U24" s="85" t="str">
        <f>IF(AND('Mapa final'!$Y$63="Alta",'Mapa final'!$AA$63="Menor"),CONCATENATE("R9C",'Mapa final'!$O$63),"")</f>
        <v/>
      </c>
      <c r="V24" s="67" t="str">
        <f>IF(AND('Mapa final'!$Y$58="Alta",'Mapa final'!$AA$58="Moderado"),CONCATENATE("R9C",'Mapa final'!$O$58),"")</f>
        <v/>
      </c>
      <c r="W24" s="68" t="str">
        <f>IF(AND('Mapa final'!$Y$59="Alta",'Mapa final'!$AA$59="Moderado"),CONCATENATE("R9C",'Mapa final'!$O$59),"")</f>
        <v/>
      </c>
      <c r="X24" s="73" t="str">
        <f>IF(AND('Mapa final'!$Y$60="Alta",'Mapa final'!$AA$60="Moderado"),CONCATENATE("R9C",'Mapa final'!$O$60),"")</f>
        <v/>
      </c>
      <c r="Y24" s="73" t="str">
        <f>IF(AND('Mapa final'!$Y$61="Alta",'Mapa final'!$AA$61="Moderado"),CONCATENATE("R9C",'Mapa final'!$O$61),"")</f>
        <v/>
      </c>
      <c r="Z24" s="73" t="str">
        <f>IF(AND('Mapa final'!$Y$62="Alta",'Mapa final'!$AA$62="Moderado"),CONCATENATE("R9C",'Mapa final'!$O$62),"")</f>
        <v/>
      </c>
      <c r="AA24" s="69" t="str">
        <f>IF(AND('Mapa final'!$Y$63="Alta",'Mapa final'!$AA$63="Moderado"),CONCATENATE("R9C",'Mapa final'!$O$63),"")</f>
        <v/>
      </c>
      <c r="AB24" s="67" t="str">
        <f>IF(AND('Mapa final'!$Y$58="Alta",'Mapa final'!$AA$58="Mayor"),CONCATENATE("R9C",'Mapa final'!$O$58),"")</f>
        <v/>
      </c>
      <c r="AC24" s="68" t="str">
        <f>IF(AND('Mapa final'!$Y$59="Alta",'Mapa final'!$AA$59="Mayor"),CONCATENATE("R9C",'Mapa final'!$O$59),"")</f>
        <v/>
      </c>
      <c r="AD24" s="73" t="str">
        <f>IF(AND('Mapa final'!$Y$60="Alta",'Mapa final'!$AA$60="Mayor"),CONCATENATE("R9C",'Mapa final'!$O$60),"")</f>
        <v/>
      </c>
      <c r="AE24" s="73" t="str">
        <f>IF(AND('Mapa final'!$Y$61="Alta",'Mapa final'!$AA$61="Mayor"),CONCATENATE("R9C",'Mapa final'!$O$61),"")</f>
        <v/>
      </c>
      <c r="AF24" s="73" t="str">
        <f>IF(AND('Mapa final'!$Y$62="Alta",'Mapa final'!$AA$62="Mayor"),CONCATENATE("R9C",'Mapa final'!$O$62),"")</f>
        <v/>
      </c>
      <c r="AG24" s="69" t="str">
        <f>IF(AND('Mapa final'!$Y$63="Alta",'Mapa final'!$AA$63="Mayor"),CONCATENATE("R9C",'Mapa final'!$O$63),"")</f>
        <v/>
      </c>
      <c r="AH24" s="70" t="str">
        <f>IF(AND('Mapa final'!$Y$58="Alta",'Mapa final'!$AA$58="Catastrófico"),CONCATENATE("R9C",'Mapa final'!$O$58),"")</f>
        <v/>
      </c>
      <c r="AI24" s="71" t="str">
        <f>IF(AND('Mapa final'!$Y$59="Alta",'Mapa final'!$AA$59="Catastrófico"),CONCATENATE("R9C",'Mapa final'!$O$59),"")</f>
        <v/>
      </c>
      <c r="AJ24" s="71" t="str">
        <f>IF(AND('Mapa final'!$Y$60="Alta",'Mapa final'!$AA$60="Catastrófico"),CONCATENATE("R9C",'Mapa final'!$O$60),"")</f>
        <v/>
      </c>
      <c r="AK24" s="71" t="str">
        <f>IF(AND('Mapa final'!$Y$61="Alta",'Mapa final'!$AA$61="Catastrófico"),CONCATENATE("R9C",'Mapa final'!$O$61),"")</f>
        <v/>
      </c>
      <c r="AL24" s="71" t="str">
        <f>IF(AND('Mapa final'!$Y$62="Alta",'Mapa final'!$AA$62="Catastrófico"),CONCATENATE("R9C",'Mapa final'!$O$62),"")</f>
        <v/>
      </c>
      <c r="AM24" s="72" t="str">
        <f>IF(AND('Mapa final'!$Y$63="Alta",'Mapa final'!$AA$63="Catastrófico"),CONCATENATE("R9C",'Mapa final'!$O$63),"")</f>
        <v/>
      </c>
      <c r="AN24" s="99"/>
      <c r="AO24" s="393"/>
      <c r="AP24" s="394"/>
      <c r="AQ24" s="394"/>
      <c r="AR24" s="394"/>
      <c r="AS24" s="394"/>
      <c r="AT24" s="395"/>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row>
    <row r="25" spans="1:76" ht="15.75" customHeight="1" thickBot="1" x14ac:dyDescent="0.3">
      <c r="A25" s="99"/>
      <c r="B25" s="342"/>
      <c r="C25" s="342"/>
      <c r="D25" s="343"/>
      <c r="E25" s="386"/>
      <c r="F25" s="387"/>
      <c r="G25" s="387"/>
      <c r="H25" s="387"/>
      <c r="I25" s="387"/>
      <c r="J25" s="86" t="str">
        <f>IF(AND('Mapa final'!$Y$64="Alta",'Mapa final'!$AA$64="Leve"),CONCATENATE("R10C",'Mapa final'!$O$64),"")</f>
        <v/>
      </c>
      <c r="K25" s="87" t="str">
        <f>IF(AND('Mapa final'!$Y$65="Alta",'Mapa final'!$AA$65="Leve"),CONCATENATE("R10C",'Mapa final'!$O$65),"")</f>
        <v/>
      </c>
      <c r="L25" s="87" t="str">
        <f>IF(AND('Mapa final'!$Y$66="Alta",'Mapa final'!$AA$66="Leve"),CONCATENATE("R10C",'Mapa final'!$O$66),"")</f>
        <v/>
      </c>
      <c r="M25" s="87" t="str">
        <f>IF(AND('Mapa final'!$Y$67="Alta",'Mapa final'!$AA$67="Leve"),CONCATENATE("R10C",'Mapa final'!$O$67),"")</f>
        <v/>
      </c>
      <c r="N25" s="87" t="str">
        <f>IF(AND('Mapa final'!$Y$68="Alta",'Mapa final'!$AA$68="Leve"),CONCATENATE("R10C",'Mapa final'!$O$68),"")</f>
        <v/>
      </c>
      <c r="O25" s="88" t="str">
        <f>IF(AND('Mapa final'!$Y$69="Alta",'Mapa final'!$AA$69="Leve"),CONCATENATE("R10C",'Mapa final'!$O$69),"")</f>
        <v/>
      </c>
      <c r="P25" s="86" t="str">
        <f>IF(AND('Mapa final'!$Y$64="Alta",'Mapa final'!$AA$64="Menor"),CONCATENATE("R10C",'Mapa final'!$O$64),"")</f>
        <v/>
      </c>
      <c r="Q25" s="87" t="str">
        <f>IF(AND('Mapa final'!$Y$65="Alta",'Mapa final'!$AA$65="Menor"),CONCATENATE("R10C",'Mapa final'!$O$65),"")</f>
        <v/>
      </c>
      <c r="R25" s="87" t="str">
        <f>IF(AND('Mapa final'!$Y$66="Alta",'Mapa final'!$AA$66="Menor"),CONCATENATE("R10C",'Mapa final'!$O$66),"")</f>
        <v/>
      </c>
      <c r="S25" s="87" t="str">
        <f>IF(AND('Mapa final'!$Y$67="Alta",'Mapa final'!$AA$67="Menor"),CONCATENATE("R10C",'Mapa final'!$O$67),"")</f>
        <v/>
      </c>
      <c r="T25" s="87" t="str">
        <f>IF(AND('Mapa final'!$Y$68="Alta",'Mapa final'!$AA$68="Menor"),CONCATENATE("R10C",'Mapa final'!$O$68),"")</f>
        <v/>
      </c>
      <c r="U25" s="88" t="str">
        <f>IF(AND('Mapa final'!$Y$69="Alta",'Mapa final'!$AA$69="Menor"),CONCATENATE("R10C",'Mapa final'!$O$69),"")</f>
        <v/>
      </c>
      <c r="V25" s="74" t="str">
        <f>IF(AND('Mapa final'!$Y$64="Alta",'Mapa final'!$AA$64="Moderado"),CONCATENATE("R10C",'Mapa final'!$O$64),"")</f>
        <v/>
      </c>
      <c r="W25" s="75" t="str">
        <f>IF(AND('Mapa final'!$Y$65="Alta",'Mapa final'!$AA$65="Moderado"),CONCATENATE("R10C",'Mapa final'!$O$65),"")</f>
        <v/>
      </c>
      <c r="X25" s="75" t="str">
        <f>IF(AND('Mapa final'!$Y$66="Alta",'Mapa final'!$AA$66="Moderado"),CONCATENATE("R10C",'Mapa final'!$O$66),"")</f>
        <v/>
      </c>
      <c r="Y25" s="75" t="str">
        <f>IF(AND('Mapa final'!$Y$67="Alta",'Mapa final'!$AA$67="Moderado"),CONCATENATE("R10C",'Mapa final'!$O$67),"")</f>
        <v/>
      </c>
      <c r="Z25" s="75" t="str">
        <f>IF(AND('Mapa final'!$Y$68="Alta",'Mapa final'!$AA$68="Moderado"),CONCATENATE("R10C",'Mapa final'!$O$68),"")</f>
        <v/>
      </c>
      <c r="AA25" s="76" t="str">
        <f>IF(AND('Mapa final'!$Y$69="Alta",'Mapa final'!$AA$69="Moderado"),CONCATENATE("R10C",'Mapa final'!$O$69),"")</f>
        <v/>
      </c>
      <c r="AB25" s="74" t="str">
        <f>IF(AND('Mapa final'!$Y$64="Alta",'Mapa final'!$AA$64="Mayor"),CONCATENATE("R10C",'Mapa final'!$O$64),"")</f>
        <v/>
      </c>
      <c r="AC25" s="75" t="str">
        <f>IF(AND('Mapa final'!$Y$65="Alta",'Mapa final'!$AA$65="Mayor"),CONCATENATE("R10C",'Mapa final'!$O$65),"")</f>
        <v/>
      </c>
      <c r="AD25" s="75" t="str">
        <f>IF(AND('Mapa final'!$Y$66="Alta",'Mapa final'!$AA$66="Mayor"),CONCATENATE("R10C",'Mapa final'!$O$66),"")</f>
        <v/>
      </c>
      <c r="AE25" s="75" t="str">
        <f>IF(AND('Mapa final'!$Y$67="Alta",'Mapa final'!$AA$67="Mayor"),CONCATENATE("R10C",'Mapa final'!$O$67),"")</f>
        <v/>
      </c>
      <c r="AF25" s="75" t="str">
        <f>IF(AND('Mapa final'!$Y$68="Alta",'Mapa final'!$AA$68="Mayor"),CONCATENATE("R10C",'Mapa final'!$O$68),"")</f>
        <v/>
      </c>
      <c r="AG25" s="76" t="str">
        <f>IF(AND('Mapa final'!$Y$69="Alta",'Mapa final'!$AA$69="Mayor"),CONCATENATE("R10C",'Mapa final'!$O$69),"")</f>
        <v/>
      </c>
      <c r="AH25" s="77" t="str">
        <f>IF(AND('Mapa final'!$Y$64="Alta",'Mapa final'!$AA$64="Catastrófico"),CONCATENATE("R10C",'Mapa final'!$O$64),"")</f>
        <v/>
      </c>
      <c r="AI25" s="78" t="str">
        <f>IF(AND('Mapa final'!$Y$65="Alta",'Mapa final'!$AA$65="Catastrófico"),CONCATENATE("R10C",'Mapa final'!$O$65),"")</f>
        <v/>
      </c>
      <c r="AJ25" s="78" t="str">
        <f>IF(AND('Mapa final'!$Y$66="Alta",'Mapa final'!$AA$66="Catastrófico"),CONCATENATE("R10C",'Mapa final'!$O$66),"")</f>
        <v/>
      </c>
      <c r="AK25" s="78" t="str">
        <f>IF(AND('Mapa final'!$Y$67="Alta",'Mapa final'!$AA$67="Catastrófico"),CONCATENATE("R10C",'Mapa final'!$O$67),"")</f>
        <v/>
      </c>
      <c r="AL25" s="78" t="str">
        <f>IF(AND('Mapa final'!$Y$68="Alta",'Mapa final'!$AA$68="Catastrófico"),CONCATENATE("R10C",'Mapa final'!$O$68),"")</f>
        <v/>
      </c>
      <c r="AM25" s="79" t="str">
        <f>IF(AND('Mapa final'!$Y$69="Alta",'Mapa final'!$AA$69="Catastrófico"),CONCATENATE("R10C",'Mapa final'!$O$69),"")</f>
        <v/>
      </c>
      <c r="AN25" s="99"/>
      <c r="AO25" s="396"/>
      <c r="AP25" s="397"/>
      <c r="AQ25" s="397"/>
      <c r="AR25" s="397"/>
      <c r="AS25" s="397"/>
      <c r="AT25" s="398"/>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row>
    <row r="26" spans="1:76" ht="15" customHeight="1" x14ac:dyDescent="0.25">
      <c r="A26" s="99"/>
      <c r="B26" s="342"/>
      <c r="C26" s="342"/>
      <c r="D26" s="343"/>
      <c r="E26" s="380" t="s">
        <v>117</v>
      </c>
      <c r="F26" s="381"/>
      <c r="G26" s="381"/>
      <c r="H26" s="381"/>
      <c r="I26" s="382"/>
      <c r="J26" s="80" t="str">
        <f>IF(AND('Mapa final'!$Y$10="Media",'Mapa final'!$AA$10="Leve"),CONCATENATE("R1C",'Mapa final'!$O$10),"")</f>
        <v/>
      </c>
      <c r="K26" s="81" t="str">
        <f>IF(AND('Mapa final'!$Y$11="Media",'Mapa final'!$AA$11="Leve"),CONCATENATE("R1C",'Mapa final'!$O$11),"")</f>
        <v/>
      </c>
      <c r="L26" s="81" t="str">
        <f>IF(AND('Mapa final'!$Y$12="Media",'Mapa final'!$AA$12="Leve"),CONCATENATE("R1C",'Mapa final'!$O$12),"")</f>
        <v/>
      </c>
      <c r="M26" s="81" t="str">
        <f>IF(AND('Mapa final'!$Y$13="Media",'Mapa final'!$AA$13="Leve"),CONCATENATE("R1C",'Mapa final'!$O$13),"")</f>
        <v/>
      </c>
      <c r="N26" s="81" t="str">
        <f>IF(AND('Mapa final'!$Y$14="Media",'Mapa final'!$AA$14="Leve"),CONCATENATE("R1C",'Mapa final'!$O$14),"")</f>
        <v/>
      </c>
      <c r="O26" s="82" t="str">
        <f>IF(AND('Mapa final'!$Y$15="Media",'Mapa final'!$AA$15="Leve"),CONCATENATE("R1C",'Mapa final'!$O$15),"")</f>
        <v/>
      </c>
      <c r="P26" s="80" t="str">
        <f>IF(AND('Mapa final'!$Y$10="Media",'Mapa final'!$AA$10="Menor"),CONCATENATE("R1C",'Mapa final'!$O$10),"")</f>
        <v/>
      </c>
      <c r="Q26" s="81" t="str">
        <f>IF(AND('Mapa final'!$Y$11="Media",'Mapa final'!$AA$11="Menor"),CONCATENATE("R1C",'Mapa final'!$O$11),"")</f>
        <v/>
      </c>
      <c r="R26" s="81" t="str">
        <f>IF(AND('Mapa final'!$Y$12="Media",'Mapa final'!$AA$12="Menor"),CONCATENATE("R1C",'Mapa final'!$O$12),"")</f>
        <v/>
      </c>
      <c r="S26" s="81" t="str">
        <f>IF(AND('Mapa final'!$Y$13="Media",'Mapa final'!$AA$13="Menor"),CONCATENATE("R1C",'Mapa final'!$O$13),"")</f>
        <v/>
      </c>
      <c r="T26" s="81" t="str">
        <f>IF(AND('Mapa final'!$Y$14="Media",'Mapa final'!$AA$14="Menor"),CONCATENATE("R1C",'Mapa final'!$O$14),"")</f>
        <v/>
      </c>
      <c r="U26" s="82" t="str">
        <f>IF(AND('Mapa final'!$Y$15="Media",'Mapa final'!$AA$15="Menor"),CONCATENATE("R1C",'Mapa final'!$O$15),"")</f>
        <v/>
      </c>
      <c r="V26" s="80" t="str">
        <f>IF(AND('Mapa final'!$Y$10="Media",'Mapa final'!$AA$10="Moderado"),CONCATENATE("R1C",'Mapa final'!$O$10),"")</f>
        <v/>
      </c>
      <c r="W26" s="81" t="str">
        <f>IF(AND('Mapa final'!$Y$11="Media",'Mapa final'!$AA$11="Moderado"),CONCATENATE("R1C",'Mapa final'!$O$11),"")</f>
        <v/>
      </c>
      <c r="X26" s="81" t="str">
        <f>IF(AND('Mapa final'!$Y$12="Media",'Mapa final'!$AA$12="Moderado"),CONCATENATE("R1C",'Mapa final'!$O$12),"")</f>
        <v/>
      </c>
      <c r="Y26" s="81" t="str">
        <f>IF(AND('Mapa final'!$Y$13="Media",'Mapa final'!$AA$13="Moderado"),CONCATENATE("R1C",'Mapa final'!$O$13),"")</f>
        <v/>
      </c>
      <c r="Z26" s="81" t="str">
        <f>IF(AND('Mapa final'!$Y$14="Media",'Mapa final'!$AA$14="Moderado"),CONCATENATE("R1C",'Mapa final'!$O$14),"")</f>
        <v/>
      </c>
      <c r="AA26" s="82" t="str">
        <f>IF(AND('Mapa final'!$Y$15="Media",'Mapa final'!$AA$15="Moderado"),CONCATENATE("R1C",'Mapa final'!$O$15),"")</f>
        <v/>
      </c>
      <c r="AB26" s="61" t="str">
        <f>IF(AND('Mapa final'!$Y$10="Media",'Mapa final'!$AA$10="Mayor"),CONCATENATE("R1C",'Mapa final'!$O$10),"")</f>
        <v/>
      </c>
      <c r="AC26" s="62" t="str">
        <f>IF(AND('Mapa final'!$Y$11="Media",'Mapa final'!$AA$11="Mayor"),CONCATENATE("R1C",'Mapa final'!$O$11),"")</f>
        <v/>
      </c>
      <c r="AD26" s="62" t="str">
        <f>IF(AND('Mapa final'!$Y$12="Media",'Mapa final'!$AA$12="Mayor"),CONCATENATE("R1C",'Mapa final'!$O$12),"")</f>
        <v/>
      </c>
      <c r="AE26" s="62" t="str">
        <f>IF(AND('Mapa final'!$Y$13="Media",'Mapa final'!$AA$13="Mayor"),CONCATENATE("R1C",'Mapa final'!$O$13),"")</f>
        <v/>
      </c>
      <c r="AF26" s="62" t="str">
        <f>IF(AND('Mapa final'!$Y$14="Media",'Mapa final'!$AA$14="Mayor"),CONCATENATE("R1C",'Mapa final'!$O$14),"")</f>
        <v/>
      </c>
      <c r="AG26" s="63" t="str">
        <f>IF(AND('Mapa final'!$Y$15="Media",'Mapa final'!$AA$15="Mayor"),CONCATENATE("R1C",'Mapa final'!$O$15),"")</f>
        <v/>
      </c>
      <c r="AH26" s="64" t="str">
        <f>IF(AND('Mapa final'!$Y$10="Media",'Mapa final'!$AA$10="Catastrófico"),CONCATENATE("R1C",'Mapa final'!$O$10),"")</f>
        <v/>
      </c>
      <c r="AI26" s="65" t="str">
        <f>IF(AND('Mapa final'!$Y$11="Media",'Mapa final'!$AA$11="Catastrófico"),CONCATENATE("R1C",'Mapa final'!$O$11),"")</f>
        <v/>
      </c>
      <c r="AJ26" s="65" t="str">
        <f>IF(AND('Mapa final'!$Y$12="Media",'Mapa final'!$AA$12="Catastrófico"),CONCATENATE("R1C",'Mapa final'!$O$12),"")</f>
        <v/>
      </c>
      <c r="AK26" s="65" t="str">
        <f>IF(AND('Mapa final'!$Y$13="Media",'Mapa final'!$AA$13="Catastrófico"),CONCATENATE("R1C",'Mapa final'!$O$13),"")</f>
        <v/>
      </c>
      <c r="AL26" s="65" t="str">
        <f>IF(AND('Mapa final'!$Y$14="Media",'Mapa final'!$AA$14="Catastrófico"),CONCATENATE("R1C",'Mapa final'!$O$14),"")</f>
        <v/>
      </c>
      <c r="AM26" s="66" t="str">
        <f>IF(AND('Mapa final'!$Y$15="Media",'Mapa final'!$AA$15="Catastrófico"),CONCATENATE("R1C",'Mapa final'!$O$15),"")</f>
        <v/>
      </c>
      <c r="AN26" s="99"/>
      <c r="AO26" s="421" t="s">
        <v>81</v>
      </c>
      <c r="AP26" s="422"/>
      <c r="AQ26" s="422"/>
      <c r="AR26" s="422"/>
      <c r="AS26" s="422"/>
      <c r="AT26" s="423"/>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row>
    <row r="27" spans="1:76" ht="15" customHeight="1" x14ac:dyDescent="0.25">
      <c r="A27" s="99"/>
      <c r="B27" s="342"/>
      <c r="C27" s="342"/>
      <c r="D27" s="343"/>
      <c r="E27" s="399"/>
      <c r="F27" s="400"/>
      <c r="G27" s="400"/>
      <c r="H27" s="400"/>
      <c r="I27" s="385"/>
      <c r="J27" s="83" t="str">
        <f>IF(AND('Mapa final'!$Y$16="Media",'Mapa final'!$AA$16="Leve"),CONCATENATE("R2C",'Mapa final'!$O$16),"")</f>
        <v/>
      </c>
      <c r="K27" s="84" t="str">
        <f>IF(AND('Mapa final'!$Y$17="Media",'Mapa final'!$AA$17="Leve"),CONCATENATE("R2C",'Mapa final'!$O$17),"")</f>
        <v/>
      </c>
      <c r="L27" s="84" t="str">
        <f>IF(AND('Mapa final'!$Y$18="Media",'Mapa final'!$AA$18="Leve"),CONCATENATE("R2C",'Mapa final'!$O$18),"")</f>
        <v/>
      </c>
      <c r="M27" s="84" t="str">
        <f>IF(AND('Mapa final'!$Y$19="Media",'Mapa final'!$AA$19="Leve"),CONCATENATE("R2C",'Mapa final'!$O$19),"")</f>
        <v/>
      </c>
      <c r="N27" s="84" t="str">
        <f>IF(AND('Mapa final'!$Y$20="Media",'Mapa final'!$AA$20="Leve"),CONCATENATE("R2C",'Mapa final'!$O$20),"")</f>
        <v/>
      </c>
      <c r="O27" s="85" t="str">
        <f>IF(AND('Mapa final'!$Y$21="Media",'Mapa final'!$AA$21="Leve"),CONCATENATE("R2C",'Mapa final'!$O$21),"")</f>
        <v/>
      </c>
      <c r="P27" s="83" t="str">
        <f>IF(AND('Mapa final'!$Y$16="Media",'Mapa final'!$AA$16="Menor"),CONCATENATE("R2C",'Mapa final'!$O$16),"")</f>
        <v/>
      </c>
      <c r="Q27" s="84" t="str">
        <f>IF(AND('Mapa final'!$Y$17="Media",'Mapa final'!$AA$17="Menor"),CONCATENATE("R2C",'Mapa final'!$O$17),"")</f>
        <v/>
      </c>
      <c r="R27" s="84" t="str">
        <f>IF(AND('Mapa final'!$Y$18="Media",'Mapa final'!$AA$18="Menor"),CONCATENATE("R2C",'Mapa final'!$O$18),"")</f>
        <v/>
      </c>
      <c r="S27" s="84" t="str">
        <f>IF(AND('Mapa final'!$Y$19="Media",'Mapa final'!$AA$19="Menor"),CONCATENATE("R2C",'Mapa final'!$O$19),"")</f>
        <v/>
      </c>
      <c r="T27" s="84" t="str">
        <f>IF(AND('Mapa final'!$Y$20="Media",'Mapa final'!$AA$20="Menor"),CONCATENATE("R2C",'Mapa final'!$O$20),"")</f>
        <v/>
      </c>
      <c r="U27" s="85" t="str">
        <f>IF(AND('Mapa final'!$Y$21="Media",'Mapa final'!$AA$21="Menor"),CONCATENATE("R2C",'Mapa final'!$O$21),"")</f>
        <v/>
      </c>
      <c r="V27" s="83" t="str">
        <f>IF(AND('Mapa final'!$Y$16="Media",'Mapa final'!$AA$16="Moderado"),CONCATENATE("R2C",'Mapa final'!$O$16),"")</f>
        <v/>
      </c>
      <c r="W27" s="84" t="str">
        <f>IF(AND('Mapa final'!$Y$17="Media",'Mapa final'!$AA$17="Moderado"),CONCATENATE("R2C",'Mapa final'!$O$17),"")</f>
        <v/>
      </c>
      <c r="X27" s="84" t="str">
        <f>IF(AND('Mapa final'!$Y$18="Media",'Mapa final'!$AA$18="Moderado"),CONCATENATE("R2C",'Mapa final'!$O$18),"")</f>
        <v/>
      </c>
      <c r="Y27" s="84" t="str">
        <f>IF(AND('Mapa final'!$Y$19="Media",'Mapa final'!$AA$19="Moderado"),CONCATENATE("R2C",'Mapa final'!$O$19),"")</f>
        <v/>
      </c>
      <c r="Z27" s="84" t="str">
        <f>IF(AND('Mapa final'!$Y$20="Media",'Mapa final'!$AA$20="Moderado"),CONCATENATE("R2C",'Mapa final'!$O$20),"")</f>
        <v/>
      </c>
      <c r="AA27" s="85" t="str">
        <f>IF(AND('Mapa final'!$Y$21="Media",'Mapa final'!$AA$21="Moderado"),CONCATENATE("R2C",'Mapa final'!$O$21),"")</f>
        <v/>
      </c>
      <c r="AB27" s="67" t="str">
        <f>IF(AND('Mapa final'!$Y$16="Media",'Mapa final'!$AA$16="Mayor"),CONCATENATE("R2C",'Mapa final'!$O$16),"")</f>
        <v/>
      </c>
      <c r="AC27" s="68" t="str">
        <f>IF(AND('Mapa final'!$Y$17="Media",'Mapa final'!$AA$17="Mayor"),CONCATENATE("R2C",'Mapa final'!$O$17),"")</f>
        <v/>
      </c>
      <c r="AD27" s="68" t="str">
        <f>IF(AND('Mapa final'!$Y$18="Media",'Mapa final'!$AA$18="Mayor"),CONCATENATE("R2C",'Mapa final'!$O$18),"")</f>
        <v/>
      </c>
      <c r="AE27" s="68" t="str">
        <f>IF(AND('Mapa final'!$Y$19="Media",'Mapa final'!$AA$19="Mayor"),CONCATENATE("R2C",'Mapa final'!$O$19),"")</f>
        <v/>
      </c>
      <c r="AF27" s="68" t="str">
        <f>IF(AND('Mapa final'!$Y$20="Media",'Mapa final'!$AA$20="Mayor"),CONCATENATE("R2C",'Mapa final'!$O$20),"")</f>
        <v/>
      </c>
      <c r="AG27" s="69" t="str">
        <f>IF(AND('Mapa final'!$Y$21="Media",'Mapa final'!$AA$21="Mayor"),CONCATENATE("R2C",'Mapa final'!$O$21),"")</f>
        <v/>
      </c>
      <c r="AH27" s="70" t="str">
        <f>IF(AND('Mapa final'!$Y$16="Media",'Mapa final'!$AA$16="Catastrófico"),CONCATENATE("R2C",'Mapa final'!$O$16),"")</f>
        <v/>
      </c>
      <c r="AI27" s="71" t="str">
        <f>IF(AND('Mapa final'!$Y$17="Media",'Mapa final'!$AA$17="Catastrófico"),CONCATENATE("R2C",'Mapa final'!$O$17),"")</f>
        <v/>
      </c>
      <c r="AJ27" s="71" t="str">
        <f>IF(AND('Mapa final'!$Y$18="Media",'Mapa final'!$AA$18="Catastrófico"),CONCATENATE("R2C",'Mapa final'!$O$18),"")</f>
        <v/>
      </c>
      <c r="AK27" s="71" t="str">
        <f>IF(AND('Mapa final'!$Y$19="Media",'Mapa final'!$AA$19="Catastrófico"),CONCATENATE("R2C",'Mapa final'!$O$19),"")</f>
        <v/>
      </c>
      <c r="AL27" s="71" t="str">
        <f>IF(AND('Mapa final'!$Y$20="Media",'Mapa final'!$AA$20="Catastrófico"),CONCATENATE("R2C",'Mapa final'!$O$20),"")</f>
        <v/>
      </c>
      <c r="AM27" s="72" t="str">
        <f>IF(AND('Mapa final'!$Y$21="Media",'Mapa final'!$AA$21="Catastrófico"),CONCATENATE("R2C",'Mapa final'!$O$21),"")</f>
        <v/>
      </c>
      <c r="AN27" s="99"/>
      <c r="AO27" s="424"/>
      <c r="AP27" s="425"/>
      <c r="AQ27" s="425"/>
      <c r="AR27" s="425"/>
      <c r="AS27" s="425"/>
      <c r="AT27" s="426"/>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row>
    <row r="28" spans="1:76" ht="15" customHeight="1" x14ac:dyDescent="0.25">
      <c r="A28" s="99"/>
      <c r="B28" s="342"/>
      <c r="C28" s="342"/>
      <c r="D28" s="343"/>
      <c r="E28" s="383"/>
      <c r="F28" s="384"/>
      <c r="G28" s="384"/>
      <c r="H28" s="384"/>
      <c r="I28" s="385"/>
      <c r="J28" s="83" t="str">
        <f>IF(AND('Mapa final'!$Y$22="Media",'Mapa final'!$AA$22="Leve"),CONCATENATE("R3C",'Mapa final'!$O$22),"")</f>
        <v/>
      </c>
      <c r="K28" s="84" t="str">
        <f>IF(AND('Mapa final'!$Y$23="Media",'Mapa final'!$AA$23="Leve"),CONCATENATE("R3C",'Mapa final'!$O$23),"")</f>
        <v/>
      </c>
      <c r="L28" s="84" t="str">
        <f>IF(AND('Mapa final'!$Y$24="Media",'Mapa final'!$AA$24="Leve"),CONCATENATE("R3C",'Mapa final'!$O$24),"")</f>
        <v/>
      </c>
      <c r="M28" s="84" t="str">
        <f>IF(AND('Mapa final'!$Y$25="Media",'Mapa final'!$AA$25="Leve"),CONCATENATE("R3C",'Mapa final'!$O$25),"")</f>
        <v/>
      </c>
      <c r="N28" s="84" t="str">
        <f>IF(AND('Mapa final'!$Y$26="Media",'Mapa final'!$AA$26="Leve"),CONCATENATE("R3C",'Mapa final'!$O$26),"")</f>
        <v/>
      </c>
      <c r="O28" s="85" t="str">
        <f>IF(AND('Mapa final'!$Y$27="Media",'Mapa final'!$AA$27="Leve"),CONCATENATE("R3C",'Mapa final'!$O$27),"")</f>
        <v/>
      </c>
      <c r="P28" s="83" t="str">
        <f>IF(AND('Mapa final'!$Y$22="Media",'Mapa final'!$AA$22="Menor"),CONCATENATE("R3C",'Mapa final'!$O$22),"")</f>
        <v/>
      </c>
      <c r="Q28" s="84" t="str">
        <f>IF(AND('Mapa final'!$Y$23="Media",'Mapa final'!$AA$23="Menor"),CONCATENATE("R3C",'Mapa final'!$O$23),"")</f>
        <v/>
      </c>
      <c r="R28" s="84" t="str">
        <f>IF(AND('Mapa final'!$Y$24="Media",'Mapa final'!$AA$24="Menor"),CONCATENATE("R3C",'Mapa final'!$O$24),"")</f>
        <v/>
      </c>
      <c r="S28" s="84" t="str">
        <f>IF(AND('Mapa final'!$Y$25="Media",'Mapa final'!$AA$25="Menor"),CONCATENATE("R3C",'Mapa final'!$O$25),"")</f>
        <v/>
      </c>
      <c r="T28" s="84" t="str">
        <f>IF(AND('Mapa final'!$Y$26="Media",'Mapa final'!$AA$26="Menor"),CONCATENATE("R3C",'Mapa final'!$O$26),"")</f>
        <v/>
      </c>
      <c r="U28" s="85" t="str">
        <f>IF(AND('Mapa final'!$Y$27="Media",'Mapa final'!$AA$27="Menor"),CONCATENATE("R3C",'Mapa final'!$O$27),"")</f>
        <v/>
      </c>
      <c r="V28" s="83" t="str">
        <f>IF(AND('Mapa final'!$Y$22="Media",'Mapa final'!$AA$22="Moderado"),CONCATENATE("R3C",'Mapa final'!$O$22),"")</f>
        <v/>
      </c>
      <c r="W28" s="84" t="str">
        <f>IF(AND('Mapa final'!$Y$23="Media",'Mapa final'!$AA$23="Moderado"),CONCATENATE("R3C",'Mapa final'!$O$23),"")</f>
        <v/>
      </c>
      <c r="X28" s="84" t="str">
        <f>IF(AND('Mapa final'!$Y$24="Media",'Mapa final'!$AA$24="Moderado"),CONCATENATE("R3C",'Mapa final'!$O$24),"")</f>
        <v/>
      </c>
      <c r="Y28" s="84" t="str">
        <f>IF(AND('Mapa final'!$Y$25="Media",'Mapa final'!$AA$25="Moderado"),CONCATENATE("R3C",'Mapa final'!$O$25),"")</f>
        <v/>
      </c>
      <c r="Z28" s="84" t="str">
        <f>IF(AND('Mapa final'!$Y$26="Media",'Mapa final'!$AA$26="Moderado"),CONCATENATE("R3C",'Mapa final'!$O$26),"")</f>
        <v/>
      </c>
      <c r="AA28" s="85" t="str">
        <f>IF(AND('Mapa final'!$Y$27="Media",'Mapa final'!$AA$27="Moderado"),CONCATENATE("R3C",'Mapa final'!$O$27),"")</f>
        <v/>
      </c>
      <c r="AB28" s="67" t="str">
        <f>IF(AND('Mapa final'!$Y$22="Media",'Mapa final'!$AA$22="Mayor"),CONCATENATE("R3C",'Mapa final'!$O$22),"")</f>
        <v/>
      </c>
      <c r="AC28" s="68" t="str">
        <f>IF(AND('Mapa final'!$Y$23="Media",'Mapa final'!$AA$23="Mayor"),CONCATENATE("R3C",'Mapa final'!$O$23),"")</f>
        <v/>
      </c>
      <c r="AD28" s="68" t="str">
        <f>IF(AND('Mapa final'!$Y$24="Media",'Mapa final'!$AA$24="Mayor"),CONCATENATE("R3C",'Mapa final'!$O$24),"")</f>
        <v/>
      </c>
      <c r="AE28" s="68" t="str">
        <f>IF(AND('Mapa final'!$Y$25="Media",'Mapa final'!$AA$25="Mayor"),CONCATENATE("R3C",'Mapa final'!$O$25),"")</f>
        <v/>
      </c>
      <c r="AF28" s="68" t="str">
        <f>IF(AND('Mapa final'!$Y$26="Media",'Mapa final'!$AA$26="Mayor"),CONCATENATE("R3C",'Mapa final'!$O$26),"")</f>
        <v/>
      </c>
      <c r="AG28" s="69" t="str">
        <f>IF(AND('Mapa final'!$Y$27="Media",'Mapa final'!$AA$27="Mayor"),CONCATENATE("R3C",'Mapa final'!$O$27),"")</f>
        <v/>
      </c>
      <c r="AH28" s="70" t="str">
        <f>IF(AND('Mapa final'!$Y$22="Media",'Mapa final'!$AA$22="Catastrófico"),CONCATENATE("R3C",'Mapa final'!$O$22),"")</f>
        <v/>
      </c>
      <c r="AI28" s="71" t="str">
        <f>IF(AND('Mapa final'!$Y$23="Media",'Mapa final'!$AA$23="Catastrófico"),CONCATENATE("R3C",'Mapa final'!$O$23),"")</f>
        <v/>
      </c>
      <c r="AJ28" s="71" t="str">
        <f>IF(AND('Mapa final'!$Y$24="Media",'Mapa final'!$AA$24="Catastrófico"),CONCATENATE("R3C",'Mapa final'!$O$24),"")</f>
        <v/>
      </c>
      <c r="AK28" s="71" t="str">
        <f>IF(AND('Mapa final'!$Y$25="Media",'Mapa final'!$AA$25="Catastrófico"),CONCATENATE("R3C",'Mapa final'!$O$25),"")</f>
        <v/>
      </c>
      <c r="AL28" s="71" t="str">
        <f>IF(AND('Mapa final'!$Y$26="Media",'Mapa final'!$AA$26="Catastrófico"),CONCATENATE("R3C",'Mapa final'!$O$26),"")</f>
        <v/>
      </c>
      <c r="AM28" s="72" t="str">
        <f>IF(AND('Mapa final'!$Y$27="Media",'Mapa final'!$AA$27="Catastrófico"),CONCATENATE("R3C",'Mapa final'!$O$27),"")</f>
        <v/>
      </c>
      <c r="AN28" s="99"/>
      <c r="AO28" s="424"/>
      <c r="AP28" s="425"/>
      <c r="AQ28" s="425"/>
      <c r="AR28" s="425"/>
      <c r="AS28" s="425"/>
      <c r="AT28" s="426"/>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row>
    <row r="29" spans="1:76" ht="15" customHeight="1" x14ac:dyDescent="0.25">
      <c r="A29" s="99"/>
      <c r="B29" s="342"/>
      <c r="C29" s="342"/>
      <c r="D29" s="343"/>
      <c r="E29" s="383"/>
      <c r="F29" s="384"/>
      <c r="G29" s="384"/>
      <c r="H29" s="384"/>
      <c r="I29" s="385"/>
      <c r="J29" s="83" t="str">
        <f>IF(AND('Mapa final'!$Y$28="Media",'Mapa final'!$AA$28="Leve"),CONCATENATE("R4C",'Mapa final'!$O$28),"")</f>
        <v/>
      </c>
      <c r="K29" s="84" t="str">
        <f>IF(AND('Mapa final'!$Y$29="Media",'Mapa final'!$AA$29="Leve"),CONCATENATE("R4C",'Mapa final'!$O$29),"")</f>
        <v/>
      </c>
      <c r="L29" s="84" t="str">
        <f>IF(AND('Mapa final'!$Y$30="Media",'Mapa final'!$AA$30="Leve"),CONCATENATE("R4C",'Mapa final'!$O$30),"")</f>
        <v/>
      </c>
      <c r="M29" s="84" t="str">
        <f>IF(AND('Mapa final'!$Y$31="Media",'Mapa final'!$AA$31="Leve"),CONCATENATE("R4C",'Mapa final'!$O$31),"")</f>
        <v/>
      </c>
      <c r="N29" s="84" t="str">
        <f>IF(AND('Mapa final'!$Y$32="Media",'Mapa final'!$AA$32="Leve"),CONCATENATE("R4C",'Mapa final'!$O$32),"")</f>
        <v/>
      </c>
      <c r="O29" s="85" t="str">
        <f>IF(AND('Mapa final'!$Y$33="Media",'Mapa final'!$AA$33="Leve"),CONCATENATE("R4C",'Mapa final'!$O$33),"")</f>
        <v/>
      </c>
      <c r="P29" s="83" t="str">
        <f>IF(AND('Mapa final'!$Y$28="Media",'Mapa final'!$AA$28="Menor"),CONCATENATE("R4C",'Mapa final'!$O$28),"")</f>
        <v/>
      </c>
      <c r="Q29" s="84" t="str">
        <f>IF(AND('Mapa final'!$Y$29="Media",'Mapa final'!$AA$29="Menor"),CONCATENATE("R4C",'Mapa final'!$O$29),"")</f>
        <v/>
      </c>
      <c r="R29" s="84" t="str">
        <f>IF(AND('Mapa final'!$Y$30="Media",'Mapa final'!$AA$30="Menor"),CONCATENATE("R4C",'Mapa final'!$O$30),"")</f>
        <v/>
      </c>
      <c r="S29" s="84" t="str">
        <f>IF(AND('Mapa final'!$Y$31="Media",'Mapa final'!$AA$31="Menor"),CONCATENATE("R4C",'Mapa final'!$O$31),"")</f>
        <v/>
      </c>
      <c r="T29" s="84" t="str">
        <f>IF(AND('Mapa final'!$Y$32="Media",'Mapa final'!$AA$32="Menor"),CONCATENATE("R4C",'Mapa final'!$O$32),"")</f>
        <v/>
      </c>
      <c r="U29" s="85" t="str">
        <f>IF(AND('Mapa final'!$Y$33="Media",'Mapa final'!$AA$33="Menor"),CONCATENATE("R4C",'Mapa final'!$O$33),"")</f>
        <v/>
      </c>
      <c r="V29" s="83" t="str">
        <f>IF(AND('Mapa final'!$Y$28="Media",'Mapa final'!$AA$28="Moderado"),CONCATENATE("R4C",'Mapa final'!$O$28),"")</f>
        <v/>
      </c>
      <c r="W29" s="84" t="str">
        <f>IF(AND('Mapa final'!$Y$29="Media",'Mapa final'!$AA$29="Moderado"),CONCATENATE("R4C",'Mapa final'!$O$29),"")</f>
        <v/>
      </c>
      <c r="X29" s="84" t="str">
        <f>IF(AND('Mapa final'!$Y$30="Media",'Mapa final'!$AA$30="Moderado"),CONCATENATE("R4C",'Mapa final'!$O$30),"")</f>
        <v/>
      </c>
      <c r="Y29" s="84" t="str">
        <f>IF(AND('Mapa final'!$Y$31="Media",'Mapa final'!$AA$31="Moderado"),CONCATENATE("R4C",'Mapa final'!$O$31),"")</f>
        <v/>
      </c>
      <c r="Z29" s="84" t="str">
        <f>IF(AND('Mapa final'!$Y$32="Media",'Mapa final'!$AA$32="Moderado"),CONCATENATE("R4C",'Mapa final'!$O$32),"")</f>
        <v/>
      </c>
      <c r="AA29" s="85" t="str">
        <f>IF(AND('Mapa final'!$Y$33="Media",'Mapa final'!$AA$33="Moderado"),CONCATENATE("R4C",'Mapa final'!$O$33),"")</f>
        <v/>
      </c>
      <c r="AB29" s="67" t="str">
        <f>IF(AND('Mapa final'!$Y$28="Media",'Mapa final'!$AA$28="Mayor"),CONCATENATE("R4C",'Mapa final'!$O$28),"")</f>
        <v/>
      </c>
      <c r="AC29" s="68" t="str">
        <f>IF(AND('Mapa final'!$Y$29="Media",'Mapa final'!$AA$29="Mayor"),CONCATENATE("R4C",'Mapa final'!$O$29),"")</f>
        <v/>
      </c>
      <c r="AD29" s="73" t="str">
        <f>IF(AND('Mapa final'!$Y$30="Media",'Mapa final'!$AA$30="Mayor"),CONCATENATE("R4C",'Mapa final'!$O$30),"")</f>
        <v/>
      </c>
      <c r="AE29" s="73" t="str">
        <f>IF(AND('Mapa final'!$Y$31="Media",'Mapa final'!$AA$31="Mayor"),CONCATENATE("R4C",'Mapa final'!$O$31),"")</f>
        <v/>
      </c>
      <c r="AF29" s="73" t="str">
        <f>IF(AND('Mapa final'!$Y$32="Media",'Mapa final'!$AA$32="Mayor"),CONCATENATE("R4C",'Mapa final'!$O$32),"")</f>
        <v/>
      </c>
      <c r="AG29" s="69" t="str">
        <f>IF(AND('Mapa final'!$Y$33="Media",'Mapa final'!$AA$33="Mayor"),CONCATENATE("R4C",'Mapa final'!$O$33),"")</f>
        <v/>
      </c>
      <c r="AH29" s="70" t="str">
        <f>IF(AND('Mapa final'!$Y$28="Media",'Mapa final'!$AA$28="Catastrófico"),CONCATENATE("R4C",'Mapa final'!$O$28),"")</f>
        <v/>
      </c>
      <c r="AI29" s="71" t="str">
        <f>IF(AND('Mapa final'!$Y$29="Media",'Mapa final'!$AA$29="Catastrófico"),CONCATENATE("R4C",'Mapa final'!$O$29),"")</f>
        <v/>
      </c>
      <c r="AJ29" s="71" t="str">
        <f>IF(AND('Mapa final'!$Y$30="Media",'Mapa final'!$AA$30="Catastrófico"),CONCATENATE("R4C",'Mapa final'!$O$30),"")</f>
        <v/>
      </c>
      <c r="AK29" s="71" t="str">
        <f>IF(AND('Mapa final'!$Y$31="Media",'Mapa final'!$AA$31="Catastrófico"),CONCATENATE("R4C",'Mapa final'!$O$31),"")</f>
        <v/>
      </c>
      <c r="AL29" s="71" t="str">
        <f>IF(AND('Mapa final'!$Y$32="Media",'Mapa final'!$AA$32="Catastrófico"),CONCATENATE("R4C",'Mapa final'!$O$32),"")</f>
        <v/>
      </c>
      <c r="AM29" s="72" t="str">
        <f>IF(AND('Mapa final'!$Y$33="Media",'Mapa final'!$AA$33="Catastrófico"),CONCATENATE("R4C",'Mapa final'!$O$33),"")</f>
        <v/>
      </c>
      <c r="AN29" s="99"/>
      <c r="AO29" s="424"/>
      <c r="AP29" s="425"/>
      <c r="AQ29" s="425"/>
      <c r="AR29" s="425"/>
      <c r="AS29" s="425"/>
      <c r="AT29" s="426"/>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row>
    <row r="30" spans="1:76" ht="15" customHeight="1" x14ac:dyDescent="0.25">
      <c r="A30" s="99"/>
      <c r="B30" s="342"/>
      <c r="C30" s="342"/>
      <c r="D30" s="343"/>
      <c r="E30" s="383"/>
      <c r="F30" s="384"/>
      <c r="G30" s="384"/>
      <c r="H30" s="384"/>
      <c r="I30" s="385"/>
      <c r="J30" s="83" t="str">
        <f>IF(AND('Mapa final'!$Y$34="Media",'Mapa final'!$AA$34="Leve"),CONCATENATE("R5C",'Mapa final'!$O$34),"")</f>
        <v/>
      </c>
      <c r="K30" s="84" t="str">
        <f>IF(AND('Mapa final'!$Y$35="Media",'Mapa final'!$AA$35="Leve"),CONCATENATE("R5C",'Mapa final'!$O$35),"")</f>
        <v>R5C2</v>
      </c>
      <c r="L30" s="84" t="str">
        <f>IF(AND('Mapa final'!$Y$36="Media",'Mapa final'!$AA$36="Leve"),CONCATENATE("R5C",'Mapa final'!$O$36),"")</f>
        <v/>
      </c>
      <c r="M30" s="84" t="str">
        <f>IF(AND('Mapa final'!$Y$37="Media",'Mapa final'!$AA$37="Leve"),CONCATENATE("R5C",'Mapa final'!$O$37),"")</f>
        <v/>
      </c>
      <c r="N30" s="84" t="str">
        <f>IF(AND('Mapa final'!$Y$38="Media",'Mapa final'!$AA$38="Leve"),CONCATENATE("R5C",'Mapa final'!$O$38),"")</f>
        <v/>
      </c>
      <c r="O30" s="85" t="str">
        <f>IF(AND('Mapa final'!$Y$39="Media",'Mapa final'!$AA$39="Leve"),CONCATENATE("R5C",'Mapa final'!$O$39),"")</f>
        <v/>
      </c>
      <c r="P30" s="83" t="str">
        <f>IF(AND('Mapa final'!$Y$34="Media",'Mapa final'!$AA$34="Menor"),CONCATENATE("R5C",'Mapa final'!$O$34),"")</f>
        <v/>
      </c>
      <c r="Q30" s="84" t="str">
        <f>IF(AND('Mapa final'!$Y$35="Media",'Mapa final'!$AA$35="Menor"),CONCATENATE("R5C",'Mapa final'!$O$35),"")</f>
        <v/>
      </c>
      <c r="R30" s="84" t="str">
        <f>IF(AND('Mapa final'!$Y$36="Media",'Mapa final'!$AA$36="Menor"),CONCATENATE("R5C",'Mapa final'!$O$36),"")</f>
        <v/>
      </c>
      <c r="S30" s="84" t="str">
        <f>IF(AND('Mapa final'!$Y$37="Media",'Mapa final'!$AA$37="Menor"),CONCATENATE("R5C",'Mapa final'!$O$37),"")</f>
        <v/>
      </c>
      <c r="T30" s="84" t="str">
        <f>IF(AND('Mapa final'!$Y$38="Media",'Mapa final'!$AA$38="Menor"),CONCATENATE("R5C",'Mapa final'!$O$38),"")</f>
        <v/>
      </c>
      <c r="U30" s="85" t="str">
        <f>IF(AND('Mapa final'!$Y$39="Media",'Mapa final'!$AA$39="Menor"),CONCATENATE("R5C",'Mapa final'!$O$39),"")</f>
        <v/>
      </c>
      <c r="V30" s="83" t="str">
        <f>IF(AND('Mapa final'!$Y$34="Media",'Mapa final'!$AA$34="Moderado"),CONCATENATE("R5C",'Mapa final'!$O$34),"")</f>
        <v/>
      </c>
      <c r="W30" s="84" t="str">
        <f>IF(AND('Mapa final'!$Y$35="Media",'Mapa final'!$AA$35="Moderado"),CONCATENATE("R5C",'Mapa final'!$O$35),"")</f>
        <v/>
      </c>
      <c r="X30" s="84" t="str">
        <f>IF(AND('Mapa final'!$Y$36="Media",'Mapa final'!$AA$36="Moderado"),CONCATENATE("R5C",'Mapa final'!$O$36),"")</f>
        <v/>
      </c>
      <c r="Y30" s="84" t="str">
        <f>IF(AND('Mapa final'!$Y$37="Media",'Mapa final'!$AA$37="Moderado"),CONCATENATE("R5C",'Mapa final'!$O$37),"")</f>
        <v/>
      </c>
      <c r="Z30" s="84" t="str">
        <f>IF(AND('Mapa final'!$Y$38="Media",'Mapa final'!$AA$38="Moderado"),CONCATENATE("R5C",'Mapa final'!$O$38),"")</f>
        <v/>
      </c>
      <c r="AA30" s="85" t="str">
        <f>IF(AND('Mapa final'!$Y$39="Media",'Mapa final'!$AA$39="Moderado"),CONCATENATE("R5C",'Mapa final'!$O$39),"")</f>
        <v/>
      </c>
      <c r="AB30" s="67" t="str">
        <f>IF(AND('Mapa final'!$Y$34="Media",'Mapa final'!$AA$34="Mayor"),CONCATENATE("R5C",'Mapa final'!$O$34),"")</f>
        <v/>
      </c>
      <c r="AC30" s="68" t="str">
        <f>IF(AND('Mapa final'!$Y$35="Media",'Mapa final'!$AA$35="Mayor"),CONCATENATE("R5C",'Mapa final'!$O$35),"")</f>
        <v/>
      </c>
      <c r="AD30" s="73" t="str">
        <f>IF(AND('Mapa final'!$Y$36="Media",'Mapa final'!$AA$36="Mayor"),CONCATENATE("R5C",'Mapa final'!$O$36),"")</f>
        <v/>
      </c>
      <c r="AE30" s="73" t="str">
        <f>IF(AND('Mapa final'!$Y$37="Media",'Mapa final'!$AA$37="Mayor"),CONCATENATE("R5C",'Mapa final'!$O$37),"")</f>
        <v/>
      </c>
      <c r="AF30" s="73" t="str">
        <f>IF(AND('Mapa final'!$Y$38="Media",'Mapa final'!$AA$38="Mayor"),CONCATENATE("R5C",'Mapa final'!$O$38),"")</f>
        <v/>
      </c>
      <c r="AG30" s="69" t="str">
        <f>IF(AND('Mapa final'!$Y$39="Media",'Mapa final'!$AA$39="Mayor"),CONCATENATE("R5C",'Mapa final'!$O$39),"")</f>
        <v/>
      </c>
      <c r="AH30" s="70" t="str">
        <f>IF(AND('Mapa final'!$Y$34="Media",'Mapa final'!$AA$34="Catastrófico"),CONCATENATE("R5C",'Mapa final'!$O$34),"")</f>
        <v/>
      </c>
      <c r="AI30" s="71" t="str">
        <f>IF(AND('Mapa final'!$Y$35="Media",'Mapa final'!$AA$35="Catastrófico"),CONCATENATE("R5C",'Mapa final'!$O$35),"")</f>
        <v/>
      </c>
      <c r="AJ30" s="71" t="str">
        <f>IF(AND('Mapa final'!$Y$36="Media",'Mapa final'!$AA$36="Catastrófico"),CONCATENATE("R5C",'Mapa final'!$O$36),"")</f>
        <v/>
      </c>
      <c r="AK30" s="71" t="str">
        <f>IF(AND('Mapa final'!$Y$37="Media",'Mapa final'!$AA$37="Catastrófico"),CONCATENATE("R5C",'Mapa final'!$O$37),"")</f>
        <v/>
      </c>
      <c r="AL30" s="71" t="str">
        <f>IF(AND('Mapa final'!$Y$38="Media",'Mapa final'!$AA$38="Catastrófico"),CONCATENATE("R5C",'Mapa final'!$O$38),"")</f>
        <v/>
      </c>
      <c r="AM30" s="72" t="str">
        <f>IF(AND('Mapa final'!$Y$39="Media",'Mapa final'!$AA$39="Catastrófico"),CONCATENATE("R5C",'Mapa final'!$O$39),"")</f>
        <v/>
      </c>
      <c r="AN30" s="99"/>
      <c r="AO30" s="424"/>
      <c r="AP30" s="425"/>
      <c r="AQ30" s="425"/>
      <c r="AR30" s="425"/>
      <c r="AS30" s="425"/>
      <c r="AT30" s="426"/>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row>
    <row r="31" spans="1:76" ht="15" customHeight="1" x14ac:dyDescent="0.25">
      <c r="A31" s="99"/>
      <c r="B31" s="342"/>
      <c r="C31" s="342"/>
      <c r="D31" s="343"/>
      <c r="E31" s="383"/>
      <c r="F31" s="384"/>
      <c r="G31" s="384"/>
      <c r="H31" s="384"/>
      <c r="I31" s="385"/>
      <c r="J31" s="83" t="str">
        <f>IF(AND('Mapa final'!$Y$40="Media",'Mapa final'!$AA$40="Leve"),CONCATENATE("R6C",'Mapa final'!$O$40),"")</f>
        <v/>
      </c>
      <c r="K31" s="84" t="str">
        <f>IF(AND('Mapa final'!$Y$41="Media",'Mapa final'!$AA$41="Leve"),CONCATENATE("R6C",'Mapa final'!$O$41),"")</f>
        <v/>
      </c>
      <c r="L31" s="84" t="str">
        <f>IF(AND('Mapa final'!$Y$42="Media",'Mapa final'!$AA$42="Leve"),CONCATENATE("R6C",'Mapa final'!$O$42),"")</f>
        <v/>
      </c>
      <c r="M31" s="84" t="str">
        <f>IF(AND('Mapa final'!$Y$43="Media",'Mapa final'!$AA$43="Leve"),CONCATENATE("R6C",'Mapa final'!$O$43),"")</f>
        <v/>
      </c>
      <c r="N31" s="84" t="str">
        <f>IF(AND('Mapa final'!$Y$44="Media",'Mapa final'!$AA$44="Leve"),CONCATENATE("R6C",'Mapa final'!$O$44),"")</f>
        <v/>
      </c>
      <c r="O31" s="85" t="str">
        <f>IF(AND('Mapa final'!$Y$45="Media",'Mapa final'!$AA$45="Leve"),CONCATENATE("R6C",'Mapa final'!$O$45),"")</f>
        <v/>
      </c>
      <c r="P31" s="83" t="str">
        <f>IF(AND('Mapa final'!$Y$40="Media",'Mapa final'!$AA$40="Menor"),CONCATENATE("R6C",'Mapa final'!$O$40),"")</f>
        <v/>
      </c>
      <c r="Q31" s="84" t="str">
        <f>IF(AND('Mapa final'!$Y$41="Media",'Mapa final'!$AA$41="Menor"),CONCATENATE("R6C",'Mapa final'!$O$41),"")</f>
        <v/>
      </c>
      <c r="R31" s="84" t="str">
        <f>IF(AND('Mapa final'!$Y$42="Media",'Mapa final'!$AA$42="Menor"),CONCATENATE("R6C",'Mapa final'!$O$42),"")</f>
        <v/>
      </c>
      <c r="S31" s="84" t="str">
        <f>IF(AND('Mapa final'!$Y$43="Media",'Mapa final'!$AA$43="Menor"),CONCATENATE("R6C",'Mapa final'!$O$43),"")</f>
        <v/>
      </c>
      <c r="T31" s="84" t="str">
        <f>IF(AND('Mapa final'!$Y$44="Media",'Mapa final'!$AA$44="Menor"),CONCATENATE("R6C",'Mapa final'!$O$44),"")</f>
        <v/>
      </c>
      <c r="U31" s="85" t="str">
        <f>IF(AND('Mapa final'!$Y$45="Media",'Mapa final'!$AA$45="Menor"),CONCATENATE("R6C",'Mapa final'!$O$45),"")</f>
        <v/>
      </c>
      <c r="V31" s="83" t="str">
        <f>IF(AND('Mapa final'!$Y$40="Media",'Mapa final'!$AA$40="Moderado"),CONCATENATE("R6C",'Mapa final'!$O$40),"")</f>
        <v/>
      </c>
      <c r="W31" s="84" t="str">
        <f>IF(AND('Mapa final'!$Y$41="Media",'Mapa final'!$AA$41="Moderado"),CONCATENATE("R6C",'Mapa final'!$O$41),"")</f>
        <v/>
      </c>
      <c r="X31" s="84" t="str">
        <f>IF(AND('Mapa final'!$Y$42="Media",'Mapa final'!$AA$42="Moderado"),CONCATENATE("R6C",'Mapa final'!$O$42),"")</f>
        <v/>
      </c>
      <c r="Y31" s="84" t="str">
        <f>IF(AND('Mapa final'!$Y$43="Media",'Mapa final'!$AA$43="Moderado"),CONCATENATE("R6C",'Mapa final'!$O$43),"")</f>
        <v/>
      </c>
      <c r="Z31" s="84" t="str">
        <f>IF(AND('Mapa final'!$Y$44="Media",'Mapa final'!$AA$44="Moderado"),CONCATENATE("R6C",'Mapa final'!$O$44),"")</f>
        <v/>
      </c>
      <c r="AA31" s="85" t="str">
        <f>IF(AND('Mapa final'!$Y$45="Media",'Mapa final'!$AA$45="Moderado"),CONCATENATE("R6C",'Mapa final'!$O$45),"")</f>
        <v/>
      </c>
      <c r="AB31" s="67" t="str">
        <f>IF(AND('Mapa final'!$Y$40="Media",'Mapa final'!$AA$40="Mayor"),CONCATENATE("R6C",'Mapa final'!$O$40),"")</f>
        <v/>
      </c>
      <c r="AC31" s="68" t="str">
        <f>IF(AND('Mapa final'!$Y$41="Media",'Mapa final'!$AA$41="Mayor"),CONCATENATE("R6C",'Mapa final'!$O$41),"")</f>
        <v/>
      </c>
      <c r="AD31" s="73" t="str">
        <f>IF(AND('Mapa final'!$Y$42="Media",'Mapa final'!$AA$42="Mayor"),CONCATENATE("R6C",'Mapa final'!$O$42),"")</f>
        <v/>
      </c>
      <c r="AE31" s="73" t="str">
        <f>IF(AND('Mapa final'!$Y$43="Media",'Mapa final'!$AA$43="Mayor"),CONCATENATE("R6C",'Mapa final'!$O$43),"")</f>
        <v/>
      </c>
      <c r="AF31" s="73" t="str">
        <f>IF(AND('Mapa final'!$Y$44="Media",'Mapa final'!$AA$44="Mayor"),CONCATENATE("R6C",'Mapa final'!$O$44),"")</f>
        <v/>
      </c>
      <c r="AG31" s="69" t="str">
        <f>IF(AND('Mapa final'!$Y$45="Media",'Mapa final'!$AA$45="Mayor"),CONCATENATE("R6C",'Mapa final'!$O$45),"")</f>
        <v/>
      </c>
      <c r="AH31" s="70" t="str">
        <f>IF(AND('Mapa final'!$Y$40="Media",'Mapa final'!$AA$40="Catastrófico"),CONCATENATE("R6C",'Mapa final'!$O$40),"")</f>
        <v/>
      </c>
      <c r="AI31" s="71" t="str">
        <f>IF(AND('Mapa final'!$Y$41="Media",'Mapa final'!$AA$41="Catastrófico"),CONCATENATE("R6C",'Mapa final'!$O$41),"")</f>
        <v/>
      </c>
      <c r="AJ31" s="71" t="str">
        <f>IF(AND('Mapa final'!$Y$42="Media",'Mapa final'!$AA$42="Catastrófico"),CONCATENATE("R6C",'Mapa final'!$O$42),"")</f>
        <v/>
      </c>
      <c r="AK31" s="71" t="str">
        <f>IF(AND('Mapa final'!$Y$43="Media",'Mapa final'!$AA$43="Catastrófico"),CONCATENATE("R6C",'Mapa final'!$O$43),"")</f>
        <v/>
      </c>
      <c r="AL31" s="71" t="str">
        <f>IF(AND('Mapa final'!$Y$44="Media",'Mapa final'!$AA$44="Catastrófico"),CONCATENATE("R6C",'Mapa final'!$O$44),"")</f>
        <v/>
      </c>
      <c r="AM31" s="72" t="str">
        <f>IF(AND('Mapa final'!$Y$45="Media",'Mapa final'!$AA$45="Catastrófico"),CONCATENATE("R6C",'Mapa final'!$O$45),"")</f>
        <v/>
      </c>
      <c r="AN31" s="99"/>
      <c r="AO31" s="424"/>
      <c r="AP31" s="425"/>
      <c r="AQ31" s="425"/>
      <c r="AR31" s="425"/>
      <c r="AS31" s="425"/>
      <c r="AT31" s="426"/>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row>
    <row r="32" spans="1:76" ht="15" customHeight="1" x14ac:dyDescent="0.25">
      <c r="A32" s="99"/>
      <c r="B32" s="342"/>
      <c r="C32" s="342"/>
      <c r="D32" s="343"/>
      <c r="E32" s="383"/>
      <c r="F32" s="384"/>
      <c r="G32" s="384"/>
      <c r="H32" s="384"/>
      <c r="I32" s="385"/>
      <c r="J32" s="83" t="str">
        <f>IF(AND('Mapa final'!$Y$46="Media",'Mapa final'!$AA$46="Leve"),CONCATENATE("R7C",'Mapa final'!$O$46),"")</f>
        <v/>
      </c>
      <c r="K32" s="84" t="str">
        <f>IF(AND('Mapa final'!$Y$47="Media",'Mapa final'!$AA$47="Leve"),CONCATENATE("R7C",'Mapa final'!$O$47),"")</f>
        <v/>
      </c>
      <c r="L32" s="84" t="str">
        <f>IF(AND('Mapa final'!$Y$48="Media",'Mapa final'!$AA$48="Leve"),CONCATENATE("R7C",'Mapa final'!$O$48),"")</f>
        <v/>
      </c>
      <c r="M32" s="84" t="str">
        <f>IF(AND('Mapa final'!$Y$49="Media",'Mapa final'!$AA$49="Leve"),CONCATENATE("R7C",'Mapa final'!$O$49),"")</f>
        <v/>
      </c>
      <c r="N32" s="84" t="str">
        <f>IF(AND('Mapa final'!$Y$50="Media",'Mapa final'!$AA$50="Leve"),CONCATENATE("R7C",'Mapa final'!$O$50),"")</f>
        <v/>
      </c>
      <c r="O32" s="85" t="str">
        <f>IF(AND('Mapa final'!$Y$51="Media",'Mapa final'!$AA$51="Leve"),CONCATENATE("R7C",'Mapa final'!$O$51),"")</f>
        <v/>
      </c>
      <c r="P32" s="83" t="str">
        <f>IF(AND('Mapa final'!$Y$46="Media",'Mapa final'!$AA$46="Menor"),CONCATENATE("R7C",'Mapa final'!$O$46),"")</f>
        <v/>
      </c>
      <c r="Q32" s="84" t="str">
        <f>IF(AND('Mapa final'!$Y$47="Media",'Mapa final'!$AA$47="Menor"),CONCATENATE("R7C",'Mapa final'!$O$47),"")</f>
        <v/>
      </c>
      <c r="R32" s="84" t="str">
        <f>IF(AND('Mapa final'!$Y$48="Media",'Mapa final'!$AA$48="Menor"),CONCATENATE("R7C",'Mapa final'!$O$48),"")</f>
        <v/>
      </c>
      <c r="S32" s="84" t="str">
        <f>IF(AND('Mapa final'!$Y$49="Media",'Mapa final'!$AA$49="Menor"),CONCATENATE("R7C",'Mapa final'!$O$49),"")</f>
        <v/>
      </c>
      <c r="T32" s="84" t="str">
        <f>IF(AND('Mapa final'!$Y$50="Media",'Mapa final'!$AA$50="Menor"),CONCATENATE("R7C",'Mapa final'!$O$50),"")</f>
        <v/>
      </c>
      <c r="U32" s="85" t="str">
        <f>IF(AND('Mapa final'!$Y$51="Media",'Mapa final'!$AA$51="Menor"),CONCATENATE("R7C",'Mapa final'!$O$51),"")</f>
        <v/>
      </c>
      <c r="V32" s="83" t="str">
        <f>IF(AND('Mapa final'!$Y$46="Media",'Mapa final'!$AA$46="Moderado"),CONCATENATE("R7C",'Mapa final'!$O$46),"")</f>
        <v/>
      </c>
      <c r="W32" s="84" t="str">
        <f>IF(AND('Mapa final'!$Y$47="Media",'Mapa final'!$AA$47="Moderado"),CONCATENATE("R7C",'Mapa final'!$O$47),"")</f>
        <v/>
      </c>
      <c r="X32" s="84" t="str">
        <f>IF(AND('Mapa final'!$Y$48="Media",'Mapa final'!$AA$48="Moderado"),CONCATENATE("R7C",'Mapa final'!$O$48),"")</f>
        <v/>
      </c>
      <c r="Y32" s="84" t="str">
        <f>IF(AND('Mapa final'!$Y$49="Media",'Mapa final'!$AA$49="Moderado"),CONCATENATE("R7C",'Mapa final'!$O$49),"")</f>
        <v/>
      </c>
      <c r="Z32" s="84" t="str">
        <f>IF(AND('Mapa final'!$Y$50="Media",'Mapa final'!$AA$50="Moderado"),CONCATENATE("R7C",'Mapa final'!$O$50),"")</f>
        <v/>
      </c>
      <c r="AA32" s="85" t="str">
        <f>IF(AND('Mapa final'!$Y$51="Media",'Mapa final'!$AA$51="Moderado"),CONCATENATE("R7C",'Mapa final'!$O$51),"")</f>
        <v/>
      </c>
      <c r="AB32" s="67" t="str">
        <f>IF(AND('Mapa final'!$Y$46="Media",'Mapa final'!$AA$46="Mayor"),CONCATENATE("R7C",'Mapa final'!$O$46),"")</f>
        <v/>
      </c>
      <c r="AC32" s="68" t="str">
        <f>IF(AND('Mapa final'!$Y$47="Media",'Mapa final'!$AA$47="Mayor"),CONCATENATE("R7C",'Mapa final'!$O$47),"")</f>
        <v/>
      </c>
      <c r="AD32" s="73" t="str">
        <f>IF(AND('Mapa final'!$Y$48="Media",'Mapa final'!$AA$48="Mayor"),CONCATENATE("R7C",'Mapa final'!$O$48),"")</f>
        <v/>
      </c>
      <c r="AE32" s="73" t="str">
        <f>IF(AND('Mapa final'!$Y$49="Media",'Mapa final'!$AA$49="Mayor"),CONCATENATE("R7C",'Mapa final'!$O$49),"")</f>
        <v/>
      </c>
      <c r="AF32" s="73" t="str">
        <f>IF(AND('Mapa final'!$Y$50="Media",'Mapa final'!$AA$50="Mayor"),CONCATENATE("R7C",'Mapa final'!$O$50),"")</f>
        <v/>
      </c>
      <c r="AG32" s="69" t="str">
        <f>IF(AND('Mapa final'!$Y$51="Media",'Mapa final'!$AA$51="Mayor"),CONCATENATE("R7C",'Mapa final'!$O$51),"")</f>
        <v/>
      </c>
      <c r="AH32" s="70" t="str">
        <f>IF(AND('Mapa final'!$Y$46="Media",'Mapa final'!$AA$46="Catastrófico"),CONCATENATE("R7C",'Mapa final'!$O$46),"")</f>
        <v/>
      </c>
      <c r="AI32" s="71" t="str">
        <f>IF(AND('Mapa final'!$Y$47="Media",'Mapa final'!$AA$47="Catastrófico"),CONCATENATE("R7C",'Mapa final'!$O$47),"")</f>
        <v/>
      </c>
      <c r="AJ32" s="71" t="str">
        <f>IF(AND('Mapa final'!$Y$48="Media",'Mapa final'!$AA$48="Catastrófico"),CONCATENATE("R7C",'Mapa final'!$O$48),"")</f>
        <v/>
      </c>
      <c r="AK32" s="71" t="str">
        <f>IF(AND('Mapa final'!$Y$49="Media",'Mapa final'!$AA$49="Catastrófico"),CONCATENATE("R7C",'Mapa final'!$O$49),"")</f>
        <v/>
      </c>
      <c r="AL32" s="71" t="str">
        <f>IF(AND('Mapa final'!$Y$50="Media",'Mapa final'!$AA$50="Catastrófico"),CONCATENATE("R7C",'Mapa final'!$O$50),"")</f>
        <v/>
      </c>
      <c r="AM32" s="72" t="str">
        <f>IF(AND('Mapa final'!$Y$51="Media",'Mapa final'!$AA$51="Catastrófico"),CONCATENATE("R7C",'Mapa final'!$O$51),"")</f>
        <v/>
      </c>
      <c r="AN32" s="99"/>
      <c r="AO32" s="424"/>
      <c r="AP32" s="425"/>
      <c r="AQ32" s="425"/>
      <c r="AR32" s="425"/>
      <c r="AS32" s="425"/>
      <c r="AT32" s="426"/>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row>
    <row r="33" spans="1:80" ht="15" customHeight="1" x14ac:dyDescent="0.25">
      <c r="A33" s="99"/>
      <c r="B33" s="342"/>
      <c r="C33" s="342"/>
      <c r="D33" s="343"/>
      <c r="E33" s="383"/>
      <c r="F33" s="384"/>
      <c r="G33" s="384"/>
      <c r="H33" s="384"/>
      <c r="I33" s="385"/>
      <c r="J33" s="83" t="str">
        <f>IF(AND('Mapa final'!$Y$52="Media",'Mapa final'!$AA$52="Leve"),CONCATENATE("R8C",'Mapa final'!$O$52),"")</f>
        <v/>
      </c>
      <c r="K33" s="84" t="str">
        <f>IF(AND('Mapa final'!$Y$53="Media",'Mapa final'!$AA$53="Leve"),CONCATENATE("R8C",'Mapa final'!$O$53),"")</f>
        <v/>
      </c>
      <c r="L33" s="84" t="str">
        <f>IF(AND('Mapa final'!$Y$54="Media",'Mapa final'!$AA$54="Leve"),CONCATENATE("R8C",'Mapa final'!$O$54),"")</f>
        <v/>
      </c>
      <c r="M33" s="84" t="str">
        <f>IF(AND('Mapa final'!$Y$55="Media",'Mapa final'!$AA$55="Leve"),CONCATENATE("R8C",'Mapa final'!$O$55),"")</f>
        <v/>
      </c>
      <c r="N33" s="84" t="str">
        <f>IF(AND('Mapa final'!$Y$56="Media",'Mapa final'!$AA$56="Leve"),CONCATENATE("R8C",'Mapa final'!$O$56),"")</f>
        <v/>
      </c>
      <c r="O33" s="85" t="str">
        <f>IF(AND('Mapa final'!$Y$57="Media",'Mapa final'!$AA$57="Leve"),CONCATENATE("R8C",'Mapa final'!$O$57),"")</f>
        <v/>
      </c>
      <c r="P33" s="83" t="str">
        <f>IF(AND('Mapa final'!$Y$52="Media",'Mapa final'!$AA$52="Menor"),CONCATENATE("R8C",'Mapa final'!$O$52),"")</f>
        <v/>
      </c>
      <c r="Q33" s="84" t="str">
        <f>IF(AND('Mapa final'!$Y$53="Media",'Mapa final'!$AA$53="Menor"),CONCATENATE("R8C",'Mapa final'!$O$53),"")</f>
        <v/>
      </c>
      <c r="R33" s="84" t="str">
        <f>IF(AND('Mapa final'!$Y$54="Media",'Mapa final'!$AA$54="Menor"),CONCATENATE("R8C",'Mapa final'!$O$54),"")</f>
        <v/>
      </c>
      <c r="S33" s="84" t="str">
        <f>IF(AND('Mapa final'!$Y$55="Media",'Mapa final'!$AA$55="Menor"),CONCATENATE("R8C",'Mapa final'!$O$55),"")</f>
        <v/>
      </c>
      <c r="T33" s="84" t="str">
        <f>IF(AND('Mapa final'!$Y$56="Media",'Mapa final'!$AA$56="Menor"),CONCATENATE("R8C",'Mapa final'!$O$56),"")</f>
        <v/>
      </c>
      <c r="U33" s="85" t="str">
        <f>IF(AND('Mapa final'!$Y$57="Media",'Mapa final'!$AA$57="Menor"),CONCATENATE("R8C",'Mapa final'!$O$57),"")</f>
        <v/>
      </c>
      <c r="V33" s="83" t="str">
        <f>IF(AND('Mapa final'!$Y$52="Media",'Mapa final'!$AA$52="Moderado"),CONCATENATE("R8C",'Mapa final'!$O$52),"")</f>
        <v/>
      </c>
      <c r="W33" s="84" t="str">
        <f>IF(AND('Mapa final'!$Y$53="Media",'Mapa final'!$AA$53="Moderado"),CONCATENATE("R8C",'Mapa final'!$O$53),"")</f>
        <v/>
      </c>
      <c r="X33" s="84" t="str">
        <f>IF(AND('Mapa final'!$Y$54="Media",'Mapa final'!$AA$54="Moderado"),CONCATENATE("R8C",'Mapa final'!$O$54),"")</f>
        <v/>
      </c>
      <c r="Y33" s="84" t="str">
        <f>IF(AND('Mapa final'!$Y$55="Media",'Mapa final'!$AA$55="Moderado"),CONCATENATE("R8C",'Mapa final'!$O$55),"")</f>
        <v/>
      </c>
      <c r="Z33" s="84" t="str">
        <f>IF(AND('Mapa final'!$Y$56="Media",'Mapa final'!$AA$56="Moderado"),CONCATENATE("R8C",'Mapa final'!$O$56),"")</f>
        <v/>
      </c>
      <c r="AA33" s="85" t="str">
        <f>IF(AND('Mapa final'!$Y$57="Media",'Mapa final'!$AA$57="Moderado"),CONCATENATE("R8C",'Mapa final'!$O$57),"")</f>
        <v/>
      </c>
      <c r="AB33" s="67" t="str">
        <f>IF(AND('Mapa final'!$Y$52="Media",'Mapa final'!$AA$52="Mayor"),CONCATENATE("R8C",'Mapa final'!$O$52),"")</f>
        <v/>
      </c>
      <c r="AC33" s="68" t="str">
        <f>IF(AND('Mapa final'!$Y$53="Media",'Mapa final'!$AA$53="Mayor"),CONCATENATE("R8C",'Mapa final'!$O$53),"")</f>
        <v/>
      </c>
      <c r="AD33" s="73" t="str">
        <f>IF(AND('Mapa final'!$Y$54="Media",'Mapa final'!$AA$54="Mayor"),CONCATENATE("R8C",'Mapa final'!$O$54),"")</f>
        <v/>
      </c>
      <c r="AE33" s="73" t="str">
        <f>IF(AND('Mapa final'!$Y$55="Media",'Mapa final'!$AA$55="Mayor"),CONCATENATE("R8C",'Mapa final'!$O$55),"")</f>
        <v/>
      </c>
      <c r="AF33" s="73" t="str">
        <f>IF(AND('Mapa final'!$Y$56="Media",'Mapa final'!$AA$56="Mayor"),CONCATENATE("R8C",'Mapa final'!$O$56),"")</f>
        <v/>
      </c>
      <c r="AG33" s="69" t="str">
        <f>IF(AND('Mapa final'!$Y$57="Media",'Mapa final'!$AA$57="Mayor"),CONCATENATE("R8C",'Mapa final'!$O$57),"")</f>
        <v/>
      </c>
      <c r="AH33" s="70" t="str">
        <f>IF(AND('Mapa final'!$Y$52="Media",'Mapa final'!$AA$52="Catastrófico"),CONCATENATE("R8C",'Mapa final'!$O$52),"")</f>
        <v/>
      </c>
      <c r="AI33" s="71" t="str">
        <f>IF(AND('Mapa final'!$Y$53="Media",'Mapa final'!$AA$53="Catastrófico"),CONCATENATE("R8C",'Mapa final'!$O$53),"")</f>
        <v/>
      </c>
      <c r="AJ33" s="71" t="str">
        <f>IF(AND('Mapa final'!$Y$54="Media",'Mapa final'!$AA$54="Catastrófico"),CONCATENATE("R8C",'Mapa final'!$O$54),"")</f>
        <v/>
      </c>
      <c r="AK33" s="71" t="str">
        <f>IF(AND('Mapa final'!$Y$55="Media",'Mapa final'!$AA$55="Catastrófico"),CONCATENATE("R8C",'Mapa final'!$O$55),"")</f>
        <v/>
      </c>
      <c r="AL33" s="71" t="str">
        <f>IF(AND('Mapa final'!$Y$56="Media",'Mapa final'!$AA$56="Catastrófico"),CONCATENATE("R8C",'Mapa final'!$O$56),"")</f>
        <v/>
      </c>
      <c r="AM33" s="72" t="str">
        <f>IF(AND('Mapa final'!$Y$57="Media",'Mapa final'!$AA$57="Catastrófico"),CONCATENATE("R8C",'Mapa final'!$O$57),"")</f>
        <v/>
      </c>
      <c r="AN33" s="99"/>
      <c r="AO33" s="424"/>
      <c r="AP33" s="425"/>
      <c r="AQ33" s="425"/>
      <c r="AR33" s="425"/>
      <c r="AS33" s="425"/>
      <c r="AT33" s="426"/>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row>
    <row r="34" spans="1:80" ht="15" customHeight="1" x14ac:dyDescent="0.25">
      <c r="A34" s="99"/>
      <c r="B34" s="342"/>
      <c r="C34" s="342"/>
      <c r="D34" s="343"/>
      <c r="E34" s="383"/>
      <c r="F34" s="384"/>
      <c r="G34" s="384"/>
      <c r="H34" s="384"/>
      <c r="I34" s="385"/>
      <c r="J34" s="83" t="str">
        <f>IF(AND('Mapa final'!$Y$58="Media",'Mapa final'!$AA$58="Leve"),CONCATENATE("R9C",'Mapa final'!$O$58),"")</f>
        <v/>
      </c>
      <c r="K34" s="84" t="str">
        <f>IF(AND('Mapa final'!$Y$59="Media",'Mapa final'!$AA$59="Leve"),CONCATENATE("R9C",'Mapa final'!$O$59),"")</f>
        <v/>
      </c>
      <c r="L34" s="84" t="str">
        <f>IF(AND('Mapa final'!$Y$60="Media",'Mapa final'!$AA$60="Leve"),CONCATENATE("R9C",'Mapa final'!$O$60),"")</f>
        <v/>
      </c>
      <c r="M34" s="84" t="str">
        <f>IF(AND('Mapa final'!$Y$61="Media",'Mapa final'!$AA$61="Leve"),CONCATENATE("R9C",'Mapa final'!$O$61),"")</f>
        <v/>
      </c>
      <c r="N34" s="84" t="str">
        <f>IF(AND('Mapa final'!$Y$62="Media",'Mapa final'!$AA$62="Leve"),CONCATENATE("R9C",'Mapa final'!$O$62),"")</f>
        <v/>
      </c>
      <c r="O34" s="85" t="str">
        <f>IF(AND('Mapa final'!$Y$63="Media",'Mapa final'!$AA$63="Leve"),CONCATENATE("R9C",'Mapa final'!$O$63),"")</f>
        <v/>
      </c>
      <c r="P34" s="83" t="str">
        <f>IF(AND('Mapa final'!$Y$58="Media",'Mapa final'!$AA$58="Menor"),CONCATENATE("R9C",'Mapa final'!$O$58),"")</f>
        <v/>
      </c>
      <c r="Q34" s="84" t="str">
        <f>IF(AND('Mapa final'!$Y$59="Media",'Mapa final'!$AA$59="Menor"),CONCATENATE("R9C",'Mapa final'!$O$59),"")</f>
        <v/>
      </c>
      <c r="R34" s="84" t="str">
        <f>IF(AND('Mapa final'!$Y$60="Media",'Mapa final'!$AA$60="Menor"),CONCATENATE("R9C",'Mapa final'!$O$60),"")</f>
        <v/>
      </c>
      <c r="S34" s="84" t="str">
        <f>IF(AND('Mapa final'!$Y$61="Media",'Mapa final'!$AA$61="Menor"),CONCATENATE("R9C",'Mapa final'!$O$61),"")</f>
        <v/>
      </c>
      <c r="T34" s="84" t="str">
        <f>IF(AND('Mapa final'!$Y$62="Media",'Mapa final'!$AA$62="Menor"),CONCATENATE("R9C",'Mapa final'!$O$62),"")</f>
        <v/>
      </c>
      <c r="U34" s="85" t="str">
        <f>IF(AND('Mapa final'!$Y$63="Media",'Mapa final'!$AA$63="Menor"),CONCATENATE("R9C",'Mapa final'!$O$63),"")</f>
        <v/>
      </c>
      <c r="V34" s="83" t="str">
        <f>IF(AND('Mapa final'!$Y$58="Media",'Mapa final'!$AA$58="Moderado"),CONCATENATE("R9C",'Mapa final'!$O$58),"")</f>
        <v/>
      </c>
      <c r="W34" s="84" t="str">
        <f>IF(AND('Mapa final'!$Y$59="Media",'Mapa final'!$AA$59="Moderado"),CONCATENATE("R9C",'Mapa final'!$O$59),"")</f>
        <v/>
      </c>
      <c r="X34" s="84" t="str">
        <f>IF(AND('Mapa final'!$Y$60="Media",'Mapa final'!$AA$60="Moderado"),CONCATENATE("R9C",'Mapa final'!$O$60),"")</f>
        <v/>
      </c>
      <c r="Y34" s="84" t="str">
        <f>IF(AND('Mapa final'!$Y$61="Media",'Mapa final'!$AA$61="Moderado"),CONCATENATE("R9C",'Mapa final'!$O$61),"")</f>
        <v/>
      </c>
      <c r="Z34" s="84" t="str">
        <f>IF(AND('Mapa final'!$Y$62="Media",'Mapa final'!$AA$62="Moderado"),CONCATENATE("R9C",'Mapa final'!$O$62),"")</f>
        <v/>
      </c>
      <c r="AA34" s="85" t="str">
        <f>IF(AND('Mapa final'!$Y$63="Media",'Mapa final'!$AA$63="Moderado"),CONCATENATE("R9C",'Mapa final'!$O$63),"")</f>
        <v/>
      </c>
      <c r="AB34" s="67" t="str">
        <f>IF(AND('Mapa final'!$Y$58="Media",'Mapa final'!$AA$58="Mayor"),CONCATENATE("R9C",'Mapa final'!$O$58),"")</f>
        <v/>
      </c>
      <c r="AC34" s="68" t="str">
        <f>IF(AND('Mapa final'!$Y$59="Media",'Mapa final'!$AA$59="Mayor"),CONCATENATE("R9C",'Mapa final'!$O$59),"")</f>
        <v/>
      </c>
      <c r="AD34" s="73" t="str">
        <f>IF(AND('Mapa final'!$Y$60="Media",'Mapa final'!$AA$60="Mayor"),CONCATENATE("R9C",'Mapa final'!$O$60),"")</f>
        <v/>
      </c>
      <c r="AE34" s="73" t="str">
        <f>IF(AND('Mapa final'!$Y$61="Media",'Mapa final'!$AA$61="Mayor"),CONCATENATE("R9C",'Mapa final'!$O$61),"")</f>
        <v/>
      </c>
      <c r="AF34" s="73" t="str">
        <f>IF(AND('Mapa final'!$Y$62="Media",'Mapa final'!$AA$62="Mayor"),CONCATENATE("R9C",'Mapa final'!$O$62),"")</f>
        <v/>
      </c>
      <c r="AG34" s="69" t="str">
        <f>IF(AND('Mapa final'!$Y$63="Media",'Mapa final'!$AA$63="Mayor"),CONCATENATE("R9C",'Mapa final'!$O$63),"")</f>
        <v/>
      </c>
      <c r="AH34" s="70" t="str">
        <f>IF(AND('Mapa final'!$Y$58="Media",'Mapa final'!$AA$58="Catastrófico"),CONCATENATE("R9C",'Mapa final'!$O$58),"")</f>
        <v/>
      </c>
      <c r="AI34" s="71" t="str">
        <f>IF(AND('Mapa final'!$Y$59="Media",'Mapa final'!$AA$59="Catastrófico"),CONCATENATE("R9C",'Mapa final'!$O$59),"")</f>
        <v/>
      </c>
      <c r="AJ34" s="71" t="str">
        <f>IF(AND('Mapa final'!$Y$60="Media",'Mapa final'!$AA$60="Catastrófico"),CONCATENATE("R9C",'Mapa final'!$O$60),"")</f>
        <v/>
      </c>
      <c r="AK34" s="71" t="str">
        <f>IF(AND('Mapa final'!$Y$61="Media",'Mapa final'!$AA$61="Catastrófico"),CONCATENATE("R9C",'Mapa final'!$O$61),"")</f>
        <v/>
      </c>
      <c r="AL34" s="71" t="str">
        <f>IF(AND('Mapa final'!$Y$62="Media",'Mapa final'!$AA$62="Catastrófico"),CONCATENATE("R9C",'Mapa final'!$O$62),"")</f>
        <v/>
      </c>
      <c r="AM34" s="72" t="str">
        <f>IF(AND('Mapa final'!$Y$63="Media",'Mapa final'!$AA$63="Catastrófico"),CONCATENATE("R9C",'Mapa final'!$O$63),"")</f>
        <v/>
      </c>
      <c r="AN34" s="99"/>
      <c r="AO34" s="424"/>
      <c r="AP34" s="425"/>
      <c r="AQ34" s="425"/>
      <c r="AR34" s="425"/>
      <c r="AS34" s="425"/>
      <c r="AT34" s="426"/>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row>
    <row r="35" spans="1:80" ht="15.75" customHeight="1" thickBot="1" x14ac:dyDescent="0.3">
      <c r="A35" s="99"/>
      <c r="B35" s="342"/>
      <c r="C35" s="342"/>
      <c r="D35" s="343"/>
      <c r="E35" s="386"/>
      <c r="F35" s="387"/>
      <c r="G35" s="387"/>
      <c r="H35" s="387"/>
      <c r="I35" s="388"/>
      <c r="J35" s="83" t="str">
        <f>IF(AND('Mapa final'!$Y$64="Media",'Mapa final'!$AA$64="Leve"),CONCATENATE("R10C",'Mapa final'!$O$64),"")</f>
        <v/>
      </c>
      <c r="K35" s="84" t="str">
        <f>IF(AND('Mapa final'!$Y$65="Media",'Mapa final'!$AA$65="Leve"),CONCATENATE("R10C",'Mapa final'!$O$65),"")</f>
        <v/>
      </c>
      <c r="L35" s="84" t="str">
        <f>IF(AND('Mapa final'!$Y$66="Media",'Mapa final'!$AA$66="Leve"),CONCATENATE("R10C",'Mapa final'!$O$66),"")</f>
        <v/>
      </c>
      <c r="M35" s="84" t="str">
        <f>IF(AND('Mapa final'!$Y$67="Media",'Mapa final'!$AA$67="Leve"),CONCATENATE("R10C",'Mapa final'!$O$67),"")</f>
        <v/>
      </c>
      <c r="N35" s="84" t="str">
        <f>IF(AND('Mapa final'!$Y$68="Media",'Mapa final'!$AA$68="Leve"),CONCATENATE("R10C",'Mapa final'!$O$68),"")</f>
        <v/>
      </c>
      <c r="O35" s="85" t="str">
        <f>IF(AND('Mapa final'!$Y$69="Media",'Mapa final'!$AA$69="Leve"),CONCATENATE("R10C",'Mapa final'!$O$69),"")</f>
        <v/>
      </c>
      <c r="P35" s="83" t="str">
        <f>IF(AND('Mapa final'!$Y$64="Media",'Mapa final'!$AA$64="Menor"),CONCATENATE("R10C",'Mapa final'!$O$64),"")</f>
        <v/>
      </c>
      <c r="Q35" s="84" t="str">
        <f>IF(AND('Mapa final'!$Y$65="Media",'Mapa final'!$AA$65="Menor"),CONCATENATE("R10C",'Mapa final'!$O$65),"")</f>
        <v/>
      </c>
      <c r="R35" s="84" t="str">
        <f>IF(AND('Mapa final'!$Y$66="Media",'Mapa final'!$AA$66="Menor"),CONCATENATE("R10C",'Mapa final'!$O$66),"")</f>
        <v/>
      </c>
      <c r="S35" s="84" t="str">
        <f>IF(AND('Mapa final'!$Y$67="Media",'Mapa final'!$AA$67="Menor"),CONCATENATE("R10C",'Mapa final'!$O$67),"")</f>
        <v/>
      </c>
      <c r="T35" s="84" t="str">
        <f>IF(AND('Mapa final'!$Y$68="Media",'Mapa final'!$AA$68="Menor"),CONCATENATE("R10C",'Mapa final'!$O$68),"")</f>
        <v/>
      </c>
      <c r="U35" s="85" t="str">
        <f>IF(AND('Mapa final'!$Y$69="Media",'Mapa final'!$AA$69="Menor"),CONCATENATE("R10C",'Mapa final'!$O$69),"")</f>
        <v/>
      </c>
      <c r="V35" s="83" t="str">
        <f>IF(AND('Mapa final'!$Y$64="Media",'Mapa final'!$AA$64="Moderado"),CONCATENATE("R10C",'Mapa final'!$O$64),"")</f>
        <v/>
      </c>
      <c r="W35" s="84" t="str">
        <f>IF(AND('Mapa final'!$Y$65="Media",'Mapa final'!$AA$65="Moderado"),CONCATENATE("R10C",'Mapa final'!$O$65),"")</f>
        <v/>
      </c>
      <c r="X35" s="84" t="str">
        <f>IF(AND('Mapa final'!$Y$66="Media",'Mapa final'!$AA$66="Moderado"),CONCATENATE("R10C",'Mapa final'!$O$66),"")</f>
        <v/>
      </c>
      <c r="Y35" s="84" t="str">
        <f>IF(AND('Mapa final'!$Y$67="Media",'Mapa final'!$AA$67="Moderado"),CONCATENATE("R10C",'Mapa final'!$O$67),"")</f>
        <v/>
      </c>
      <c r="Z35" s="84" t="str">
        <f>IF(AND('Mapa final'!$Y$68="Media",'Mapa final'!$AA$68="Moderado"),CONCATENATE("R10C",'Mapa final'!$O$68),"")</f>
        <v/>
      </c>
      <c r="AA35" s="85" t="str">
        <f>IF(AND('Mapa final'!$Y$69="Media",'Mapa final'!$AA$69="Moderado"),CONCATENATE("R10C",'Mapa final'!$O$69),"")</f>
        <v/>
      </c>
      <c r="AB35" s="74" t="str">
        <f>IF(AND('Mapa final'!$Y$64="Media",'Mapa final'!$AA$64="Mayor"),CONCATENATE("R10C",'Mapa final'!$O$64),"")</f>
        <v/>
      </c>
      <c r="AC35" s="75" t="str">
        <f>IF(AND('Mapa final'!$Y$65="Media",'Mapa final'!$AA$65="Mayor"),CONCATENATE("R10C",'Mapa final'!$O$65),"")</f>
        <v/>
      </c>
      <c r="AD35" s="75" t="str">
        <f>IF(AND('Mapa final'!$Y$66="Media",'Mapa final'!$AA$66="Mayor"),CONCATENATE("R10C",'Mapa final'!$O$66),"")</f>
        <v/>
      </c>
      <c r="AE35" s="75" t="str">
        <f>IF(AND('Mapa final'!$Y$67="Media",'Mapa final'!$AA$67="Mayor"),CONCATENATE("R10C",'Mapa final'!$O$67),"")</f>
        <v/>
      </c>
      <c r="AF35" s="75" t="str">
        <f>IF(AND('Mapa final'!$Y$68="Media",'Mapa final'!$AA$68="Mayor"),CONCATENATE("R10C",'Mapa final'!$O$68),"")</f>
        <v/>
      </c>
      <c r="AG35" s="76" t="str">
        <f>IF(AND('Mapa final'!$Y$69="Media",'Mapa final'!$AA$69="Mayor"),CONCATENATE("R10C",'Mapa final'!$O$69),"")</f>
        <v/>
      </c>
      <c r="AH35" s="77" t="str">
        <f>IF(AND('Mapa final'!$Y$64="Media",'Mapa final'!$AA$64="Catastrófico"),CONCATENATE("R10C",'Mapa final'!$O$64),"")</f>
        <v/>
      </c>
      <c r="AI35" s="78" t="str">
        <f>IF(AND('Mapa final'!$Y$65="Media",'Mapa final'!$AA$65="Catastrófico"),CONCATENATE("R10C",'Mapa final'!$O$65),"")</f>
        <v/>
      </c>
      <c r="AJ35" s="78" t="str">
        <f>IF(AND('Mapa final'!$Y$66="Media",'Mapa final'!$AA$66="Catastrófico"),CONCATENATE("R10C",'Mapa final'!$O$66),"")</f>
        <v/>
      </c>
      <c r="AK35" s="78" t="str">
        <f>IF(AND('Mapa final'!$Y$67="Media",'Mapa final'!$AA$67="Catastrófico"),CONCATENATE("R10C",'Mapa final'!$O$67),"")</f>
        <v/>
      </c>
      <c r="AL35" s="78" t="str">
        <f>IF(AND('Mapa final'!$Y$68="Media",'Mapa final'!$AA$68="Catastrófico"),CONCATENATE("R10C",'Mapa final'!$O$68),"")</f>
        <v/>
      </c>
      <c r="AM35" s="79" t="str">
        <f>IF(AND('Mapa final'!$Y$69="Media",'Mapa final'!$AA$69="Catastrófico"),CONCATENATE("R10C",'Mapa final'!$O$69),"")</f>
        <v/>
      </c>
      <c r="AN35" s="99"/>
      <c r="AO35" s="427"/>
      <c r="AP35" s="428"/>
      <c r="AQ35" s="428"/>
      <c r="AR35" s="428"/>
      <c r="AS35" s="428"/>
      <c r="AT35" s="42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row>
    <row r="36" spans="1:80" ht="15" customHeight="1" x14ac:dyDescent="0.25">
      <c r="A36" s="99"/>
      <c r="B36" s="342"/>
      <c r="C36" s="342"/>
      <c r="D36" s="343"/>
      <c r="E36" s="380" t="s">
        <v>114</v>
      </c>
      <c r="F36" s="381"/>
      <c r="G36" s="381"/>
      <c r="H36" s="381"/>
      <c r="I36" s="381"/>
      <c r="J36" s="89" t="str">
        <f>IF(AND('Mapa final'!$Y$10="Baja",'Mapa final'!$AA$10="Leve"),CONCATENATE("R1C",'Mapa final'!$O$10),"")</f>
        <v/>
      </c>
      <c r="K36" s="90" t="str">
        <f>IF(AND('Mapa final'!$Y$11="Baja",'Mapa final'!$AA$11="Leve"),CONCATENATE("R1C",'Mapa final'!$O$11),"")</f>
        <v/>
      </c>
      <c r="L36" s="90" t="str">
        <f>IF(AND('Mapa final'!$Y$12="Baja",'Mapa final'!$AA$12="Leve"),CONCATENATE("R1C",'Mapa final'!$O$12),"")</f>
        <v/>
      </c>
      <c r="M36" s="90" t="str">
        <f>IF(AND('Mapa final'!$Y$13="Baja",'Mapa final'!$AA$13="Leve"),CONCATENATE("R1C",'Mapa final'!$O$13),"")</f>
        <v/>
      </c>
      <c r="N36" s="90" t="str">
        <f>IF(AND('Mapa final'!$Y$14="Baja",'Mapa final'!$AA$14="Leve"),CONCATENATE("R1C",'Mapa final'!$O$14),"")</f>
        <v/>
      </c>
      <c r="O36" s="91" t="str">
        <f>IF(AND('Mapa final'!$Y$15="Baja",'Mapa final'!$AA$15="Leve"),CONCATENATE("R1C",'Mapa final'!$O$15),"")</f>
        <v/>
      </c>
      <c r="P36" s="80" t="str">
        <f>IF(AND('Mapa final'!$Y$10="Baja",'Mapa final'!$AA$10="Menor"),CONCATENATE("R1C",'Mapa final'!$O$10),"")</f>
        <v>R1C1</v>
      </c>
      <c r="Q36" s="81" t="str">
        <f>IF(AND('Mapa final'!$Y$11="Baja",'Mapa final'!$AA$11="Menor"),CONCATENATE("R1C",'Mapa final'!$O$11),"")</f>
        <v/>
      </c>
      <c r="R36" s="81" t="str">
        <f>IF(AND('Mapa final'!$Y$12="Baja",'Mapa final'!$AA$12="Menor"),CONCATENATE("R1C",'Mapa final'!$O$12),"")</f>
        <v/>
      </c>
      <c r="S36" s="81" t="str">
        <f>IF(AND('Mapa final'!$Y$13="Baja",'Mapa final'!$AA$13="Menor"),CONCATENATE("R1C",'Mapa final'!$O$13),"")</f>
        <v/>
      </c>
      <c r="T36" s="81" t="str">
        <f>IF(AND('Mapa final'!$Y$14="Baja",'Mapa final'!$AA$14="Menor"),CONCATENATE("R1C",'Mapa final'!$O$14),"")</f>
        <v/>
      </c>
      <c r="U36" s="82" t="str">
        <f>IF(AND('Mapa final'!$Y$15="Baja",'Mapa final'!$AA$15="Menor"),CONCATENATE("R1C",'Mapa final'!$O$15),"")</f>
        <v/>
      </c>
      <c r="V36" s="80" t="str">
        <f>IF(AND('Mapa final'!$Y$10="Baja",'Mapa final'!$AA$10="Moderado"),CONCATENATE("R1C",'Mapa final'!$O$10),"")</f>
        <v/>
      </c>
      <c r="W36" s="81" t="str">
        <f>IF(AND('Mapa final'!$Y$11="Baja",'Mapa final'!$AA$11="Moderado"),CONCATENATE("R1C",'Mapa final'!$O$11),"")</f>
        <v/>
      </c>
      <c r="X36" s="81" t="str">
        <f>IF(AND('Mapa final'!$Y$12="Baja",'Mapa final'!$AA$12="Moderado"),CONCATENATE("R1C",'Mapa final'!$O$12),"")</f>
        <v/>
      </c>
      <c r="Y36" s="81" t="str">
        <f>IF(AND('Mapa final'!$Y$13="Baja",'Mapa final'!$AA$13="Moderado"),CONCATENATE("R1C",'Mapa final'!$O$13),"")</f>
        <v/>
      </c>
      <c r="Z36" s="81" t="str">
        <f>IF(AND('Mapa final'!$Y$14="Baja",'Mapa final'!$AA$14="Moderado"),CONCATENATE("R1C",'Mapa final'!$O$14),"")</f>
        <v/>
      </c>
      <c r="AA36" s="82" t="str">
        <f>IF(AND('Mapa final'!$Y$15="Baja",'Mapa final'!$AA$15="Moderado"),CONCATENATE("R1C",'Mapa final'!$O$15),"")</f>
        <v/>
      </c>
      <c r="AB36" s="61" t="str">
        <f>IF(AND('Mapa final'!$Y$10="Baja",'Mapa final'!$AA$10="Mayor"),CONCATENATE("R1C",'Mapa final'!$O$10),"")</f>
        <v/>
      </c>
      <c r="AC36" s="62" t="str">
        <f>IF(AND('Mapa final'!$Y$11="Baja",'Mapa final'!$AA$11="Mayor"),CONCATENATE("R1C",'Mapa final'!$O$11),"")</f>
        <v/>
      </c>
      <c r="AD36" s="62" t="str">
        <f>IF(AND('Mapa final'!$Y$12="Baja",'Mapa final'!$AA$12="Mayor"),CONCATENATE("R1C",'Mapa final'!$O$12),"")</f>
        <v/>
      </c>
      <c r="AE36" s="62" t="str">
        <f>IF(AND('Mapa final'!$Y$13="Baja",'Mapa final'!$AA$13="Mayor"),CONCATENATE("R1C",'Mapa final'!$O$13),"")</f>
        <v/>
      </c>
      <c r="AF36" s="62" t="str">
        <f>IF(AND('Mapa final'!$Y$14="Baja",'Mapa final'!$AA$14="Mayor"),CONCATENATE("R1C",'Mapa final'!$O$14),"")</f>
        <v/>
      </c>
      <c r="AG36" s="63" t="str">
        <f>IF(AND('Mapa final'!$Y$15="Baja",'Mapa final'!$AA$15="Mayor"),CONCATENATE("R1C",'Mapa final'!$O$15),"")</f>
        <v/>
      </c>
      <c r="AH36" s="64" t="str">
        <f>IF(AND('Mapa final'!$Y$10="Baja",'Mapa final'!$AA$10="Catastrófico"),CONCATENATE("R1C",'Mapa final'!$O$10),"")</f>
        <v/>
      </c>
      <c r="AI36" s="65" t="str">
        <f>IF(AND('Mapa final'!$Y$11="Baja",'Mapa final'!$AA$11="Catastrófico"),CONCATENATE("R1C",'Mapa final'!$O$11),"")</f>
        <v/>
      </c>
      <c r="AJ36" s="65" t="str">
        <f>IF(AND('Mapa final'!$Y$12="Baja",'Mapa final'!$AA$12="Catastrófico"),CONCATENATE("R1C",'Mapa final'!$O$12),"")</f>
        <v/>
      </c>
      <c r="AK36" s="65" t="str">
        <f>IF(AND('Mapa final'!$Y$13="Baja",'Mapa final'!$AA$13="Catastrófico"),CONCATENATE("R1C",'Mapa final'!$O$13),"")</f>
        <v/>
      </c>
      <c r="AL36" s="65" t="str">
        <f>IF(AND('Mapa final'!$Y$14="Baja",'Mapa final'!$AA$14="Catastrófico"),CONCATENATE("R1C",'Mapa final'!$O$14),"")</f>
        <v/>
      </c>
      <c r="AM36" s="66" t="str">
        <f>IF(AND('Mapa final'!$Y$15="Baja",'Mapa final'!$AA$15="Catastrófico"),CONCATENATE("R1C",'Mapa final'!$O$15),"")</f>
        <v/>
      </c>
      <c r="AN36" s="99"/>
      <c r="AO36" s="412" t="s">
        <v>82</v>
      </c>
      <c r="AP36" s="413"/>
      <c r="AQ36" s="413"/>
      <c r="AR36" s="413"/>
      <c r="AS36" s="413"/>
      <c r="AT36" s="414"/>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row>
    <row r="37" spans="1:80" ht="15" customHeight="1" x14ac:dyDescent="0.25">
      <c r="A37" s="99"/>
      <c r="B37" s="342"/>
      <c r="C37" s="342"/>
      <c r="D37" s="343"/>
      <c r="E37" s="399"/>
      <c r="F37" s="400"/>
      <c r="G37" s="400"/>
      <c r="H37" s="400"/>
      <c r="I37" s="400"/>
      <c r="J37" s="92" t="str">
        <f>IF(AND('Mapa final'!$Y$16="Baja",'Mapa final'!$AA$16="Leve"),CONCATENATE("R2C",'Mapa final'!$O$16),"")</f>
        <v>R2C1</v>
      </c>
      <c r="K37" s="93" t="str">
        <f>IF(AND('Mapa final'!$Y$17="Baja",'Mapa final'!$AA$17="Leve"),CONCATENATE("R2C",'Mapa final'!$O$17),"")</f>
        <v/>
      </c>
      <c r="L37" s="93" t="str">
        <f>IF(AND('Mapa final'!$Y$18="Baja",'Mapa final'!$AA$18="Leve"),CONCATENATE("R2C",'Mapa final'!$O$18),"")</f>
        <v/>
      </c>
      <c r="M37" s="93" t="str">
        <f>IF(AND('Mapa final'!$Y$19="Baja",'Mapa final'!$AA$19="Leve"),CONCATENATE("R2C",'Mapa final'!$O$19),"")</f>
        <v/>
      </c>
      <c r="N37" s="93" t="str">
        <f>IF(AND('Mapa final'!$Y$20="Baja",'Mapa final'!$AA$20="Leve"),CONCATENATE("R2C",'Mapa final'!$O$20),"")</f>
        <v/>
      </c>
      <c r="O37" s="94" t="str">
        <f>IF(AND('Mapa final'!$Y$21="Baja",'Mapa final'!$AA$21="Leve"),CONCATENATE("R2C",'Mapa final'!$O$21),"")</f>
        <v/>
      </c>
      <c r="P37" s="83" t="str">
        <f>IF(AND('Mapa final'!$Y$16="Baja",'Mapa final'!$AA$16="Menor"),CONCATENATE("R2C",'Mapa final'!$O$16),"")</f>
        <v/>
      </c>
      <c r="Q37" s="84" t="str">
        <f>IF(AND('Mapa final'!$Y$17="Baja",'Mapa final'!$AA$17="Menor"),CONCATENATE("R2C",'Mapa final'!$O$17),"")</f>
        <v/>
      </c>
      <c r="R37" s="84" t="str">
        <f>IF(AND('Mapa final'!$Y$18="Baja",'Mapa final'!$AA$18="Menor"),CONCATENATE("R2C",'Mapa final'!$O$18),"")</f>
        <v/>
      </c>
      <c r="S37" s="84" t="str">
        <f>IF(AND('Mapa final'!$Y$19="Baja",'Mapa final'!$AA$19="Menor"),CONCATENATE("R2C",'Mapa final'!$O$19),"")</f>
        <v/>
      </c>
      <c r="T37" s="84" t="str">
        <f>IF(AND('Mapa final'!$Y$20="Baja",'Mapa final'!$AA$20="Menor"),CONCATENATE("R2C",'Mapa final'!$O$20),"")</f>
        <v/>
      </c>
      <c r="U37" s="85" t="str">
        <f>IF(AND('Mapa final'!$Y$21="Baja",'Mapa final'!$AA$21="Menor"),CONCATENATE("R2C",'Mapa final'!$O$21),"")</f>
        <v/>
      </c>
      <c r="V37" s="83" t="str">
        <f>IF(AND('Mapa final'!$Y$16="Baja",'Mapa final'!$AA$16="Moderado"),CONCATENATE("R2C",'Mapa final'!$O$16),"")</f>
        <v/>
      </c>
      <c r="W37" s="84" t="str">
        <f>IF(AND('Mapa final'!$Y$17="Baja",'Mapa final'!$AA$17="Moderado"),CONCATENATE("R2C",'Mapa final'!$O$17),"")</f>
        <v/>
      </c>
      <c r="X37" s="84" t="str">
        <f>IF(AND('Mapa final'!$Y$18="Baja",'Mapa final'!$AA$18="Moderado"),CONCATENATE("R2C",'Mapa final'!$O$18),"")</f>
        <v/>
      </c>
      <c r="Y37" s="84" t="str">
        <f>IF(AND('Mapa final'!$Y$19="Baja",'Mapa final'!$AA$19="Moderado"),CONCATENATE("R2C",'Mapa final'!$O$19),"")</f>
        <v/>
      </c>
      <c r="Z37" s="84" t="str">
        <f>IF(AND('Mapa final'!$Y$20="Baja",'Mapa final'!$AA$20="Moderado"),CONCATENATE("R2C",'Mapa final'!$O$20),"")</f>
        <v/>
      </c>
      <c r="AA37" s="85" t="str">
        <f>IF(AND('Mapa final'!$Y$21="Baja",'Mapa final'!$AA$21="Moderado"),CONCATENATE("R2C",'Mapa final'!$O$21),"")</f>
        <v/>
      </c>
      <c r="AB37" s="67" t="str">
        <f>IF(AND('Mapa final'!$Y$16="Baja",'Mapa final'!$AA$16="Mayor"),CONCATENATE("R2C",'Mapa final'!$O$16),"")</f>
        <v/>
      </c>
      <c r="AC37" s="68" t="str">
        <f>IF(AND('Mapa final'!$Y$17="Baja",'Mapa final'!$AA$17="Mayor"),CONCATENATE("R2C",'Mapa final'!$O$17),"")</f>
        <v/>
      </c>
      <c r="AD37" s="68" t="str">
        <f>IF(AND('Mapa final'!$Y$18="Baja",'Mapa final'!$AA$18="Mayor"),CONCATENATE("R2C",'Mapa final'!$O$18),"")</f>
        <v/>
      </c>
      <c r="AE37" s="68" t="str">
        <f>IF(AND('Mapa final'!$Y$19="Baja",'Mapa final'!$AA$19="Mayor"),CONCATENATE("R2C",'Mapa final'!$O$19),"")</f>
        <v/>
      </c>
      <c r="AF37" s="68" t="str">
        <f>IF(AND('Mapa final'!$Y$20="Baja",'Mapa final'!$AA$20="Mayor"),CONCATENATE("R2C",'Mapa final'!$O$20),"")</f>
        <v/>
      </c>
      <c r="AG37" s="69" t="str">
        <f>IF(AND('Mapa final'!$Y$21="Baja",'Mapa final'!$AA$21="Mayor"),CONCATENATE("R2C",'Mapa final'!$O$21),"")</f>
        <v/>
      </c>
      <c r="AH37" s="70" t="str">
        <f>IF(AND('Mapa final'!$Y$16="Baja",'Mapa final'!$AA$16="Catastrófico"),CONCATENATE("R2C",'Mapa final'!$O$16),"")</f>
        <v/>
      </c>
      <c r="AI37" s="71" t="str">
        <f>IF(AND('Mapa final'!$Y$17="Baja",'Mapa final'!$AA$17="Catastrófico"),CONCATENATE("R2C",'Mapa final'!$O$17),"")</f>
        <v/>
      </c>
      <c r="AJ37" s="71" t="str">
        <f>IF(AND('Mapa final'!$Y$18="Baja",'Mapa final'!$AA$18="Catastrófico"),CONCATENATE("R2C",'Mapa final'!$O$18),"")</f>
        <v/>
      </c>
      <c r="AK37" s="71" t="str">
        <f>IF(AND('Mapa final'!$Y$19="Baja",'Mapa final'!$AA$19="Catastrófico"),CONCATENATE("R2C",'Mapa final'!$O$19),"")</f>
        <v/>
      </c>
      <c r="AL37" s="71" t="str">
        <f>IF(AND('Mapa final'!$Y$20="Baja",'Mapa final'!$AA$20="Catastrófico"),CONCATENATE("R2C",'Mapa final'!$O$20),"")</f>
        <v/>
      </c>
      <c r="AM37" s="72" t="str">
        <f>IF(AND('Mapa final'!$Y$21="Baja",'Mapa final'!$AA$21="Catastrófico"),CONCATENATE("R2C",'Mapa final'!$O$21),"")</f>
        <v/>
      </c>
      <c r="AN37" s="99"/>
      <c r="AO37" s="415"/>
      <c r="AP37" s="416"/>
      <c r="AQ37" s="416"/>
      <c r="AR37" s="416"/>
      <c r="AS37" s="416"/>
      <c r="AT37" s="417"/>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row>
    <row r="38" spans="1:80" ht="15" customHeight="1" x14ac:dyDescent="0.25">
      <c r="A38" s="99"/>
      <c r="B38" s="342"/>
      <c r="C38" s="342"/>
      <c r="D38" s="343"/>
      <c r="E38" s="383"/>
      <c r="F38" s="384"/>
      <c r="G38" s="384"/>
      <c r="H38" s="384"/>
      <c r="I38" s="400"/>
      <c r="J38" s="92" t="str">
        <f>IF(AND('Mapa final'!$Y$22="Baja",'Mapa final'!$AA$22="Leve"),CONCATENATE("R3C",'Mapa final'!$O$22),"")</f>
        <v/>
      </c>
      <c r="K38" s="93" t="str">
        <f>IF(AND('Mapa final'!$Y$23="Baja",'Mapa final'!$AA$23="Leve"),CONCATENATE("R3C",'Mapa final'!$O$23),"")</f>
        <v/>
      </c>
      <c r="L38" s="93" t="str">
        <f>IF(AND('Mapa final'!$Y$24="Baja",'Mapa final'!$AA$24="Leve"),CONCATENATE("R3C",'Mapa final'!$O$24),"")</f>
        <v/>
      </c>
      <c r="M38" s="93" t="str">
        <f>IF(AND('Mapa final'!$Y$25="Baja",'Mapa final'!$AA$25="Leve"),CONCATENATE("R3C",'Mapa final'!$O$25),"")</f>
        <v/>
      </c>
      <c r="N38" s="93" t="str">
        <f>IF(AND('Mapa final'!$Y$26="Baja",'Mapa final'!$AA$26="Leve"),CONCATENATE("R3C",'Mapa final'!$O$26),"")</f>
        <v/>
      </c>
      <c r="O38" s="94" t="str">
        <f>IF(AND('Mapa final'!$Y$27="Baja",'Mapa final'!$AA$27="Leve"),CONCATENATE("R3C",'Mapa final'!$O$27),"")</f>
        <v/>
      </c>
      <c r="P38" s="83" t="str">
        <f>IF(AND('Mapa final'!$Y$22="Baja",'Mapa final'!$AA$22="Menor"),CONCATENATE("R3C",'Mapa final'!$O$22),"")</f>
        <v/>
      </c>
      <c r="Q38" s="84" t="str">
        <f>IF(AND('Mapa final'!$Y$23="Baja",'Mapa final'!$AA$23="Menor"),CONCATENATE("R3C",'Mapa final'!$O$23),"")</f>
        <v/>
      </c>
      <c r="R38" s="84" t="str">
        <f>IF(AND('Mapa final'!$Y$24="Baja",'Mapa final'!$AA$24="Menor"),CONCATENATE("R3C",'Mapa final'!$O$24),"")</f>
        <v/>
      </c>
      <c r="S38" s="84" t="str">
        <f>IF(AND('Mapa final'!$Y$25="Baja",'Mapa final'!$AA$25="Menor"),CONCATENATE("R3C",'Mapa final'!$O$25),"")</f>
        <v/>
      </c>
      <c r="T38" s="84" t="str">
        <f>IF(AND('Mapa final'!$Y$26="Baja",'Mapa final'!$AA$26="Menor"),CONCATENATE("R3C",'Mapa final'!$O$26),"")</f>
        <v/>
      </c>
      <c r="U38" s="85" t="str">
        <f>IF(AND('Mapa final'!$Y$27="Baja",'Mapa final'!$AA$27="Menor"),CONCATENATE("R3C",'Mapa final'!$O$27),"")</f>
        <v/>
      </c>
      <c r="V38" s="83" t="str">
        <f>IF(AND('Mapa final'!$Y$22="Baja",'Mapa final'!$AA$22="Moderado"),CONCATENATE("R3C",'Mapa final'!$O$22),"")</f>
        <v/>
      </c>
      <c r="W38" s="84" t="str">
        <f>IF(AND('Mapa final'!$Y$23="Baja",'Mapa final'!$AA$23="Moderado"),CONCATENATE("R3C",'Mapa final'!$O$23),"")</f>
        <v/>
      </c>
      <c r="X38" s="84" t="str">
        <f>IF(AND('Mapa final'!$Y$24="Baja",'Mapa final'!$AA$24="Moderado"),CONCATENATE("R3C",'Mapa final'!$O$24),"")</f>
        <v/>
      </c>
      <c r="Y38" s="84" t="str">
        <f>IF(AND('Mapa final'!$Y$25="Baja",'Mapa final'!$AA$25="Moderado"),CONCATENATE("R3C",'Mapa final'!$O$25),"")</f>
        <v/>
      </c>
      <c r="Z38" s="84" t="str">
        <f>IF(AND('Mapa final'!$Y$26="Baja",'Mapa final'!$AA$26="Moderado"),CONCATENATE("R3C",'Mapa final'!$O$26),"")</f>
        <v/>
      </c>
      <c r="AA38" s="85" t="str">
        <f>IF(AND('Mapa final'!$Y$27="Baja",'Mapa final'!$AA$27="Moderado"),CONCATENATE("R3C",'Mapa final'!$O$27),"")</f>
        <v/>
      </c>
      <c r="AB38" s="67" t="str">
        <f>IF(AND('Mapa final'!$Y$22="Baja",'Mapa final'!$AA$22="Mayor"),CONCATENATE("R3C",'Mapa final'!$O$22),"")</f>
        <v/>
      </c>
      <c r="AC38" s="68" t="str">
        <f>IF(AND('Mapa final'!$Y$23="Baja",'Mapa final'!$AA$23="Mayor"),CONCATENATE("R3C",'Mapa final'!$O$23),"")</f>
        <v/>
      </c>
      <c r="AD38" s="68" t="str">
        <f>IF(AND('Mapa final'!$Y$24="Baja",'Mapa final'!$AA$24="Mayor"),CONCATENATE("R3C",'Mapa final'!$O$24),"")</f>
        <v/>
      </c>
      <c r="AE38" s="68" t="str">
        <f>IF(AND('Mapa final'!$Y$25="Baja",'Mapa final'!$AA$25="Mayor"),CONCATENATE("R3C",'Mapa final'!$O$25),"")</f>
        <v/>
      </c>
      <c r="AF38" s="68" t="str">
        <f>IF(AND('Mapa final'!$Y$26="Baja",'Mapa final'!$AA$26="Mayor"),CONCATENATE("R3C",'Mapa final'!$O$26),"")</f>
        <v/>
      </c>
      <c r="AG38" s="69" t="str">
        <f>IF(AND('Mapa final'!$Y$27="Baja",'Mapa final'!$AA$27="Mayor"),CONCATENATE("R3C",'Mapa final'!$O$27),"")</f>
        <v/>
      </c>
      <c r="AH38" s="70" t="str">
        <f>IF(AND('Mapa final'!$Y$22="Baja",'Mapa final'!$AA$22="Catastrófico"),CONCATENATE("R3C",'Mapa final'!$O$22),"")</f>
        <v/>
      </c>
      <c r="AI38" s="71" t="str">
        <f>IF(AND('Mapa final'!$Y$23="Baja",'Mapa final'!$AA$23="Catastrófico"),CONCATENATE("R3C",'Mapa final'!$O$23),"")</f>
        <v/>
      </c>
      <c r="AJ38" s="71" t="str">
        <f>IF(AND('Mapa final'!$Y$24="Baja",'Mapa final'!$AA$24="Catastrófico"),CONCATENATE("R3C",'Mapa final'!$O$24),"")</f>
        <v/>
      </c>
      <c r="AK38" s="71" t="str">
        <f>IF(AND('Mapa final'!$Y$25="Baja",'Mapa final'!$AA$25="Catastrófico"),CONCATENATE("R3C",'Mapa final'!$O$25),"")</f>
        <v/>
      </c>
      <c r="AL38" s="71" t="str">
        <f>IF(AND('Mapa final'!$Y$26="Baja",'Mapa final'!$AA$26="Catastrófico"),CONCATENATE("R3C",'Mapa final'!$O$26),"")</f>
        <v/>
      </c>
      <c r="AM38" s="72" t="str">
        <f>IF(AND('Mapa final'!$Y$27="Baja",'Mapa final'!$AA$27="Catastrófico"),CONCATENATE("R3C",'Mapa final'!$O$27),"")</f>
        <v/>
      </c>
      <c r="AN38" s="99"/>
      <c r="AO38" s="415"/>
      <c r="AP38" s="416"/>
      <c r="AQ38" s="416"/>
      <c r="AR38" s="416"/>
      <c r="AS38" s="416"/>
      <c r="AT38" s="417"/>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row>
    <row r="39" spans="1:80" ht="15" customHeight="1" x14ac:dyDescent="0.25">
      <c r="A39" s="99"/>
      <c r="B39" s="342"/>
      <c r="C39" s="342"/>
      <c r="D39" s="343"/>
      <c r="E39" s="383"/>
      <c r="F39" s="384"/>
      <c r="G39" s="384"/>
      <c r="H39" s="384"/>
      <c r="I39" s="400"/>
      <c r="J39" s="92" t="str">
        <f>IF(AND('Mapa final'!$Y$28="Baja",'Mapa final'!$AA$28="Leve"),CONCATENATE("R4C",'Mapa final'!$O$28),"")</f>
        <v>R4C1</v>
      </c>
      <c r="K39" s="93" t="str">
        <f>IF(AND('Mapa final'!$Y$29="Baja",'Mapa final'!$AA$29="Leve"),CONCATENATE("R4C",'Mapa final'!$O$29),"")</f>
        <v>R4C2</v>
      </c>
      <c r="L39" s="93" t="str">
        <f>IF(AND('Mapa final'!$Y$30="Baja",'Mapa final'!$AA$30="Leve"),CONCATENATE("R4C",'Mapa final'!$O$30),"")</f>
        <v/>
      </c>
      <c r="M39" s="93" t="str">
        <f>IF(AND('Mapa final'!$Y$31="Baja",'Mapa final'!$AA$31="Leve"),CONCATENATE("R4C",'Mapa final'!$O$31),"")</f>
        <v/>
      </c>
      <c r="N39" s="93" t="str">
        <f>IF(AND('Mapa final'!$Y$32="Baja",'Mapa final'!$AA$32="Leve"),CONCATENATE("R4C",'Mapa final'!$O$32),"")</f>
        <v/>
      </c>
      <c r="O39" s="94" t="str">
        <f>IF(AND('Mapa final'!$Y$33="Baja",'Mapa final'!$AA$33="Leve"),CONCATENATE("R4C",'Mapa final'!$O$33),"")</f>
        <v/>
      </c>
      <c r="P39" s="83" t="str">
        <f>IF(AND('Mapa final'!$Y$28="Baja",'Mapa final'!$AA$28="Menor"),CONCATENATE("R4C",'Mapa final'!$O$28),"")</f>
        <v/>
      </c>
      <c r="Q39" s="84" t="str">
        <f>IF(AND('Mapa final'!$Y$29="Baja",'Mapa final'!$AA$29="Menor"),CONCATENATE("R4C",'Mapa final'!$O$29),"")</f>
        <v/>
      </c>
      <c r="R39" s="84" t="str">
        <f>IF(AND('Mapa final'!$Y$30="Baja",'Mapa final'!$AA$30="Menor"),CONCATENATE("R4C",'Mapa final'!$O$30),"")</f>
        <v/>
      </c>
      <c r="S39" s="84" t="str">
        <f>IF(AND('Mapa final'!$Y$31="Baja",'Mapa final'!$AA$31="Menor"),CONCATENATE("R4C",'Mapa final'!$O$31),"")</f>
        <v/>
      </c>
      <c r="T39" s="84" t="str">
        <f>IF(AND('Mapa final'!$Y$32="Baja",'Mapa final'!$AA$32="Menor"),CONCATENATE("R4C",'Mapa final'!$O$32),"")</f>
        <v/>
      </c>
      <c r="U39" s="85" t="str">
        <f>IF(AND('Mapa final'!$Y$33="Baja",'Mapa final'!$AA$33="Menor"),CONCATENATE("R4C",'Mapa final'!$O$33),"")</f>
        <v/>
      </c>
      <c r="V39" s="83" t="str">
        <f>IF(AND('Mapa final'!$Y$28="Baja",'Mapa final'!$AA$28="Moderado"),CONCATENATE("R4C",'Mapa final'!$O$28),"")</f>
        <v/>
      </c>
      <c r="W39" s="84" t="str">
        <f>IF(AND('Mapa final'!$Y$29="Baja",'Mapa final'!$AA$29="Moderado"),CONCATENATE("R4C",'Mapa final'!$O$29),"")</f>
        <v/>
      </c>
      <c r="X39" s="84" t="str">
        <f>IF(AND('Mapa final'!$Y$30="Baja",'Mapa final'!$AA$30="Moderado"),CONCATENATE("R4C",'Mapa final'!$O$30),"")</f>
        <v/>
      </c>
      <c r="Y39" s="84" t="str">
        <f>IF(AND('Mapa final'!$Y$31="Baja",'Mapa final'!$AA$31="Moderado"),CONCATENATE("R4C",'Mapa final'!$O$31),"")</f>
        <v/>
      </c>
      <c r="Z39" s="84" t="str">
        <f>IF(AND('Mapa final'!$Y$32="Baja",'Mapa final'!$AA$32="Moderado"),CONCATENATE("R4C",'Mapa final'!$O$32),"")</f>
        <v/>
      </c>
      <c r="AA39" s="85" t="str">
        <f>IF(AND('Mapa final'!$Y$33="Baja",'Mapa final'!$AA$33="Moderado"),CONCATENATE("R4C",'Mapa final'!$O$33),"")</f>
        <v/>
      </c>
      <c r="AB39" s="67" t="str">
        <f>IF(AND('Mapa final'!$Y$28="Baja",'Mapa final'!$AA$28="Mayor"),CONCATENATE("R4C",'Mapa final'!$O$28),"")</f>
        <v/>
      </c>
      <c r="AC39" s="68" t="str">
        <f>IF(AND('Mapa final'!$Y$29="Baja",'Mapa final'!$AA$29="Mayor"),CONCATENATE("R4C",'Mapa final'!$O$29),"")</f>
        <v/>
      </c>
      <c r="AD39" s="68" t="str">
        <f>IF(AND('Mapa final'!$Y$30="Baja",'Mapa final'!$AA$30="Mayor"),CONCATENATE("R4C",'Mapa final'!$O$30),"")</f>
        <v/>
      </c>
      <c r="AE39" s="68" t="str">
        <f>IF(AND('Mapa final'!$Y$31="Baja",'Mapa final'!$AA$31="Mayor"),CONCATENATE("R4C",'Mapa final'!$O$31),"")</f>
        <v/>
      </c>
      <c r="AF39" s="68" t="str">
        <f>IF(AND('Mapa final'!$Y$32="Baja",'Mapa final'!$AA$32="Mayor"),CONCATENATE("R4C",'Mapa final'!$O$32),"")</f>
        <v/>
      </c>
      <c r="AG39" s="69" t="str">
        <f>IF(AND('Mapa final'!$Y$33="Baja",'Mapa final'!$AA$33="Mayor"),CONCATENATE("R4C",'Mapa final'!$O$33),"")</f>
        <v/>
      </c>
      <c r="AH39" s="70" t="str">
        <f>IF(AND('Mapa final'!$Y$28="Baja",'Mapa final'!$AA$28="Catastrófico"),CONCATENATE("R4C",'Mapa final'!$O$28),"")</f>
        <v/>
      </c>
      <c r="AI39" s="71" t="str">
        <f>IF(AND('Mapa final'!$Y$29="Baja",'Mapa final'!$AA$29="Catastrófico"),CONCATENATE("R4C",'Mapa final'!$O$29),"")</f>
        <v/>
      </c>
      <c r="AJ39" s="71" t="str">
        <f>IF(AND('Mapa final'!$Y$30="Baja",'Mapa final'!$AA$30="Catastrófico"),CONCATENATE("R4C",'Mapa final'!$O$30),"")</f>
        <v/>
      </c>
      <c r="AK39" s="71" t="str">
        <f>IF(AND('Mapa final'!$Y$31="Baja",'Mapa final'!$AA$31="Catastrófico"),CONCATENATE("R4C",'Mapa final'!$O$31),"")</f>
        <v/>
      </c>
      <c r="AL39" s="71" t="str">
        <f>IF(AND('Mapa final'!$Y$32="Baja",'Mapa final'!$AA$32="Catastrófico"),CONCATENATE("R4C",'Mapa final'!$O$32),"")</f>
        <v/>
      </c>
      <c r="AM39" s="72" t="str">
        <f>IF(AND('Mapa final'!$Y$33="Baja",'Mapa final'!$AA$33="Catastrófico"),CONCATENATE("R4C",'Mapa final'!$O$33),"")</f>
        <v/>
      </c>
      <c r="AN39" s="99"/>
      <c r="AO39" s="415"/>
      <c r="AP39" s="416"/>
      <c r="AQ39" s="416"/>
      <c r="AR39" s="416"/>
      <c r="AS39" s="416"/>
      <c r="AT39" s="417"/>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row>
    <row r="40" spans="1:80" ht="15" customHeight="1" x14ac:dyDescent="0.25">
      <c r="A40" s="99"/>
      <c r="B40" s="342"/>
      <c r="C40" s="342"/>
      <c r="D40" s="343"/>
      <c r="E40" s="383"/>
      <c r="F40" s="384"/>
      <c r="G40" s="384"/>
      <c r="H40" s="384"/>
      <c r="I40" s="400"/>
      <c r="J40" s="92" t="str">
        <f>IF(AND('Mapa final'!$Y$34="Baja",'Mapa final'!$AA$34="Leve"),CONCATENATE("R5C",'Mapa final'!$O$34),"")</f>
        <v/>
      </c>
      <c r="K40" s="93" t="str">
        <f>IF(AND('Mapa final'!$Y$35="Baja",'Mapa final'!$AA$35="Leve"),CONCATENATE("R5C",'Mapa final'!$O$35),"")</f>
        <v/>
      </c>
      <c r="L40" s="93" t="str">
        <f>IF(AND('Mapa final'!$Y$36="Baja",'Mapa final'!$AA$36="Leve"),CONCATENATE("R5C",'Mapa final'!$O$36),"")</f>
        <v/>
      </c>
      <c r="M40" s="93" t="str">
        <f>IF(AND('Mapa final'!$Y$37="Baja",'Mapa final'!$AA$37="Leve"),CONCATENATE("R5C",'Mapa final'!$O$37),"")</f>
        <v/>
      </c>
      <c r="N40" s="93" t="str">
        <f>IF(AND('Mapa final'!$Y$38="Baja",'Mapa final'!$AA$38="Leve"),CONCATENATE("R5C",'Mapa final'!$O$38),"")</f>
        <v/>
      </c>
      <c r="O40" s="94" t="str">
        <f>IF(AND('Mapa final'!$Y$39="Baja",'Mapa final'!$AA$39="Leve"),CONCATENATE("R5C",'Mapa final'!$O$39),"")</f>
        <v/>
      </c>
      <c r="P40" s="83" t="str">
        <f>IF(AND('Mapa final'!$Y$34="Baja",'Mapa final'!$AA$34="Menor"),CONCATENATE("R5C",'Mapa final'!$O$34),"")</f>
        <v/>
      </c>
      <c r="Q40" s="84" t="str">
        <f>IF(AND('Mapa final'!$Y$35="Baja",'Mapa final'!$AA$35="Menor"),CONCATENATE("R5C",'Mapa final'!$O$35),"")</f>
        <v/>
      </c>
      <c r="R40" s="84" t="str">
        <f>IF(AND('Mapa final'!$Y$36="Baja",'Mapa final'!$AA$36="Menor"),CONCATENATE("R5C",'Mapa final'!$O$36),"")</f>
        <v/>
      </c>
      <c r="S40" s="84" t="str">
        <f>IF(AND('Mapa final'!$Y$37="Baja",'Mapa final'!$AA$37="Menor"),CONCATENATE("R5C",'Mapa final'!$O$37),"")</f>
        <v/>
      </c>
      <c r="T40" s="84" t="str">
        <f>IF(AND('Mapa final'!$Y$38="Baja",'Mapa final'!$AA$38="Menor"),CONCATENATE("R5C",'Mapa final'!$O$38),"")</f>
        <v/>
      </c>
      <c r="U40" s="85" t="str">
        <f>IF(AND('Mapa final'!$Y$39="Baja",'Mapa final'!$AA$39="Menor"),CONCATENATE("R5C",'Mapa final'!$O$39),"")</f>
        <v/>
      </c>
      <c r="V40" s="83" t="str">
        <f>IF(AND('Mapa final'!$Y$34="Baja",'Mapa final'!$AA$34="Moderado"),CONCATENATE("R5C",'Mapa final'!$O$34),"")</f>
        <v/>
      </c>
      <c r="W40" s="84" t="str">
        <f>IF(AND('Mapa final'!$Y$35="Baja",'Mapa final'!$AA$35="Moderado"),CONCATENATE("R5C",'Mapa final'!$O$35),"")</f>
        <v/>
      </c>
      <c r="X40" s="84" t="str">
        <f>IF(AND('Mapa final'!$Y$36="Baja",'Mapa final'!$AA$36="Moderado"),CONCATENATE("R5C",'Mapa final'!$O$36),"")</f>
        <v/>
      </c>
      <c r="Y40" s="84" t="str">
        <f>IF(AND('Mapa final'!$Y$37="Baja",'Mapa final'!$AA$37="Moderado"),CONCATENATE("R5C",'Mapa final'!$O$37),"")</f>
        <v/>
      </c>
      <c r="Z40" s="84" t="str">
        <f>IF(AND('Mapa final'!$Y$38="Baja",'Mapa final'!$AA$38="Moderado"),CONCATENATE("R5C",'Mapa final'!$O$38),"")</f>
        <v/>
      </c>
      <c r="AA40" s="85" t="str">
        <f>IF(AND('Mapa final'!$Y$39="Baja",'Mapa final'!$AA$39="Moderado"),CONCATENATE("R5C",'Mapa final'!$O$39),"")</f>
        <v/>
      </c>
      <c r="AB40" s="67" t="str">
        <f>IF(AND('Mapa final'!$Y$34="Baja",'Mapa final'!$AA$34="Mayor"),CONCATENATE("R5C",'Mapa final'!$O$34),"")</f>
        <v/>
      </c>
      <c r="AC40" s="68" t="str">
        <f>IF(AND('Mapa final'!$Y$35="Baja",'Mapa final'!$AA$35="Mayor"),CONCATENATE("R5C",'Mapa final'!$O$35),"")</f>
        <v/>
      </c>
      <c r="AD40" s="73" t="str">
        <f>IF(AND('Mapa final'!$Y$36="Baja",'Mapa final'!$AA$36="Mayor"),CONCATENATE("R5C",'Mapa final'!$O$36),"")</f>
        <v/>
      </c>
      <c r="AE40" s="73" t="str">
        <f>IF(AND('Mapa final'!$Y$37="Baja",'Mapa final'!$AA$37="Mayor"),CONCATENATE("R5C",'Mapa final'!$O$37),"")</f>
        <v/>
      </c>
      <c r="AF40" s="73" t="str">
        <f>IF(AND('Mapa final'!$Y$38="Baja",'Mapa final'!$AA$38="Mayor"),CONCATENATE("R5C",'Mapa final'!$O$38),"")</f>
        <v/>
      </c>
      <c r="AG40" s="69" t="str">
        <f>IF(AND('Mapa final'!$Y$39="Baja",'Mapa final'!$AA$39="Mayor"),CONCATENATE("R5C",'Mapa final'!$O$39),"")</f>
        <v/>
      </c>
      <c r="AH40" s="70" t="str">
        <f>IF(AND('Mapa final'!$Y$34="Baja",'Mapa final'!$AA$34="Catastrófico"),CONCATENATE("R5C",'Mapa final'!$O$34),"")</f>
        <v/>
      </c>
      <c r="AI40" s="71" t="str">
        <f>IF(AND('Mapa final'!$Y$35="Baja",'Mapa final'!$AA$35="Catastrófico"),CONCATENATE("R5C",'Mapa final'!$O$35),"")</f>
        <v/>
      </c>
      <c r="AJ40" s="71" t="str">
        <f>IF(AND('Mapa final'!$Y$36="Baja",'Mapa final'!$AA$36="Catastrófico"),CONCATENATE("R5C",'Mapa final'!$O$36),"")</f>
        <v/>
      </c>
      <c r="AK40" s="71" t="str">
        <f>IF(AND('Mapa final'!$Y$37="Baja",'Mapa final'!$AA$37="Catastrófico"),CONCATENATE("R5C",'Mapa final'!$O$37),"")</f>
        <v/>
      </c>
      <c r="AL40" s="71" t="str">
        <f>IF(AND('Mapa final'!$Y$38="Baja",'Mapa final'!$AA$38="Catastrófico"),CONCATENATE("R5C",'Mapa final'!$O$38),"")</f>
        <v/>
      </c>
      <c r="AM40" s="72" t="str">
        <f>IF(AND('Mapa final'!$Y$39="Baja",'Mapa final'!$AA$39="Catastrófico"),CONCATENATE("R5C",'Mapa final'!$O$39),"")</f>
        <v/>
      </c>
      <c r="AN40" s="99"/>
      <c r="AO40" s="415"/>
      <c r="AP40" s="416"/>
      <c r="AQ40" s="416"/>
      <c r="AR40" s="416"/>
      <c r="AS40" s="416"/>
      <c r="AT40" s="417"/>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row>
    <row r="41" spans="1:80" ht="15" customHeight="1" x14ac:dyDescent="0.25">
      <c r="A41" s="99"/>
      <c r="B41" s="342"/>
      <c r="C41" s="342"/>
      <c r="D41" s="343"/>
      <c r="E41" s="383"/>
      <c r="F41" s="384"/>
      <c r="G41" s="384"/>
      <c r="H41" s="384"/>
      <c r="I41" s="400"/>
      <c r="J41" s="92" t="str">
        <f>IF(AND('Mapa final'!$Y$40="Baja",'Mapa final'!$AA$40="Leve"),CONCATENATE("R6C",'Mapa final'!$O$40),"")</f>
        <v/>
      </c>
      <c r="K41" s="93" t="str">
        <f>IF(AND('Mapa final'!$Y$41="Baja",'Mapa final'!$AA$41="Leve"),CONCATENATE("R6C",'Mapa final'!$O$41),"")</f>
        <v/>
      </c>
      <c r="L41" s="93" t="str">
        <f>IF(AND('Mapa final'!$Y$42="Baja",'Mapa final'!$AA$42="Leve"),CONCATENATE("R6C",'Mapa final'!$O$42),"")</f>
        <v/>
      </c>
      <c r="M41" s="93" t="str">
        <f>IF(AND('Mapa final'!$Y$43="Baja",'Mapa final'!$AA$43="Leve"),CONCATENATE("R6C",'Mapa final'!$O$43),"")</f>
        <v/>
      </c>
      <c r="N41" s="93" t="str">
        <f>IF(AND('Mapa final'!$Y$44="Baja",'Mapa final'!$AA$44="Leve"),CONCATENATE("R6C",'Mapa final'!$O$44),"")</f>
        <v/>
      </c>
      <c r="O41" s="94" t="str">
        <f>IF(AND('Mapa final'!$Y$45="Baja",'Mapa final'!$AA$45="Leve"),CONCATENATE("R6C",'Mapa final'!$O$45),"")</f>
        <v/>
      </c>
      <c r="P41" s="83" t="str">
        <f>IF(AND('Mapa final'!$Y$40="Baja",'Mapa final'!$AA$40="Menor"),CONCATENATE("R6C",'Mapa final'!$O$40),"")</f>
        <v/>
      </c>
      <c r="Q41" s="84" t="str">
        <f>IF(AND('Mapa final'!$Y$41="Baja",'Mapa final'!$AA$41="Menor"),CONCATENATE("R6C",'Mapa final'!$O$41),"")</f>
        <v/>
      </c>
      <c r="R41" s="84" t="str">
        <f>IF(AND('Mapa final'!$Y$42="Baja",'Mapa final'!$AA$42="Menor"),CONCATENATE("R6C",'Mapa final'!$O$42),"")</f>
        <v/>
      </c>
      <c r="S41" s="84" t="str">
        <f>IF(AND('Mapa final'!$Y$43="Baja",'Mapa final'!$AA$43="Menor"),CONCATENATE("R6C",'Mapa final'!$O$43),"")</f>
        <v/>
      </c>
      <c r="T41" s="84" t="str">
        <f>IF(AND('Mapa final'!$Y$44="Baja",'Mapa final'!$AA$44="Menor"),CONCATENATE("R6C",'Mapa final'!$O$44),"")</f>
        <v/>
      </c>
      <c r="U41" s="85" t="str">
        <f>IF(AND('Mapa final'!$Y$45="Baja",'Mapa final'!$AA$45="Menor"),CONCATENATE("R6C",'Mapa final'!$O$45),"")</f>
        <v/>
      </c>
      <c r="V41" s="83" t="str">
        <f>IF(AND('Mapa final'!$Y$40="Baja",'Mapa final'!$AA$40="Moderado"),CONCATENATE("R6C",'Mapa final'!$O$40),"")</f>
        <v/>
      </c>
      <c r="W41" s="84" t="str">
        <f>IF(AND('Mapa final'!$Y$41="Baja",'Mapa final'!$AA$41="Moderado"),CONCATENATE("R6C",'Mapa final'!$O$41),"")</f>
        <v/>
      </c>
      <c r="X41" s="84" t="str">
        <f>IF(AND('Mapa final'!$Y$42="Baja",'Mapa final'!$AA$42="Moderado"),CONCATENATE("R6C",'Mapa final'!$O$42),"")</f>
        <v/>
      </c>
      <c r="Y41" s="84" t="str">
        <f>IF(AND('Mapa final'!$Y$43="Baja",'Mapa final'!$AA$43="Moderado"),CONCATENATE("R6C",'Mapa final'!$O$43),"")</f>
        <v/>
      </c>
      <c r="Z41" s="84" t="str">
        <f>IF(AND('Mapa final'!$Y$44="Baja",'Mapa final'!$AA$44="Moderado"),CONCATENATE("R6C",'Mapa final'!$O$44),"")</f>
        <v/>
      </c>
      <c r="AA41" s="85" t="str">
        <f>IF(AND('Mapa final'!$Y$45="Baja",'Mapa final'!$AA$45="Moderado"),CONCATENATE("R6C",'Mapa final'!$O$45),"")</f>
        <v/>
      </c>
      <c r="AB41" s="67" t="str">
        <f>IF(AND('Mapa final'!$Y$40="Baja",'Mapa final'!$AA$40="Mayor"),CONCATENATE("R6C",'Mapa final'!$O$40),"")</f>
        <v/>
      </c>
      <c r="AC41" s="68" t="str">
        <f>IF(AND('Mapa final'!$Y$41="Baja",'Mapa final'!$AA$41="Mayor"),CONCATENATE("R6C",'Mapa final'!$O$41),"")</f>
        <v/>
      </c>
      <c r="AD41" s="73" t="str">
        <f>IF(AND('Mapa final'!$Y$42="Baja",'Mapa final'!$AA$42="Mayor"),CONCATENATE("R6C",'Mapa final'!$O$42),"")</f>
        <v/>
      </c>
      <c r="AE41" s="73" t="str">
        <f>IF(AND('Mapa final'!$Y$43="Baja",'Mapa final'!$AA$43="Mayor"),CONCATENATE("R6C",'Mapa final'!$O$43),"")</f>
        <v/>
      </c>
      <c r="AF41" s="73" t="str">
        <f>IF(AND('Mapa final'!$Y$44="Baja",'Mapa final'!$AA$44="Mayor"),CONCATENATE("R6C",'Mapa final'!$O$44),"")</f>
        <v/>
      </c>
      <c r="AG41" s="69" t="str">
        <f>IF(AND('Mapa final'!$Y$45="Baja",'Mapa final'!$AA$45="Mayor"),CONCATENATE("R6C",'Mapa final'!$O$45),"")</f>
        <v/>
      </c>
      <c r="AH41" s="70" t="str">
        <f>IF(AND('Mapa final'!$Y$40="Baja",'Mapa final'!$AA$40="Catastrófico"),CONCATENATE("R6C",'Mapa final'!$O$40),"")</f>
        <v/>
      </c>
      <c r="AI41" s="71" t="str">
        <f>IF(AND('Mapa final'!$Y$41="Baja",'Mapa final'!$AA$41="Catastrófico"),CONCATENATE("R6C",'Mapa final'!$O$41),"")</f>
        <v/>
      </c>
      <c r="AJ41" s="71" t="str">
        <f>IF(AND('Mapa final'!$Y$42="Baja",'Mapa final'!$AA$42="Catastrófico"),CONCATENATE("R6C",'Mapa final'!$O$42),"")</f>
        <v/>
      </c>
      <c r="AK41" s="71" t="str">
        <f>IF(AND('Mapa final'!$Y$43="Baja",'Mapa final'!$AA$43="Catastrófico"),CONCATENATE("R6C",'Mapa final'!$O$43),"")</f>
        <v/>
      </c>
      <c r="AL41" s="71" t="str">
        <f>IF(AND('Mapa final'!$Y$44="Baja",'Mapa final'!$AA$44="Catastrófico"),CONCATENATE("R6C",'Mapa final'!$O$44),"")</f>
        <v/>
      </c>
      <c r="AM41" s="72" t="str">
        <f>IF(AND('Mapa final'!$Y$45="Baja",'Mapa final'!$AA$45="Catastrófico"),CONCATENATE("R6C",'Mapa final'!$O$45),"")</f>
        <v/>
      </c>
      <c r="AN41" s="99"/>
      <c r="AO41" s="415"/>
      <c r="AP41" s="416"/>
      <c r="AQ41" s="416"/>
      <c r="AR41" s="416"/>
      <c r="AS41" s="416"/>
      <c r="AT41" s="417"/>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row>
    <row r="42" spans="1:80" ht="15" customHeight="1" x14ac:dyDescent="0.25">
      <c r="A42" s="99"/>
      <c r="B42" s="342"/>
      <c r="C42" s="342"/>
      <c r="D42" s="343"/>
      <c r="E42" s="383"/>
      <c r="F42" s="384"/>
      <c r="G42" s="384"/>
      <c r="H42" s="384"/>
      <c r="I42" s="400"/>
      <c r="J42" s="92" t="str">
        <f>IF(AND('Mapa final'!$Y$46="Baja",'Mapa final'!$AA$46="Leve"),CONCATENATE("R7C",'Mapa final'!$O$46),"")</f>
        <v/>
      </c>
      <c r="K42" s="93" t="str">
        <f>IF(AND('Mapa final'!$Y$47="Baja",'Mapa final'!$AA$47="Leve"),CONCATENATE("R7C",'Mapa final'!$O$47),"")</f>
        <v/>
      </c>
      <c r="L42" s="93" t="str">
        <f>IF(AND('Mapa final'!$Y$48="Baja",'Mapa final'!$AA$48="Leve"),CONCATENATE("R7C",'Mapa final'!$O$48),"")</f>
        <v/>
      </c>
      <c r="M42" s="93" t="str">
        <f>IF(AND('Mapa final'!$Y$49="Baja",'Mapa final'!$AA$49="Leve"),CONCATENATE("R7C",'Mapa final'!$O$49),"")</f>
        <v/>
      </c>
      <c r="N42" s="93" t="str">
        <f>IF(AND('Mapa final'!$Y$50="Baja",'Mapa final'!$AA$50="Leve"),CONCATENATE("R7C",'Mapa final'!$O$50),"")</f>
        <v/>
      </c>
      <c r="O42" s="94" t="str">
        <f>IF(AND('Mapa final'!$Y$51="Baja",'Mapa final'!$AA$51="Leve"),CONCATENATE("R7C",'Mapa final'!$O$51),"")</f>
        <v/>
      </c>
      <c r="P42" s="83" t="str">
        <f>IF(AND('Mapa final'!$Y$46="Baja",'Mapa final'!$AA$46="Menor"),CONCATENATE("R7C",'Mapa final'!$O$46),"")</f>
        <v/>
      </c>
      <c r="Q42" s="84" t="str">
        <f>IF(AND('Mapa final'!$Y$47="Baja",'Mapa final'!$AA$47="Menor"),CONCATENATE("R7C",'Mapa final'!$O$47),"")</f>
        <v/>
      </c>
      <c r="R42" s="84" t="str">
        <f>IF(AND('Mapa final'!$Y$48="Baja",'Mapa final'!$AA$48="Menor"),CONCATENATE("R7C",'Mapa final'!$O$48),"")</f>
        <v/>
      </c>
      <c r="S42" s="84" t="str">
        <f>IF(AND('Mapa final'!$Y$49="Baja",'Mapa final'!$AA$49="Menor"),CONCATENATE("R7C",'Mapa final'!$O$49),"")</f>
        <v/>
      </c>
      <c r="T42" s="84" t="str">
        <f>IF(AND('Mapa final'!$Y$50="Baja",'Mapa final'!$AA$50="Menor"),CONCATENATE("R7C",'Mapa final'!$O$50),"")</f>
        <v/>
      </c>
      <c r="U42" s="85" t="str">
        <f>IF(AND('Mapa final'!$Y$51="Baja",'Mapa final'!$AA$51="Menor"),CONCATENATE("R7C",'Mapa final'!$O$51),"")</f>
        <v/>
      </c>
      <c r="V42" s="83" t="str">
        <f>IF(AND('Mapa final'!$Y$46="Baja",'Mapa final'!$AA$46="Moderado"),CONCATENATE("R7C",'Mapa final'!$O$46),"")</f>
        <v/>
      </c>
      <c r="W42" s="84" t="str">
        <f>IF(AND('Mapa final'!$Y$47="Baja",'Mapa final'!$AA$47="Moderado"),CONCATENATE("R7C",'Mapa final'!$O$47),"")</f>
        <v/>
      </c>
      <c r="X42" s="84" t="str">
        <f>IF(AND('Mapa final'!$Y$48="Baja",'Mapa final'!$AA$48="Moderado"),CONCATENATE("R7C",'Mapa final'!$O$48),"")</f>
        <v>R7C3</v>
      </c>
      <c r="Y42" s="84" t="str">
        <f>IF(AND('Mapa final'!$Y$49="Baja",'Mapa final'!$AA$49="Moderado"),CONCATENATE("R7C",'Mapa final'!$O$49),"")</f>
        <v/>
      </c>
      <c r="Z42" s="84" t="str">
        <f>IF(AND('Mapa final'!$Y$50="Baja",'Mapa final'!$AA$50="Moderado"),CONCATENATE("R7C",'Mapa final'!$O$50),"")</f>
        <v/>
      </c>
      <c r="AA42" s="85" t="str">
        <f>IF(AND('Mapa final'!$Y$51="Baja",'Mapa final'!$AA$51="Moderado"),CONCATENATE("R7C",'Mapa final'!$O$51),"")</f>
        <v/>
      </c>
      <c r="AB42" s="67" t="str">
        <f>IF(AND('Mapa final'!$Y$46="Baja",'Mapa final'!$AA$46="Mayor"),CONCATENATE("R7C",'Mapa final'!$O$46),"")</f>
        <v>R7C1</v>
      </c>
      <c r="AC42" s="68" t="str">
        <f>IF(AND('Mapa final'!$Y$47="Baja",'Mapa final'!$AA$47="Mayor"),CONCATENATE("R7C",'Mapa final'!$O$47),"")</f>
        <v/>
      </c>
      <c r="AD42" s="73" t="str">
        <f>IF(AND('Mapa final'!$Y$48="Baja",'Mapa final'!$AA$48="Mayor"),CONCATENATE("R7C",'Mapa final'!$O$48),"")</f>
        <v/>
      </c>
      <c r="AE42" s="73" t="str">
        <f>IF(AND('Mapa final'!$Y$49="Baja",'Mapa final'!$AA$49="Mayor"),CONCATENATE("R7C",'Mapa final'!$O$49),"")</f>
        <v/>
      </c>
      <c r="AF42" s="73" t="str">
        <f>IF(AND('Mapa final'!$Y$50="Baja",'Mapa final'!$AA$50="Mayor"),CONCATENATE("R7C",'Mapa final'!$O$50),"")</f>
        <v/>
      </c>
      <c r="AG42" s="69" t="str">
        <f>IF(AND('Mapa final'!$Y$51="Baja",'Mapa final'!$AA$51="Mayor"),CONCATENATE("R7C",'Mapa final'!$O$51),"")</f>
        <v/>
      </c>
      <c r="AH42" s="70" t="str">
        <f>IF(AND('Mapa final'!$Y$46="Baja",'Mapa final'!$AA$46="Catastrófico"),CONCATENATE("R7C",'Mapa final'!$O$46),"")</f>
        <v/>
      </c>
      <c r="AI42" s="71" t="str">
        <f>IF(AND('Mapa final'!$Y$47="Baja",'Mapa final'!$AA$47="Catastrófico"),CONCATENATE("R7C",'Mapa final'!$O$47),"")</f>
        <v/>
      </c>
      <c r="AJ42" s="71" t="str">
        <f>IF(AND('Mapa final'!$Y$48="Baja",'Mapa final'!$AA$48="Catastrófico"),CONCATENATE("R7C",'Mapa final'!$O$48),"")</f>
        <v/>
      </c>
      <c r="AK42" s="71" t="str">
        <f>IF(AND('Mapa final'!$Y$49="Baja",'Mapa final'!$AA$49="Catastrófico"),CONCATENATE("R7C",'Mapa final'!$O$49),"")</f>
        <v/>
      </c>
      <c r="AL42" s="71" t="str">
        <f>IF(AND('Mapa final'!$Y$50="Baja",'Mapa final'!$AA$50="Catastrófico"),CONCATENATE("R7C",'Mapa final'!$O$50),"")</f>
        <v/>
      </c>
      <c r="AM42" s="72" t="str">
        <f>IF(AND('Mapa final'!$Y$51="Baja",'Mapa final'!$AA$51="Catastrófico"),CONCATENATE("R7C",'Mapa final'!$O$51),"")</f>
        <v/>
      </c>
      <c r="AN42" s="99"/>
      <c r="AO42" s="415"/>
      <c r="AP42" s="416"/>
      <c r="AQ42" s="416"/>
      <c r="AR42" s="416"/>
      <c r="AS42" s="416"/>
      <c r="AT42" s="417"/>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row>
    <row r="43" spans="1:80" ht="15" customHeight="1" x14ac:dyDescent="0.25">
      <c r="A43" s="99"/>
      <c r="B43" s="342"/>
      <c r="C43" s="342"/>
      <c r="D43" s="343"/>
      <c r="E43" s="383"/>
      <c r="F43" s="384"/>
      <c r="G43" s="384"/>
      <c r="H43" s="384"/>
      <c r="I43" s="400"/>
      <c r="J43" s="92" t="str">
        <f>IF(AND('Mapa final'!$Y$52="Baja",'Mapa final'!$AA$52="Leve"),CONCATENATE("R8C",'Mapa final'!$O$52),"")</f>
        <v/>
      </c>
      <c r="K43" s="93" t="str">
        <f>IF(AND('Mapa final'!$Y$53="Baja",'Mapa final'!$AA$53="Leve"),CONCATENATE("R8C",'Mapa final'!$O$53),"")</f>
        <v/>
      </c>
      <c r="L43" s="93" t="str">
        <f>IF(AND('Mapa final'!$Y$54="Baja",'Mapa final'!$AA$54="Leve"),CONCATENATE("R8C",'Mapa final'!$O$54),"")</f>
        <v/>
      </c>
      <c r="M43" s="93" t="str">
        <f>IF(AND('Mapa final'!$Y$55="Baja",'Mapa final'!$AA$55="Leve"),CONCATENATE("R8C",'Mapa final'!$O$55),"")</f>
        <v/>
      </c>
      <c r="N43" s="93" t="str">
        <f>IF(AND('Mapa final'!$Y$56="Baja",'Mapa final'!$AA$56="Leve"),CONCATENATE("R8C",'Mapa final'!$O$56),"")</f>
        <v/>
      </c>
      <c r="O43" s="94" t="str">
        <f>IF(AND('Mapa final'!$Y$57="Baja",'Mapa final'!$AA$57="Leve"),CONCATENATE("R8C",'Mapa final'!$O$57),"")</f>
        <v/>
      </c>
      <c r="P43" s="83" t="str">
        <f>IF(AND('Mapa final'!$Y$52="Baja",'Mapa final'!$AA$52="Menor"),CONCATENATE("R8C",'Mapa final'!$O$52),"")</f>
        <v/>
      </c>
      <c r="Q43" s="84" t="str">
        <f>IF(AND('Mapa final'!$Y$53="Baja",'Mapa final'!$AA$53="Menor"),CONCATENATE("R8C",'Mapa final'!$O$53),"")</f>
        <v/>
      </c>
      <c r="R43" s="84" t="str">
        <f>IF(AND('Mapa final'!$Y$54="Baja",'Mapa final'!$AA$54="Menor"),CONCATENATE("R8C",'Mapa final'!$O$54),"")</f>
        <v/>
      </c>
      <c r="S43" s="84" t="str">
        <f>IF(AND('Mapa final'!$Y$55="Baja",'Mapa final'!$AA$55="Menor"),CONCATENATE("R8C",'Mapa final'!$O$55),"")</f>
        <v/>
      </c>
      <c r="T43" s="84" t="str">
        <f>IF(AND('Mapa final'!$Y$56="Baja",'Mapa final'!$AA$56="Menor"),CONCATENATE("R8C",'Mapa final'!$O$56),"")</f>
        <v/>
      </c>
      <c r="U43" s="85" t="str">
        <f>IF(AND('Mapa final'!$Y$57="Baja",'Mapa final'!$AA$57="Menor"),CONCATENATE("R8C",'Mapa final'!$O$57),"")</f>
        <v/>
      </c>
      <c r="V43" s="83" t="str">
        <f>IF(AND('Mapa final'!$Y$52="Baja",'Mapa final'!$AA$52="Moderado"),CONCATENATE("R8C",'Mapa final'!$O$52),"")</f>
        <v/>
      </c>
      <c r="W43" s="84" t="str">
        <f>IF(AND('Mapa final'!$Y$53="Baja",'Mapa final'!$AA$53="Moderado"),CONCATENATE("R8C",'Mapa final'!$O$53),"")</f>
        <v/>
      </c>
      <c r="X43" s="84" t="str">
        <f>IF(AND('Mapa final'!$Y$54="Baja",'Mapa final'!$AA$54="Moderado"),CONCATENATE("R8C",'Mapa final'!$O$54),"")</f>
        <v/>
      </c>
      <c r="Y43" s="84" t="str">
        <f>IF(AND('Mapa final'!$Y$55="Baja",'Mapa final'!$AA$55="Moderado"),CONCATENATE("R8C",'Mapa final'!$O$55),"")</f>
        <v/>
      </c>
      <c r="Z43" s="84" t="str">
        <f>IF(AND('Mapa final'!$Y$56="Baja",'Mapa final'!$AA$56="Moderado"),CONCATENATE("R8C",'Mapa final'!$O$56),"")</f>
        <v/>
      </c>
      <c r="AA43" s="85" t="str">
        <f>IF(AND('Mapa final'!$Y$57="Baja",'Mapa final'!$AA$57="Moderado"),CONCATENATE("R8C",'Mapa final'!$O$57),"")</f>
        <v/>
      </c>
      <c r="AB43" s="67" t="str">
        <f>IF(AND('Mapa final'!$Y$52="Baja",'Mapa final'!$AA$52="Mayor"),CONCATENATE("R8C",'Mapa final'!$O$52),"")</f>
        <v>R8C1</v>
      </c>
      <c r="AC43" s="68" t="str">
        <f>IF(AND('Mapa final'!$Y$53="Baja",'Mapa final'!$AA$53="Mayor"),CONCATENATE("R8C",'Mapa final'!$O$53),"")</f>
        <v>R8C2</v>
      </c>
      <c r="AD43" s="73" t="str">
        <f>IF(AND('Mapa final'!$Y$54="Baja",'Mapa final'!$AA$54="Mayor"),CONCATENATE("R8C",'Mapa final'!$O$54),"")</f>
        <v/>
      </c>
      <c r="AE43" s="73" t="str">
        <f>IF(AND('Mapa final'!$Y$55="Baja",'Mapa final'!$AA$55="Mayor"),CONCATENATE("R8C",'Mapa final'!$O$55),"")</f>
        <v/>
      </c>
      <c r="AF43" s="73" t="str">
        <f>IF(AND('Mapa final'!$Y$56="Baja",'Mapa final'!$AA$56="Mayor"),CONCATENATE("R8C",'Mapa final'!$O$56),"")</f>
        <v/>
      </c>
      <c r="AG43" s="69" t="str">
        <f>IF(AND('Mapa final'!$Y$57="Baja",'Mapa final'!$AA$57="Mayor"),CONCATENATE("R8C",'Mapa final'!$O$57),"")</f>
        <v/>
      </c>
      <c r="AH43" s="70" t="str">
        <f>IF(AND('Mapa final'!$Y$52="Baja",'Mapa final'!$AA$52="Catastrófico"),CONCATENATE("R8C",'Mapa final'!$O$52),"")</f>
        <v/>
      </c>
      <c r="AI43" s="71" t="str">
        <f>IF(AND('Mapa final'!$Y$53="Baja",'Mapa final'!$AA$53="Catastrófico"),CONCATENATE("R8C",'Mapa final'!$O$53),"")</f>
        <v/>
      </c>
      <c r="AJ43" s="71" t="str">
        <f>IF(AND('Mapa final'!$Y$54="Baja",'Mapa final'!$AA$54="Catastrófico"),CONCATENATE("R8C",'Mapa final'!$O$54),"")</f>
        <v/>
      </c>
      <c r="AK43" s="71" t="str">
        <f>IF(AND('Mapa final'!$Y$55="Baja",'Mapa final'!$AA$55="Catastrófico"),CONCATENATE("R8C",'Mapa final'!$O$55),"")</f>
        <v/>
      </c>
      <c r="AL43" s="71" t="str">
        <f>IF(AND('Mapa final'!$Y$56="Baja",'Mapa final'!$AA$56="Catastrófico"),CONCATENATE("R8C",'Mapa final'!$O$56),"")</f>
        <v/>
      </c>
      <c r="AM43" s="72" t="str">
        <f>IF(AND('Mapa final'!$Y$57="Baja",'Mapa final'!$AA$57="Catastrófico"),CONCATENATE("R8C",'Mapa final'!$O$57),"")</f>
        <v/>
      </c>
      <c r="AN43" s="99"/>
      <c r="AO43" s="415"/>
      <c r="AP43" s="416"/>
      <c r="AQ43" s="416"/>
      <c r="AR43" s="416"/>
      <c r="AS43" s="416"/>
      <c r="AT43" s="417"/>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row>
    <row r="44" spans="1:80" ht="15" customHeight="1" x14ac:dyDescent="0.25">
      <c r="A44" s="99"/>
      <c r="B44" s="342"/>
      <c r="C44" s="342"/>
      <c r="D44" s="343"/>
      <c r="E44" s="383"/>
      <c r="F44" s="384"/>
      <c r="G44" s="384"/>
      <c r="H44" s="384"/>
      <c r="I44" s="400"/>
      <c r="J44" s="92" t="str">
        <f>IF(AND('Mapa final'!$Y$58="Baja",'Mapa final'!$AA$58="Leve"),CONCATENATE("R9C",'Mapa final'!$O$58),"")</f>
        <v/>
      </c>
      <c r="K44" s="93" t="str">
        <f>IF(AND('Mapa final'!$Y$59="Baja",'Mapa final'!$AA$59="Leve"),CONCATENATE("R9C",'Mapa final'!$O$59),"")</f>
        <v/>
      </c>
      <c r="L44" s="93" t="str">
        <f>IF(AND('Mapa final'!$Y$60="Baja",'Mapa final'!$AA$60="Leve"),CONCATENATE("R9C",'Mapa final'!$O$60),"")</f>
        <v/>
      </c>
      <c r="M44" s="93" t="str">
        <f>IF(AND('Mapa final'!$Y$61="Baja",'Mapa final'!$AA$61="Leve"),CONCATENATE("R9C",'Mapa final'!$O$61),"")</f>
        <v/>
      </c>
      <c r="N44" s="93" t="str">
        <f>IF(AND('Mapa final'!$Y$62="Baja",'Mapa final'!$AA$62="Leve"),CONCATENATE("R9C",'Mapa final'!$O$62),"")</f>
        <v/>
      </c>
      <c r="O44" s="94" t="str">
        <f>IF(AND('Mapa final'!$Y$63="Baja",'Mapa final'!$AA$63="Leve"),CONCATENATE("R9C",'Mapa final'!$O$63),"")</f>
        <v/>
      </c>
      <c r="P44" s="83" t="str">
        <f>IF(AND('Mapa final'!$Y$58="Baja",'Mapa final'!$AA$58="Menor"),CONCATENATE("R9C",'Mapa final'!$O$58),"")</f>
        <v/>
      </c>
      <c r="Q44" s="84" t="str">
        <f>IF(AND('Mapa final'!$Y$59="Baja",'Mapa final'!$AA$59="Menor"),CONCATENATE("R9C",'Mapa final'!$O$59),"")</f>
        <v/>
      </c>
      <c r="R44" s="84" t="str">
        <f>IF(AND('Mapa final'!$Y$60="Baja",'Mapa final'!$AA$60="Menor"),CONCATENATE("R9C",'Mapa final'!$O$60),"")</f>
        <v/>
      </c>
      <c r="S44" s="84" t="str">
        <f>IF(AND('Mapa final'!$Y$61="Baja",'Mapa final'!$AA$61="Menor"),CONCATENATE("R9C",'Mapa final'!$O$61),"")</f>
        <v/>
      </c>
      <c r="T44" s="84" t="str">
        <f>IF(AND('Mapa final'!$Y$62="Baja",'Mapa final'!$AA$62="Menor"),CONCATENATE("R9C",'Mapa final'!$O$62),"")</f>
        <v/>
      </c>
      <c r="U44" s="85" t="str">
        <f>IF(AND('Mapa final'!$Y$63="Baja",'Mapa final'!$AA$63="Menor"),CONCATENATE("R9C",'Mapa final'!$O$63),"")</f>
        <v/>
      </c>
      <c r="V44" s="83" t="str">
        <f>IF(AND('Mapa final'!$Y$58="Baja",'Mapa final'!$AA$58="Moderado"),CONCATENATE("R9C",'Mapa final'!$O$58),"")</f>
        <v/>
      </c>
      <c r="W44" s="84" t="str">
        <f>IF(AND('Mapa final'!$Y$59="Baja",'Mapa final'!$AA$59="Moderado"),CONCATENATE("R9C",'Mapa final'!$O$59),"")</f>
        <v/>
      </c>
      <c r="X44" s="84" t="str">
        <f>IF(AND('Mapa final'!$Y$60="Baja",'Mapa final'!$AA$60="Moderado"),CONCATENATE("R9C",'Mapa final'!$O$60),"")</f>
        <v/>
      </c>
      <c r="Y44" s="84" t="str">
        <f>IF(AND('Mapa final'!$Y$61="Baja",'Mapa final'!$AA$61="Moderado"),CONCATENATE("R9C",'Mapa final'!$O$61),"")</f>
        <v/>
      </c>
      <c r="Z44" s="84" t="str">
        <f>IF(AND('Mapa final'!$Y$62="Baja",'Mapa final'!$AA$62="Moderado"),CONCATENATE("R9C",'Mapa final'!$O$62),"")</f>
        <v/>
      </c>
      <c r="AA44" s="85" t="str">
        <f>IF(AND('Mapa final'!$Y$63="Baja",'Mapa final'!$AA$63="Moderado"),CONCATENATE("R9C",'Mapa final'!$O$63),"")</f>
        <v/>
      </c>
      <c r="AB44" s="67" t="str">
        <f>IF(AND('Mapa final'!$Y$58="Baja",'Mapa final'!$AA$58="Mayor"),CONCATENATE("R9C",'Mapa final'!$O$58),"")</f>
        <v/>
      </c>
      <c r="AC44" s="68" t="str">
        <f>IF(AND('Mapa final'!$Y$59="Baja",'Mapa final'!$AA$59="Mayor"),CONCATENATE("R9C",'Mapa final'!$O$59),"")</f>
        <v/>
      </c>
      <c r="AD44" s="73" t="str">
        <f>IF(AND('Mapa final'!$Y$60="Baja",'Mapa final'!$AA$60="Mayor"),CONCATENATE("R9C",'Mapa final'!$O$60),"")</f>
        <v/>
      </c>
      <c r="AE44" s="73" t="str">
        <f>IF(AND('Mapa final'!$Y$61="Baja",'Mapa final'!$AA$61="Mayor"),CONCATENATE("R9C",'Mapa final'!$O$61),"")</f>
        <v/>
      </c>
      <c r="AF44" s="73" t="str">
        <f>IF(AND('Mapa final'!$Y$62="Baja",'Mapa final'!$AA$62="Mayor"),CONCATENATE("R9C",'Mapa final'!$O$62),"")</f>
        <v/>
      </c>
      <c r="AG44" s="69" t="str">
        <f>IF(AND('Mapa final'!$Y$63="Baja",'Mapa final'!$AA$63="Mayor"),CONCATENATE("R9C",'Mapa final'!$O$63),"")</f>
        <v/>
      </c>
      <c r="AH44" s="70" t="str">
        <f>IF(AND('Mapa final'!$Y$58="Baja",'Mapa final'!$AA$58="Catastrófico"),CONCATENATE("R9C",'Mapa final'!$O$58),"")</f>
        <v/>
      </c>
      <c r="AI44" s="71" t="str">
        <f>IF(AND('Mapa final'!$Y$59="Baja",'Mapa final'!$AA$59="Catastrófico"),CONCATENATE("R9C",'Mapa final'!$O$59),"")</f>
        <v/>
      </c>
      <c r="AJ44" s="71" t="str">
        <f>IF(AND('Mapa final'!$Y$60="Baja",'Mapa final'!$AA$60="Catastrófico"),CONCATENATE("R9C",'Mapa final'!$O$60),"")</f>
        <v/>
      </c>
      <c r="AK44" s="71" t="str">
        <f>IF(AND('Mapa final'!$Y$61="Baja",'Mapa final'!$AA$61="Catastrófico"),CONCATENATE("R9C",'Mapa final'!$O$61),"")</f>
        <v/>
      </c>
      <c r="AL44" s="71" t="str">
        <f>IF(AND('Mapa final'!$Y$62="Baja",'Mapa final'!$AA$62="Catastrófico"),CONCATENATE("R9C",'Mapa final'!$O$62),"")</f>
        <v/>
      </c>
      <c r="AM44" s="72" t="str">
        <f>IF(AND('Mapa final'!$Y$63="Baja",'Mapa final'!$AA$63="Catastrófico"),CONCATENATE("R9C",'Mapa final'!$O$63),"")</f>
        <v/>
      </c>
      <c r="AN44" s="99"/>
      <c r="AO44" s="415"/>
      <c r="AP44" s="416"/>
      <c r="AQ44" s="416"/>
      <c r="AR44" s="416"/>
      <c r="AS44" s="416"/>
      <c r="AT44" s="417"/>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row>
    <row r="45" spans="1:80" ht="15.75" customHeight="1" thickBot="1" x14ac:dyDescent="0.3">
      <c r="A45" s="99"/>
      <c r="B45" s="342"/>
      <c r="C45" s="342"/>
      <c r="D45" s="343"/>
      <c r="E45" s="386"/>
      <c r="F45" s="387"/>
      <c r="G45" s="387"/>
      <c r="H45" s="387"/>
      <c r="I45" s="387"/>
      <c r="J45" s="95" t="str">
        <f>IF(AND('Mapa final'!$Y$64="Baja",'Mapa final'!$AA$64="Leve"),CONCATENATE("R10C",'Mapa final'!$O$64),"")</f>
        <v/>
      </c>
      <c r="K45" s="96" t="str">
        <f>IF(AND('Mapa final'!$Y$65="Baja",'Mapa final'!$AA$65="Leve"),CONCATENATE("R10C",'Mapa final'!$O$65),"")</f>
        <v/>
      </c>
      <c r="L45" s="96" t="str">
        <f>IF(AND('Mapa final'!$Y$66="Baja",'Mapa final'!$AA$66="Leve"),CONCATENATE("R10C",'Mapa final'!$O$66),"")</f>
        <v/>
      </c>
      <c r="M45" s="96" t="str">
        <f>IF(AND('Mapa final'!$Y$67="Baja",'Mapa final'!$AA$67="Leve"),CONCATENATE("R10C",'Mapa final'!$O$67),"")</f>
        <v/>
      </c>
      <c r="N45" s="96" t="str">
        <f>IF(AND('Mapa final'!$Y$68="Baja",'Mapa final'!$AA$68="Leve"),CONCATENATE("R10C",'Mapa final'!$O$68),"")</f>
        <v/>
      </c>
      <c r="O45" s="97" t="str">
        <f>IF(AND('Mapa final'!$Y$69="Baja",'Mapa final'!$AA$69="Leve"),CONCATENATE("R10C",'Mapa final'!$O$69),"")</f>
        <v/>
      </c>
      <c r="P45" s="83" t="str">
        <f>IF(AND('Mapa final'!$Y$64="Baja",'Mapa final'!$AA$64="Menor"),CONCATENATE("R10C",'Mapa final'!$O$64),"")</f>
        <v/>
      </c>
      <c r="Q45" s="84" t="str">
        <f>IF(AND('Mapa final'!$Y$65="Baja",'Mapa final'!$AA$65="Menor"),CONCATENATE("R10C",'Mapa final'!$O$65),"")</f>
        <v/>
      </c>
      <c r="R45" s="84" t="str">
        <f>IF(AND('Mapa final'!$Y$66="Baja",'Mapa final'!$AA$66="Menor"),CONCATENATE("R10C",'Mapa final'!$O$66),"")</f>
        <v/>
      </c>
      <c r="S45" s="84" t="str">
        <f>IF(AND('Mapa final'!$Y$67="Baja",'Mapa final'!$AA$67="Menor"),CONCATENATE("R10C",'Mapa final'!$O$67),"")</f>
        <v/>
      </c>
      <c r="T45" s="84" t="str">
        <f>IF(AND('Mapa final'!$Y$68="Baja",'Mapa final'!$AA$68="Menor"),CONCATENATE("R10C",'Mapa final'!$O$68),"")</f>
        <v/>
      </c>
      <c r="U45" s="85" t="str">
        <f>IF(AND('Mapa final'!$Y$69="Baja",'Mapa final'!$AA$69="Menor"),CONCATENATE("R10C",'Mapa final'!$O$69),"")</f>
        <v/>
      </c>
      <c r="V45" s="86" t="str">
        <f>IF(AND('Mapa final'!$Y$64="Baja",'Mapa final'!$AA$64="Moderado"),CONCATENATE("R10C",'Mapa final'!$O$64),"")</f>
        <v/>
      </c>
      <c r="W45" s="87" t="str">
        <f>IF(AND('Mapa final'!$Y$65="Baja",'Mapa final'!$AA$65="Moderado"),CONCATENATE("R10C",'Mapa final'!$O$65),"")</f>
        <v/>
      </c>
      <c r="X45" s="87" t="str">
        <f>IF(AND('Mapa final'!$Y$66="Baja",'Mapa final'!$AA$66="Moderado"),CONCATENATE("R10C",'Mapa final'!$O$66),"")</f>
        <v/>
      </c>
      <c r="Y45" s="87" t="str">
        <f>IF(AND('Mapa final'!$Y$67="Baja",'Mapa final'!$AA$67="Moderado"),CONCATENATE("R10C",'Mapa final'!$O$67),"")</f>
        <v/>
      </c>
      <c r="Z45" s="87" t="str">
        <f>IF(AND('Mapa final'!$Y$68="Baja",'Mapa final'!$AA$68="Moderado"),CONCATENATE("R10C",'Mapa final'!$O$68),"")</f>
        <v/>
      </c>
      <c r="AA45" s="88" t="str">
        <f>IF(AND('Mapa final'!$Y$69="Baja",'Mapa final'!$AA$69="Moderado"),CONCATENATE("R10C",'Mapa final'!$O$69),"")</f>
        <v/>
      </c>
      <c r="AB45" s="74" t="str">
        <f>IF(AND('Mapa final'!$Y$64="Baja",'Mapa final'!$AA$64="Mayor"),CONCATENATE("R10C",'Mapa final'!$O$64),"")</f>
        <v/>
      </c>
      <c r="AC45" s="75" t="str">
        <f>IF(AND('Mapa final'!$Y$65="Baja",'Mapa final'!$AA$65="Mayor"),CONCATENATE("R10C",'Mapa final'!$O$65),"")</f>
        <v/>
      </c>
      <c r="AD45" s="75" t="str">
        <f>IF(AND('Mapa final'!$Y$66="Baja",'Mapa final'!$AA$66="Mayor"),CONCATENATE("R10C",'Mapa final'!$O$66),"")</f>
        <v/>
      </c>
      <c r="AE45" s="75" t="str">
        <f>IF(AND('Mapa final'!$Y$67="Baja",'Mapa final'!$AA$67="Mayor"),CONCATENATE("R10C",'Mapa final'!$O$67),"")</f>
        <v/>
      </c>
      <c r="AF45" s="75" t="str">
        <f>IF(AND('Mapa final'!$Y$68="Baja",'Mapa final'!$AA$68="Mayor"),CONCATENATE("R10C",'Mapa final'!$O$68),"")</f>
        <v/>
      </c>
      <c r="AG45" s="76" t="str">
        <f>IF(AND('Mapa final'!$Y$69="Baja",'Mapa final'!$AA$69="Mayor"),CONCATENATE("R10C",'Mapa final'!$O$69),"")</f>
        <v/>
      </c>
      <c r="AH45" s="77" t="str">
        <f>IF(AND('Mapa final'!$Y$64="Baja",'Mapa final'!$AA$64="Catastrófico"),CONCATENATE("R10C",'Mapa final'!$O$64),"")</f>
        <v/>
      </c>
      <c r="AI45" s="78" t="str">
        <f>IF(AND('Mapa final'!$Y$65="Baja",'Mapa final'!$AA$65="Catastrófico"),CONCATENATE("R10C",'Mapa final'!$O$65),"")</f>
        <v/>
      </c>
      <c r="AJ45" s="78" t="str">
        <f>IF(AND('Mapa final'!$Y$66="Baja",'Mapa final'!$AA$66="Catastrófico"),CONCATENATE("R10C",'Mapa final'!$O$66),"")</f>
        <v/>
      </c>
      <c r="AK45" s="78" t="str">
        <f>IF(AND('Mapa final'!$Y$67="Baja",'Mapa final'!$AA$67="Catastrófico"),CONCATENATE("R10C",'Mapa final'!$O$67),"")</f>
        <v/>
      </c>
      <c r="AL45" s="78" t="str">
        <f>IF(AND('Mapa final'!$Y$68="Baja",'Mapa final'!$AA$68="Catastrófico"),CONCATENATE("R10C",'Mapa final'!$O$68),"")</f>
        <v/>
      </c>
      <c r="AM45" s="79" t="str">
        <f>IF(AND('Mapa final'!$Y$69="Baja",'Mapa final'!$AA$69="Catastrófico"),CONCATENATE("R10C",'Mapa final'!$O$69),"")</f>
        <v/>
      </c>
      <c r="AN45" s="99"/>
      <c r="AO45" s="418"/>
      <c r="AP45" s="419"/>
      <c r="AQ45" s="419"/>
      <c r="AR45" s="419"/>
      <c r="AS45" s="419"/>
      <c r="AT45" s="420"/>
    </row>
    <row r="46" spans="1:80" ht="46.5" customHeight="1" x14ac:dyDescent="0.35">
      <c r="A46" s="99"/>
      <c r="B46" s="342"/>
      <c r="C46" s="342"/>
      <c r="D46" s="343"/>
      <c r="E46" s="380" t="s">
        <v>113</v>
      </c>
      <c r="F46" s="381"/>
      <c r="G46" s="381"/>
      <c r="H46" s="381"/>
      <c r="I46" s="382"/>
      <c r="J46" s="89" t="str">
        <f>IF(AND('Mapa final'!$Y$10="Muy Baja",'Mapa final'!$AA$10="Leve"),CONCATENATE("R1C",'Mapa final'!$O$10),"")</f>
        <v/>
      </c>
      <c r="K46" s="90" t="str">
        <f>IF(AND('Mapa final'!$Y$11="Muy Baja",'Mapa final'!$AA$11="Leve"),CONCATENATE("R1C",'Mapa final'!$O$11),"")</f>
        <v/>
      </c>
      <c r="L46" s="90" t="str">
        <f>IF(AND('Mapa final'!$Y$12="Muy Baja",'Mapa final'!$AA$12="Leve"),CONCATENATE("R1C",'Mapa final'!$O$12),"")</f>
        <v/>
      </c>
      <c r="M46" s="90" t="str">
        <f>IF(AND('Mapa final'!$Y$13="Muy Baja",'Mapa final'!$AA$13="Leve"),CONCATENATE("R1C",'Mapa final'!$O$13),"")</f>
        <v/>
      </c>
      <c r="N46" s="90" t="str">
        <f>IF(AND('Mapa final'!$Y$14="Muy Baja",'Mapa final'!$AA$14="Leve"),CONCATENATE("R1C",'Mapa final'!$O$14),"")</f>
        <v/>
      </c>
      <c r="O46" s="91" t="str">
        <f>IF(AND('Mapa final'!$Y$15="Muy Baja",'Mapa final'!$AA$15="Leve"),CONCATENATE("R1C",'Mapa final'!$O$15),"")</f>
        <v/>
      </c>
      <c r="P46" s="89" t="str">
        <f>IF(AND('Mapa final'!$Y$10="Muy Baja",'Mapa final'!$AA$10="Menor"),CONCATENATE("R1C",'Mapa final'!$O$10),"")</f>
        <v/>
      </c>
      <c r="Q46" s="90" t="str">
        <f>IF(AND('Mapa final'!$Y$11="Muy Baja",'Mapa final'!$AA$11="Menor"),CONCATENATE("R1C",'Mapa final'!$O$11),"")</f>
        <v/>
      </c>
      <c r="R46" s="90" t="str">
        <f>IF(AND('Mapa final'!$Y$12="Muy Baja",'Mapa final'!$AA$12="Menor"),CONCATENATE("R1C",'Mapa final'!$O$12),"")</f>
        <v/>
      </c>
      <c r="S46" s="90" t="str">
        <f>IF(AND('Mapa final'!$Y$13="Muy Baja",'Mapa final'!$AA$13="Menor"),CONCATENATE("R1C",'Mapa final'!$O$13),"")</f>
        <v/>
      </c>
      <c r="T46" s="90" t="str">
        <f>IF(AND('Mapa final'!$Y$14="Muy Baja",'Mapa final'!$AA$14="Menor"),CONCATENATE("R1C",'Mapa final'!$O$14),"")</f>
        <v/>
      </c>
      <c r="U46" s="91" t="str">
        <f>IF(AND('Mapa final'!$Y$15="Muy Baja",'Mapa final'!$AA$15="Menor"),CONCATENATE("R1C",'Mapa final'!$O$15),"")</f>
        <v/>
      </c>
      <c r="V46" s="80" t="str">
        <f>IF(AND('Mapa final'!$Y$10="Muy Baja",'Mapa final'!$AA$10="Moderado"),CONCATENATE("R1C",'Mapa final'!$O$10),"")</f>
        <v/>
      </c>
      <c r="W46" s="98" t="str">
        <f>IF(AND('Mapa final'!$Y$11="Muy Baja",'Mapa final'!$AA$11="Moderado"),CONCATENATE("R1C",'Mapa final'!$O$11),"")</f>
        <v/>
      </c>
      <c r="X46" s="81" t="str">
        <f>IF(AND('Mapa final'!$Y$12="Muy Baja",'Mapa final'!$AA$12="Moderado"),CONCATENATE("R1C",'Mapa final'!$O$12),"")</f>
        <v/>
      </c>
      <c r="Y46" s="81" t="str">
        <f>IF(AND('Mapa final'!$Y$13="Muy Baja",'Mapa final'!$AA$13="Moderado"),CONCATENATE("R1C",'Mapa final'!$O$13),"")</f>
        <v/>
      </c>
      <c r="Z46" s="81" t="str">
        <f>IF(AND('Mapa final'!$Y$14="Muy Baja",'Mapa final'!$AA$14="Moderado"),CONCATENATE("R1C",'Mapa final'!$O$14),"")</f>
        <v/>
      </c>
      <c r="AA46" s="82" t="str">
        <f>IF(AND('Mapa final'!$Y$15="Muy Baja",'Mapa final'!$AA$15="Moderado"),CONCATENATE("R1C",'Mapa final'!$O$15),"")</f>
        <v/>
      </c>
      <c r="AB46" s="61" t="str">
        <f>IF(AND('Mapa final'!$Y$10="Muy Baja",'Mapa final'!$AA$10="Mayor"),CONCATENATE("R1C",'Mapa final'!$O$10),"")</f>
        <v/>
      </c>
      <c r="AC46" s="62" t="str">
        <f>IF(AND('Mapa final'!$Y$11="Muy Baja",'Mapa final'!$AA$11="Mayor"),CONCATENATE("R1C",'Mapa final'!$O$11),"")</f>
        <v/>
      </c>
      <c r="AD46" s="62" t="str">
        <f>IF(AND('Mapa final'!$Y$12="Muy Baja",'Mapa final'!$AA$12="Mayor"),CONCATENATE("R1C",'Mapa final'!$O$12),"")</f>
        <v/>
      </c>
      <c r="AE46" s="62" t="str">
        <f>IF(AND('Mapa final'!$Y$13="Muy Baja",'Mapa final'!$AA$13="Mayor"),CONCATENATE("R1C",'Mapa final'!$O$13),"")</f>
        <v/>
      </c>
      <c r="AF46" s="62" t="str">
        <f>IF(AND('Mapa final'!$Y$14="Muy Baja",'Mapa final'!$AA$14="Mayor"),CONCATENATE("R1C",'Mapa final'!$O$14),"")</f>
        <v/>
      </c>
      <c r="AG46" s="63" t="str">
        <f>IF(AND('Mapa final'!$Y$15="Muy Baja",'Mapa final'!$AA$15="Mayor"),CONCATENATE("R1C",'Mapa final'!$O$15),"")</f>
        <v/>
      </c>
      <c r="AH46" s="64" t="str">
        <f>IF(AND('Mapa final'!$Y$10="Muy Baja",'Mapa final'!$AA$10="Catastrófico"),CONCATENATE("R1C",'Mapa final'!$O$10),"")</f>
        <v/>
      </c>
      <c r="AI46" s="65" t="str">
        <f>IF(AND('Mapa final'!$Y$11="Muy Baja",'Mapa final'!$AA$11="Catastrófico"),CONCATENATE("R1C",'Mapa final'!$O$11),"")</f>
        <v/>
      </c>
      <c r="AJ46" s="65" t="str">
        <f>IF(AND('Mapa final'!$Y$12="Muy Baja",'Mapa final'!$AA$12="Catastrófico"),CONCATENATE("R1C",'Mapa final'!$O$12),"")</f>
        <v/>
      </c>
      <c r="AK46" s="65" t="str">
        <f>IF(AND('Mapa final'!$Y$13="Muy Baja",'Mapa final'!$AA$13="Catastrófico"),CONCATENATE("R1C",'Mapa final'!$O$13),"")</f>
        <v/>
      </c>
      <c r="AL46" s="65" t="str">
        <f>IF(AND('Mapa final'!$Y$14="Muy Baja",'Mapa final'!$AA$14="Catastrófico"),CONCATENATE("R1C",'Mapa final'!$O$14),"")</f>
        <v/>
      </c>
      <c r="AM46" s="66" t="str">
        <f>IF(AND('Mapa final'!$Y$15="Muy Baja",'Mapa final'!$AA$15="Catastrófico"),CONCATENATE("R1C",'Mapa final'!$O$15),"")</f>
        <v/>
      </c>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row>
    <row r="47" spans="1:80" ht="46.5" customHeight="1" x14ac:dyDescent="0.25">
      <c r="A47" s="99"/>
      <c r="B47" s="342"/>
      <c r="C47" s="342"/>
      <c r="D47" s="343"/>
      <c r="E47" s="399"/>
      <c r="F47" s="400"/>
      <c r="G47" s="400"/>
      <c r="H47" s="400"/>
      <c r="I47" s="385"/>
      <c r="J47" s="92" t="str">
        <f>IF(AND('Mapa final'!$Y$16="Muy Baja",'Mapa final'!$AA$16="Leve"),CONCATENATE("R2C",'Mapa final'!$O$16),"")</f>
        <v/>
      </c>
      <c r="K47" s="93" t="str">
        <f>IF(AND('Mapa final'!$Y$17="Muy Baja",'Mapa final'!$AA$17="Leve"),CONCATENATE("R2C",'Mapa final'!$O$17),"")</f>
        <v/>
      </c>
      <c r="L47" s="93" t="str">
        <f>IF(AND('Mapa final'!$Y$18="Muy Baja",'Mapa final'!$AA$18="Leve"),CONCATENATE("R2C",'Mapa final'!$O$18),"")</f>
        <v/>
      </c>
      <c r="M47" s="93" t="str">
        <f>IF(AND('Mapa final'!$Y$19="Muy Baja",'Mapa final'!$AA$19="Leve"),CONCATENATE("R2C",'Mapa final'!$O$19),"")</f>
        <v/>
      </c>
      <c r="N47" s="93" t="str">
        <f>IF(AND('Mapa final'!$Y$20="Muy Baja",'Mapa final'!$AA$20="Leve"),CONCATENATE("R2C",'Mapa final'!$O$20),"")</f>
        <v/>
      </c>
      <c r="O47" s="94" t="str">
        <f>IF(AND('Mapa final'!$Y$21="Muy Baja",'Mapa final'!$AA$21="Leve"),CONCATENATE("R2C",'Mapa final'!$O$21),"")</f>
        <v/>
      </c>
      <c r="P47" s="92" t="str">
        <f>IF(AND('Mapa final'!$Y$16="Muy Baja",'Mapa final'!$AA$16="Menor"),CONCATENATE("R2C",'Mapa final'!$O$16),"")</f>
        <v/>
      </c>
      <c r="Q47" s="93" t="str">
        <f>IF(AND('Mapa final'!$Y$17="Muy Baja",'Mapa final'!$AA$17="Menor"),CONCATENATE("R2C",'Mapa final'!$O$17),"")</f>
        <v/>
      </c>
      <c r="R47" s="93" t="str">
        <f>IF(AND('Mapa final'!$Y$18="Muy Baja",'Mapa final'!$AA$18="Menor"),CONCATENATE("R2C",'Mapa final'!$O$18),"")</f>
        <v/>
      </c>
      <c r="S47" s="93" t="str">
        <f>IF(AND('Mapa final'!$Y$19="Muy Baja",'Mapa final'!$AA$19="Menor"),CONCATENATE("R2C",'Mapa final'!$O$19),"")</f>
        <v/>
      </c>
      <c r="T47" s="93" t="str">
        <f>IF(AND('Mapa final'!$Y$20="Muy Baja",'Mapa final'!$AA$20="Menor"),CONCATENATE("R2C",'Mapa final'!$O$20),"")</f>
        <v/>
      </c>
      <c r="U47" s="94" t="str">
        <f>IF(AND('Mapa final'!$Y$21="Muy Baja",'Mapa final'!$AA$21="Menor"),CONCATENATE("R2C",'Mapa final'!$O$21),"")</f>
        <v/>
      </c>
      <c r="V47" s="83" t="str">
        <f>IF(AND('Mapa final'!$Y$16="Muy Baja",'Mapa final'!$AA$16="Moderado"),CONCATENATE("R2C",'Mapa final'!$O$16),"")</f>
        <v/>
      </c>
      <c r="W47" s="84" t="str">
        <f>IF(AND('Mapa final'!$Y$17="Muy Baja",'Mapa final'!$AA$17="Moderado"),CONCATENATE("R2C",'Mapa final'!$O$17),"")</f>
        <v/>
      </c>
      <c r="X47" s="84" t="str">
        <f>IF(AND('Mapa final'!$Y$18="Muy Baja",'Mapa final'!$AA$18="Moderado"),CONCATENATE("R2C",'Mapa final'!$O$18),"")</f>
        <v/>
      </c>
      <c r="Y47" s="84" t="str">
        <f>IF(AND('Mapa final'!$Y$19="Muy Baja",'Mapa final'!$AA$19="Moderado"),CONCATENATE("R2C",'Mapa final'!$O$19),"")</f>
        <v/>
      </c>
      <c r="Z47" s="84" t="str">
        <f>IF(AND('Mapa final'!$Y$20="Muy Baja",'Mapa final'!$AA$20="Moderado"),CONCATENATE("R2C",'Mapa final'!$O$20),"")</f>
        <v/>
      </c>
      <c r="AA47" s="85" t="str">
        <f>IF(AND('Mapa final'!$Y$21="Muy Baja",'Mapa final'!$AA$21="Moderado"),CONCATENATE("R2C",'Mapa final'!$O$21),"")</f>
        <v/>
      </c>
      <c r="AB47" s="67" t="str">
        <f>IF(AND('Mapa final'!$Y$16="Muy Baja",'Mapa final'!$AA$16="Mayor"),CONCATENATE("R2C",'Mapa final'!$O$16),"")</f>
        <v/>
      </c>
      <c r="AC47" s="68" t="str">
        <f>IF(AND('Mapa final'!$Y$17="Muy Baja",'Mapa final'!$AA$17="Mayor"),CONCATENATE("R2C",'Mapa final'!$O$17),"")</f>
        <v/>
      </c>
      <c r="AD47" s="68" t="str">
        <f>IF(AND('Mapa final'!$Y$18="Muy Baja",'Mapa final'!$AA$18="Mayor"),CONCATENATE("R2C",'Mapa final'!$O$18),"")</f>
        <v/>
      </c>
      <c r="AE47" s="68" t="str">
        <f>IF(AND('Mapa final'!$Y$19="Muy Baja",'Mapa final'!$AA$19="Mayor"),CONCATENATE("R2C",'Mapa final'!$O$19),"")</f>
        <v/>
      </c>
      <c r="AF47" s="68" t="str">
        <f>IF(AND('Mapa final'!$Y$20="Muy Baja",'Mapa final'!$AA$20="Mayor"),CONCATENATE("R2C",'Mapa final'!$O$20),"")</f>
        <v/>
      </c>
      <c r="AG47" s="69" t="str">
        <f>IF(AND('Mapa final'!$Y$21="Muy Baja",'Mapa final'!$AA$21="Mayor"),CONCATENATE("R2C",'Mapa final'!$O$21),"")</f>
        <v/>
      </c>
      <c r="AH47" s="70" t="str">
        <f>IF(AND('Mapa final'!$Y$16="Muy Baja",'Mapa final'!$AA$16="Catastrófico"),CONCATENATE("R2C",'Mapa final'!$O$16),"")</f>
        <v/>
      </c>
      <c r="AI47" s="71" t="str">
        <f>IF(AND('Mapa final'!$Y$17="Muy Baja",'Mapa final'!$AA$17="Catastrófico"),CONCATENATE("R2C",'Mapa final'!$O$17),"")</f>
        <v/>
      </c>
      <c r="AJ47" s="71" t="str">
        <f>IF(AND('Mapa final'!$Y$18="Muy Baja",'Mapa final'!$AA$18="Catastrófico"),CONCATENATE("R2C",'Mapa final'!$O$18),"")</f>
        <v/>
      </c>
      <c r="AK47" s="71" t="str">
        <f>IF(AND('Mapa final'!$Y$19="Muy Baja",'Mapa final'!$AA$19="Catastrófico"),CONCATENATE("R2C",'Mapa final'!$O$19),"")</f>
        <v/>
      </c>
      <c r="AL47" s="71" t="str">
        <f>IF(AND('Mapa final'!$Y$20="Muy Baja",'Mapa final'!$AA$20="Catastrófico"),CONCATENATE("R2C",'Mapa final'!$O$20),"")</f>
        <v/>
      </c>
      <c r="AM47" s="72" t="str">
        <f>IF(AND('Mapa final'!$Y$21="Muy Baja",'Mapa final'!$AA$21="Catastrófico"),CONCATENATE("R2C",'Mapa final'!$O$21),"")</f>
        <v/>
      </c>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row>
    <row r="48" spans="1:80" ht="15" customHeight="1" x14ac:dyDescent="0.25">
      <c r="A48" s="99"/>
      <c r="B48" s="342"/>
      <c r="C48" s="342"/>
      <c r="D48" s="343"/>
      <c r="E48" s="399"/>
      <c r="F48" s="400"/>
      <c r="G48" s="400"/>
      <c r="H48" s="400"/>
      <c r="I48" s="385"/>
      <c r="J48" s="92" t="str">
        <f>IF(AND('Mapa final'!$Y$22="Muy Baja",'Mapa final'!$AA$22="Leve"),CONCATENATE("R3C",'Mapa final'!$O$22),"")</f>
        <v>R3C1</v>
      </c>
      <c r="K48" s="93" t="str">
        <f>IF(AND('Mapa final'!$Y$23="Muy Baja",'Mapa final'!$AA$23="Leve"),CONCATENATE("R3C",'Mapa final'!$O$23),"")</f>
        <v/>
      </c>
      <c r="L48" s="93" t="str">
        <f>IF(AND('Mapa final'!$Y$24="Muy Baja",'Mapa final'!$AA$24="Leve"),CONCATENATE("R3C",'Mapa final'!$O$24),"")</f>
        <v/>
      </c>
      <c r="M48" s="93" t="str">
        <f>IF(AND('Mapa final'!$Y$25="Muy Baja",'Mapa final'!$AA$25="Leve"),CONCATENATE("R3C",'Mapa final'!$O$25),"")</f>
        <v/>
      </c>
      <c r="N48" s="93" t="str">
        <f>IF(AND('Mapa final'!$Y$26="Muy Baja",'Mapa final'!$AA$26="Leve"),CONCATENATE("R3C",'Mapa final'!$O$26),"")</f>
        <v/>
      </c>
      <c r="O48" s="94" t="str">
        <f>IF(AND('Mapa final'!$Y$27="Muy Baja",'Mapa final'!$AA$27="Leve"),CONCATENATE("R3C",'Mapa final'!$O$27),"")</f>
        <v/>
      </c>
      <c r="P48" s="92" t="str">
        <f>IF(AND('Mapa final'!$Y$22="Muy Baja",'Mapa final'!$AA$22="Menor"),CONCATENATE("R3C",'Mapa final'!$O$22),"")</f>
        <v/>
      </c>
      <c r="Q48" s="93" t="str">
        <f>IF(AND('Mapa final'!$Y$23="Muy Baja",'Mapa final'!$AA$23="Menor"),CONCATENATE("R3C",'Mapa final'!$O$23),"")</f>
        <v/>
      </c>
      <c r="R48" s="93" t="str">
        <f>IF(AND('Mapa final'!$Y$24="Muy Baja",'Mapa final'!$AA$24="Menor"),CONCATENATE("R3C",'Mapa final'!$O$24),"")</f>
        <v/>
      </c>
      <c r="S48" s="93" t="str">
        <f>IF(AND('Mapa final'!$Y$25="Muy Baja",'Mapa final'!$AA$25="Menor"),CONCATENATE("R3C",'Mapa final'!$O$25),"")</f>
        <v/>
      </c>
      <c r="T48" s="93" t="str">
        <f>IF(AND('Mapa final'!$Y$26="Muy Baja",'Mapa final'!$AA$26="Menor"),CONCATENATE("R3C",'Mapa final'!$O$26),"")</f>
        <v/>
      </c>
      <c r="U48" s="94" t="str">
        <f>IF(AND('Mapa final'!$Y$27="Muy Baja",'Mapa final'!$AA$27="Menor"),CONCATENATE("R3C",'Mapa final'!$O$27),"")</f>
        <v/>
      </c>
      <c r="V48" s="83" t="str">
        <f>IF(AND('Mapa final'!$Y$22="Muy Baja",'Mapa final'!$AA$22="Moderado"),CONCATENATE("R3C",'Mapa final'!$O$22),"")</f>
        <v/>
      </c>
      <c r="W48" s="84" t="str">
        <f>IF(AND('Mapa final'!$Y$23="Muy Baja",'Mapa final'!$AA$23="Moderado"),CONCATENATE("R3C",'Mapa final'!$O$23),"")</f>
        <v/>
      </c>
      <c r="X48" s="84" t="str">
        <f>IF(AND('Mapa final'!$Y$24="Muy Baja",'Mapa final'!$AA$24="Moderado"),CONCATENATE("R3C",'Mapa final'!$O$24),"")</f>
        <v/>
      </c>
      <c r="Y48" s="84" t="str">
        <f>IF(AND('Mapa final'!$Y$25="Muy Baja",'Mapa final'!$AA$25="Moderado"),CONCATENATE("R3C",'Mapa final'!$O$25),"")</f>
        <v/>
      </c>
      <c r="Z48" s="84" t="str">
        <f>IF(AND('Mapa final'!$Y$26="Muy Baja",'Mapa final'!$AA$26="Moderado"),CONCATENATE("R3C",'Mapa final'!$O$26),"")</f>
        <v/>
      </c>
      <c r="AA48" s="85" t="str">
        <f>IF(AND('Mapa final'!$Y$27="Muy Baja",'Mapa final'!$AA$27="Moderado"),CONCATENATE("R3C",'Mapa final'!$O$27),"")</f>
        <v/>
      </c>
      <c r="AB48" s="67" t="str">
        <f>IF(AND('Mapa final'!$Y$22="Muy Baja",'Mapa final'!$AA$22="Mayor"),CONCATENATE("R3C",'Mapa final'!$O$22),"")</f>
        <v/>
      </c>
      <c r="AC48" s="68" t="str">
        <f>IF(AND('Mapa final'!$Y$23="Muy Baja",'Mapa final'!$AA$23="Mayor"),CONCATENATE("R3C",'Mapa final'!$O$23),"")</f>
        <v/>
      </c>
      <c r="AD48" s="68" t="str">
        <f>IF(AND('Mapa final'!$Y$24="Muy Baja",'Mapa final'!$AA$24="Mayor"),CONCATENATE("R3C",'Mapa final'!$O$24),"")</f>
        <v/>
      </c>
      <c r="AE48" s="68" t="str">
        <f>IF(AND('Mapa final'!$Y$25="Muy Baja",'Mapa final'!$AA$25="Mayor"),CONCATENATE("R3C",'Mapa final'!$O$25),"")</f>
        <v/>
      </c>
      <c r="AF48" s="68" t="str">
        <f>IF(AND('Mapa final'!$Y$26="Muy Baja",'Mapa final'!$AA$26="Mayor"),CONCATENATE("R3C",'Mapa final'!$O$26),"")</f>
        <v/>
      </c>
      <c r="AG48" s="69" t="str">
        <f>IF(AND('Mapa final'!$Y$27="Muy Baja",'Mapa final'!$AA$27="Mayor"),CONCATENATE("R3C",'Mapa final'!$O$27),"")</f>
        <v/>
      </c>
      <c r="AH48" s="70" t="str">
        <f>IF(AND('Mapa final'!$Y$22="Muy Baja",'Mapa final'!$AA$22="Catastrófico"),CONCATENATE("R3C",'Mapa final'!$O$22),"")</f>
        <v/>
      </c>
      <c r="AI48" s="71" t="str">
        <f>IF(AND('Mapa final'!$Y$23="Muy Baja",'Mapa final'!$AA$23="Catastrófico"),CONCATENATE("R3C",'Mapa final'!$O$23),"")</f>
        <v/>
      </c>
      <c r="AJ48" s="71" t="str">
        <f>IF(AND('Mapa final'!$Y$24="Muy Baja",'Mapa final'!$AA$24="Catastrófico"),CONCATENATE("R3C",'Mapa final'!$O$24),"")</f>
        <v/>
      </c>
      <c r="AK48" s="71" t="str">
        <f>IF(AND('Mapa final'!$Y$25="Muy Baja",'Mapa final'!$AA$25="Catastrófico"),CONCATENATE("R3C",'Mapa final'!$O$25),"")</f>
        <v/>
      </c>
      <c r="AL48" s="71" t="str">
        <f>IF(AND('Mapa final'!$Y$26="Muy Baja",'Mapa final'!$AA$26="Catastrófico"),CONCATENATE("R3C",'Mapa final'!$O$26),"")</f>
        <v/>
      </c>
      <c r="AM48" s="72" t="str">
        <f>IF(AND('Mapa final'!$Y$27="Muy Baja",'Mapa final'!$AA$27="Catastrófico"),CONCATENATE("R3C",'Mapa final'!$O$27),"")</f>
        <v/>
      </c>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row>
    <row r="49" spans="1:80" ht="15" customHeight="1" x14ac:dyDescent="0.25">
      <c r="A49" s="99"/>
      <c r="B49" s="342"/>
      <c r="C49" s="342"/>
      <c r="D49" s="343"/>
      <c r="E49" s="383"/>
      <c r="F49" s="384"/>
      <c r="G49" s="384"/>
      <c r="H49" s="384"/>
      <c r="I49" s="385"/>
      <c r="J49" s="92" t="str">
        <f>IF(AND('Mapa final'!$Y$28="Muy Baja",'Mapa final'!$AA$28="Leve"),CONCATENATE("R4C",'Mapa final'!$O$28),"")</f>
        <v/>
      </c>
      <c r="K49" s="93" t="str">
        <f>IF(AND('Mapa final'!$Y$29="Muy Baja",'Mapa final'!$AA$29="Leve"),CONCATENATE("R4C",'Mapa final'!$O$29),"")</f>
        <v/>
      </c>
      <c r="L49" s="93" t="str">
        <f>IF(AND('Mapa final'!$Y$30="Muy Baja",'Mapa final'!$AA$30="Leve"),CONCATENATE("R4C",'Mapa final'!$O$30),"")</f>
        <v/>
      </c>
      <c r="M49" s="93" t="str">
        <f>IF(AND('Mapa final'!$Y$31="Muy Baja",'Mapa final'!$AA$31="Leve"),CONCATENATE("R4C",'Mapa final'!$O$31),"")</f>
        <v/>
      </c>
      <c r="N49" s="93" t="str">
        <f>IF(AND('Mapa final'!$Y$32="Muy Baja",'Mapa final'!$AA$32="Leve"),CONCATENATE("R4C",'Mapa final'!$O$32),"")</f>
        <v/>
      </c>
      <c r="O49" s="94" t="str">
        <f>IF(AND('Mapa final'!$Y$33="Muy Baja",'Mapa final'!$AA$33="Leve"),CONCATENATE("R4C",'Mapa final'!$O$33),"")</f>
        <v/>
      </c>
      <c r="P49" s="92" t="str">
        <f>IF(AND('Mapa final'!$Y$28="Muy Baja",'Mapa final'!$AA$28="Menor"),CONCATENATE("R4C",'Mapa final'!$O$28),"")</f>
        <v/>
      </c>
      <c r="Q49" s="93" t="str">
        <f>IF(AND('Mapa final'!$Y$29="Muy Baja",'Mapa final'!$AA$29="Menor"),CONCATENATE("R4C",'Mapa final'!$O$29),"")</f>
        <v/>
      </c>
      <c r="R49" s="93" t="str">
        <f>IF(AND('Mapa final'!$Y$30="Muy Baja",'Mapa final'!$AA$30="Menor"),CONCATENATE("R4C",'Mapa final'!$O$30),"")</f>
        <v/>
      </c>
      <c r="S49" s="93" t="str">
        <f>IF(AND('Mapa final'!$Y$31="Muy Baja",'Mapa final'!$AA$31="Menor"),CONCATENATE("R4C",'Mapa final'!$O$31),"")</f>
        <v/>
      </c>
      <c r="T49" s="93" t="str">
        <f>IF(AND('Mapa final'!$Y$32="Muy Baja",'Mapa final'!$AA$32="Menor"),CONCATENATE("R4C",'Mapa final'!$O$32),"")</f>
        <v/>
      </c>
      <c r="U49" s="94" t="str">
        <f>IF(AND('Mapa final'!$Y$33="Muy Baja",'Mapa final'!$AA$33="Menor"),CONCATENATE("R4C",'Mapa final'!$O$33),"")</f>
        <v/>
      </c>
      <c r="V49" s="83" t="str">
        <f>IF(AND('Mapa final'!$Y$28="Muy Baja",'Mapa final'!$AA$28="Moderado"),CONCATENATE("R4C",'Mapa final'!$O$28),"")</f>
        <v/>
      </c>
      <c r="W49" s="84" t="str">
        <f>IF(AND('Mapa final'!$Y$29="Muy Baja",'Mapa final'!$AA$29="Moderado"),CONCATENATE("R4C",'Mapa final'!$O$29),"")</f>
        <v/>
      </c>
      <c r="X49" s="84" t="str">
        <f>IF(AND('Mapa final'!$Y$30="Muy Baja",'Mapa final'!$AA$30="Moderado"),CONCATENATE("R4C",'Mapa final'!$O$30),"")</f>
        <v/>
      </c>
      <c r="Y49" s="84" t="str">
        <f>IF(AND('Mapa final'!$Y$31="Muy Baja",'Mapa final'!$AA$31="Moderado"),CONCATENATE("R4C",'Mapa final'!$O$31),"")</f>
        <v/>
      </c>
      <c r="Z49" s="84" t="str">
        <f>IF(AND('Mapa final'!$Y$32="Muy Baja",'Mapa final'!$AA$32="Moderado"),CONCATENATE("R4C",'Mapa final'!$O$32),"")</f>
        <v/>
      </c>
      <c r="AA49" s="85" t="str">
        <f>IF(AND('Mapa final'!$Y$33="Muy Baja",'Mapa final'!$AA$33="Moderado"),CONCATENATE("R4C",'Mapa final'!$O$33),"")</f>
        <v/>
      </c>
      <c r="AB49" s="67" t="str">
        <f>IF(AND('Mapa final'!$Y$28="Muy Baja",'Mapa final'!$AA$28="Mayor"),CONCATENATE("R4C",'Mapa final'!$O$28),"")</f>
        <v/>
      </c>
      <c r="AC49" s="68" t="str">
        <f>IF(AND('Mapa final'!$Y$29="Muy Baja",'Mapa final'!$AA$29="Mayor"),CONCATENATE("R4C",'Mapa final'!$O$29),"")</f>
        <v/>
      </c>
      <c r="AD49" s="68" t="str">
        <f>IF(AND('Mapa final'!$Y$30="Muy Baja",'Mapa final'!$AA$30="Mayor"),CONCATENATE("R4C",'Mapa final'!$O$30),"")</f>
        <v/>
      </c>
      <c r="AE49" s="68" t="str">
        <f>IF(AND('Mapa final'!$Y$31="Muy Baja",'Mapa final'!$AA$31="Mayor"),CONCATENATE("R4C",'Mapa final'!$O$31),"")</f>
        <v/>
      </c>
      <c r="AF49" s="68" t="str">
        <f>IF(AND('Mapa final'!$Y$32="Muy Baja",'Mapa final'!$AA$32="Mayor"),CONCATENATE("R4C",'Mapa final'!$O$32),"")</f>
        <v/>
      </c>
      <c r="AG49" s="69" t="str">
        <f>IF(AND('Mapa final'!$Y$33="Muy Baja",'Mapa final'!$AA$33="Mayor"),CONCATENATE("R4C",'Mapa final'!$O$33),"")</f>
        <v/>
      </c>
      <c r="AH49" s="70" t="str">
        <f>IF(AND('Mapa final'!$Y$28="Muy Baja",'Mapa final'!$AA$28="Catastrófico"),CONCATENATE("R4C",'Mapa final'!$O$28),"")</f>
        <v/>
      </c>
      <c r="AI49" s="71" t="str">
        <f>IF(AND('Mapa final'!$Y$29="Muy Baja",'Mapa final'!$AA$29="Catastrófico"),CONCATENATE("R4C",'Mapa final'!$O$29),"")</f>
        <v/>
      </c>
      <c r="AJ49" s="71" t="str">
        <f>IF(AND('Mapa final'!$Y$30="Muy Baja",'Mapa final'!$AA$30="Catastrófico"),CONCATENATE("R4C",'Mapa final'!$O$30),"")</f>
        <v/>
      </c>
      <c r="AK49" s="71" t="str">
        <f>IF(AND('Mapa final'!$Y$31="Muy Baja",'Mapa final'!$AA$31="Catastrófico"),CONCATENATE("R4C",'Mapa final'!$O$31),"")</f>
        <v/>
      </c>
      <c r="AL49" s="71" t="str">
        <f>IF(AND('Mapa final'!$Y$32="Muy Baja",'Mapa final'!$AA$32="Catastrófico"),CONCATENATE("R4C",'Mapa final'!$O$32),"")</f>
        <v/>
      </c>
      <c r="AM49" s="72" t="str">
        <f>IF(AND('Mapa final'!$Y$33="Muy Baja",'Mapa final'!$AA$33="Catastrófico"),CONCATENATE("R4C",'Mapa final'!$O$33),"")</f>
        <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row>
    <row r="50" spans="1:80" ht="15" customHeight="1" x14ac:dyDescent="0.25">
      <c r="A50" s="99"/>
      <c r="B50" s="342"/>
      <c r="C50" s="342"/>
      <c r="D50" s="343"/>
      <c r="E50" s="383"/>
      <c r="F50" s="384"/>
      <c r="G50" s="384"/>
      <c r="H50" s="384"/>
      <c r="I50" s="385"/>
      <c r="J50" s="92" t="str">
        <f>IF(AND('Mapa final'!$Y$34="Muy Baja",'Mapa final'!$AA$34="Leve"),CONCATENATE("R5C",'Mapa final'!$O$34),"")</f>
        <v/>
      </c>
      <c r="K50" s="93" t="str">
        <f>IF(AND('Mapa final'!$Y$35="Muy Baja",'Mapa final'!$AA$35="Leve"),CONCATENATE("R5C",'Mapa final'!$O$35),"")</f>
        <v/>
      </c>
      <c r="L50" s="93" t="str">
        <f>IF(AND('Mapa final'!$Y$36="Muy Baja",'Mapa final'!$AA$36="Leve"),CONCATENATE("R5C",'Mapa final'!$O$36),"")</f>
        <v/>
      </c>
      <c r="M50" s="93" t="str">
        <f>IF(AND('Mapa final'!$Y$37="Muy Baja",'Mapa final'!$AA$37="Leve"),CONCATENATE("R5C",'Mapa final'!$O$37),"")</f>
        <v/>
      </c>
      <c r="N50" s="93" t="str">
        <f>IF(AND('Mapa final'!$Y$38="Muy Baja",'Mapa final'!$AA$38="Leve"),CONCATENATE("R5C",'Mapa final'!$O$38),"")</f>
        <v/>
      </c>
      <c r="O50" s="94" t="str">
        <f>IF(AND('Mapa final'!$Y$39="Muy Baja",'Mapa final'!$AA$39="Leve"),CONCATENATE("R5C",'Mapa final'!$O$39),"")</f>
        <v/>
      </c>
      <c r="P50" s="92" t="str">
        <f>IF(AND('Mapa final'!$Y$34="Muy Baja",'Mapa final'!$AA$34="Menor"),CONCATENATE("R5C",'Mapa final'!$O$34),"")</f>
        <v/>
      </c>
      <c r="Q50" s="93" t="str">
        <f>IF(AND('Mapa final'!$Y$35="Muy Baja",'Mapa final'!$AA$35="Menor"),CONCATENATE("R5C",'Mapa final'!$O$35),"")</f>
        <v/>
      </c>
      <c r="R50" s="93" t="str">
        <f>IF(AND('Mapa final'!$Y$36="Muy Baja",'Mapa final'!$AA$36="Menor"),CONCATENATE("R5C",'Mapa final'!$O$36),"")</f>
        <v/>
      </c>
      <c r="S50" s="93" t="str">
        <f>IF(AND('Mapa final'!$Y$37="Muy Baja",'Mapa final'!$AA$37="Menor"),CONCATENATE("R5C",'Mapa final'!$O$37),"")</f>
        <v/>
      </c>
      <c r="T50" s="93" t="str">
        <f>IF(AND('Mapa final'!$Y$38="Muy Baja",'Mapa final'!$AA$38="Menor"),CONCATENATE("R5C",'Mapa final'!$O$38),"")</f>
        <v/>
      </c>
      <c r="U50" s="94" t="str">
        <f>IF(AND('Mapa final'!$Y$39="Muy Baja",'Mapa final'!$AA$39="Menor"),CONCATENATE("R5C",'Mapa final'!$O$39),"")</f>
        <v/>
      </c>
      <c r="V50" s="83" t="str">
        <f>IF(AND('Mapa final'!$Y$34="Muy Baja",'Mapa final'!$AA$34="Moderado"),CONCATENATE("R5C",'Mapa final'!$O$34),"")</f>
        <v/>
      </c>
      <c r="W50" s="84" t="str">
        <f>IF(AND('Mapa final'!$Y$35="Muy Baja",'Mapa final'!$AA$35="Moderado"),CONCATENATE("R5C",'Mapa final'!$O$35),"")</f>
        <v/>
      </c>
      <c r="X50" s="84" t="str">
        <f>IF(AND('Mapa final'!$Y$36="Muy Baja",'Mapa final'!$AA$36="Moderado"),CONCATENATE("R5C",'Mapa final'!$O$36),"")</f>
        <v/>
      </c>
      <c r="Y50" s="84" t="str">
        <f>IF(AND('Mapa final'!$Y$37="Muy Baja",'Mapa final'!$AA$37="Moderado"),CONCATENATE("R5C",'Mapa final'!$O$37),"")</f>
        <v/>
      </c>
      <c r="Z50" s="84" t="str">
        <f>IF(AND('Mapa final'!$Y$38="Muy Baja",'Mapa final'!$AA$38="Moderado"),CONCATENATE("R5C",'Mapa final'!$O$38),"")</f>
        <v/>
      </c>
      <c r="AA50" s="85" t="str">
        <f>IF(AND('Mapa final'!$Y$39="Muy Baja",'Mapa final'!$AA$39="Moderado"),CONCATENATE("R5C",'Mapa final'!$O$39),"")</f>
        <v/>
      </c>
      <c r="AB50" s="67" t="str">
        <f>IF(AND('Mapa final'!$Y$34="Muy Baja",'Mapa final'!$AA$34="Mayor"),CONCATENATE("R5C",'Mapa final'!$O$34),"")</f>
        <v/>
      </c>
      <c r="AC50" s="68" t="str">
        <f>IF(AND('Mapa final'!$Y$35="Muy Baja",'Mapa final'!$AA$35="Mayor"),CONCATENATE("R5C",'Mapa final'!$O$35),"")</f>
        <v/>
      </c>
      <c r="AD50" s="73" t="str">
        <f>IF(AND('Mapa final'!$Y$36="Muy Baja",'Mapa final'!$AA$36="Mayor"),CONCATENATE("R5C",'Mapa final'!$O$36),"")</f>
        <v/>
      </c>
      <c r="AE50" s="73" t="str">
        <f>IF(AND('Mapa final'!$Y$37="Muy Baja",'Mapa final'!$AA$37="Mayor"),CONCATENATE("R5C",'Mapa final'!$O$37),"")</f>
        <v/>
      </c>
      <c r="AF50" s="73" t="str">
        <f>IF(AND('Mapa final'!$Y$38="Muy Baja",'Mapa final'!$AA$38="Mayor"),CONCATENATE("R5C",'Mapa final'!$O$38),"")</f>
        <v/>
      </c>
      <c r="AG50" s="69" t="str">
        <f>IF(AND('Mapa final'!$Y$39="Muy Baja",'Mapa final'!$AA$39="Mayor"),CONCATENATE("R5C",'Mapa final'!$O$39),"")</f>
        <v/>
      </c>
      <c r="AH50" s="70" t="str">
        <f>IF(AND('Mapa final'!$Y$34="Muy Baja",'Mapa final'!$AA$34="Catastrófico"),CONCATENATE("R5C",'Mapa final'!$O$34),"")</f>
        <v/>
      </c>
      <c r="AI50" s="71" t="str">
        <f>IF(AND('Mapa final'!$Y$35="Muy Baja",'Mapa final'!$AA$35="Catastrófico"),CONCATENATE("R5C",'Mapa final'!$O$35),"")</f>
        <v/>
      </c>
      <c r="AJ50" s="71" t="str">
        <f>IF(AND('Mapa final'!$Y$36="Muy Baja",'Mapa final'!$AA$36="Catastrófico"),CONCATENATE("R5C",'Mapa final'!$O$36),"")</f>
        <v/>
      </c>
      <c r="AK50" s="71" t="str">
        <f>IF(AND('Mapa final'!$Y$37="Muy Baja",'Mapa final'!$AA$37="Catastrófico"),CONCATENATE("R5C",'Mapa final'!$O$37),"")</f>
        <v/>
      </c>
      <c r="AL50" s="71" t="str">
        <f>IF(AND('Mapa final'!$Y$38="Muy Baja",'Mapa final'!$AA$38="Catastrófico"),CONCATENATE("R5C",'Mapa final'!$O$38),"")</f>
        <v/>
      </c>
      <c r="AM50" s="72" t="str">
        <f>IF(AND('Mapa final'!$Y$39="Muy Baja",'Mapa final'!$AA$39="Catastrófico"),CONCATENATE("R5C",'Mapa final'!$O$39),"")</f>
        <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row>
    <row r="51" spans="1:80" ht="15" customHeight="1" x14ac:dyDescent="0.25">
      <c r="A51" s="99"/>
      <c r="B51" s="342"/>
      <c r="C51" s="342"/>
      <c r="D51" s="343"/>
      <c r="E51" s="383"/>
      <c r="F51" s="384"/>
      <c r="G51" s="384"/>
      <c r="H51" s="384"/>
      <c r="I51" s="385"/>
      <c r="J51" s="92" t="str">
        <f>IF(AND('Mapa final'!$Y$40="Muy Baja",'Mapa final'!$AA$40="Leve"),CONCATENATE("R6C",'Mapa final'!$O$40),"")</f>
        <v/>
      </c>
      <c r="K51" s="93" t="str">
        <f>IF(AND('Mapa final'!$Y$41="Muy Baja",'Mapa final'!$AA$41="Leve"),CONCATENATE("R6C",'Mapa final'!$O$41),"")</f>
        <v/>
      </c>
      <c r="L51" s="93" t="str">
        <f>IF(AND('Mapa final'!$Y$42="Muy Baja",'Mapa final'!$AA$42="Leve"),CONCATENATE("R6C",'Mapa final'!$O$42),"")</f>
        <v/>
      </c>
      <c r="M51" s="93" t="str">
        <f>IF(AND('Mapa final'!$Y$43="Muy Baja",'Mapa final'!$AA$43="Leve"),CONCATENATE("R6C",'Mapa final'!$O$43),"")</f>
        <v/>
      </c>
      <c r="N51" s="93" t="str">
        <f>IF(AND('Mapa final'!$Y$44="Muy Baja",'Mapa final'!$AA$44="Leve"),CONCATENATE("R6C",'Mapa final'!$O$44),"")</f>
        <v/>
      </c>
      <c r="O51" s="94" t="str">
        <f>IF(AND('Mapa final'!$Y$45="Muy Baja",'Mapa final'!$AA$45="Leve"),CONCATENATE("R6C",'Mapa final'!$O$45),"")</f>
        <v/>
      </c>
      <c r="P51" s="92" t="str">
        <f>IF(AND('Mapa final'!$Y$40="Muy Baja",'Mapa final'!$AA$40="Menor"),CONCATENATE("R6C",'Mapa final'!$O$40),"")</f>
        <v/>
      </c>
      <c r="Q51" s="93" t="str">
        <f>IF(AND('Mapa final'!$Y$41="Muy Baja",'Mapa final'!$AA$41="Menor"),CONCATENATE("R6C",'Mapa final'!$O$41),"")</f>
        <v/>
      </c>
      <c r="R51" s="93" t="str">
        <f>IF(AND('Mapa final'!$Y$42="Muy Baja",'Mapa final'!$AA$42="Menor"),CONCATENATE("R6C",'Mapa final'!$O$42),"")</f>
        <v/>
      </c>
      <c r="S51" s="93" t="str">
        <f>IF(AND('Mapa final'!$Y$43="Muy Baja",'Mapa final'!$AA$43="Menor"),CONCATENATE("R6C",'Mapa final'!$O$43),"")</f>
        <v/>
      </c>
      <c r="T51" s="93" t="str">
        <f>IF(AND('Mapa final'!$Y$44="Muy Baja",'Mapa final'!$AA$44="Menor"),CONCATENATE("R6C",'Mapa final'!$O$44),"")</f>
        <v/>
      </c>
      <c r="U51" s="94" t="str">
        <f>IF(AND('Mapa final'!$Y$45="Muy Baja",'Mapa final'!$AA$45="Menor"),CONCATENATE("R6C",'Mapa final'!$O$45),"")</f>
        <v/>
      </c>
      <c r="V51" s="83" t="str">
        <f>IF(AND('Mapa final'!$Y$40="Muy Baja",'Mapa final'!$AA$40="Moderado"),CONCATENATE("R6C",'Mapa final'!$O$40),"")</f>
        <v/>
      </c>
      <c r="W51" s="84" t="str">
        <f>IF(AND('Mapa final'!$Y$41="Muy Baja",'Mapa final'!$AA$41="Moderado"),CONCATENATE("R6C",'Mapa final'!$O$41),"")</f>
        <v/>
      </c>
      <c r="X51" s="84" t="str">
        <f>IF(AND('Mapa final'!$Y$42="Muy Baja",'Mapa final'!$AA$42="Moderado"),CONCATENATE("R6C",'Mapa final'!$O$42),"")</f>
        <v/>
      </c>
      <c r="Y51" s="84" t="str">
        <f>IF(AND('Mapa final'!$Y$43="Muy Baja",'Mapa final'!$AA$43="Moderado"),CONCATENATE("R6C",'Mapa final'!$O$43),"")</f>
        <v/>
      </c>
      <c r="Z51" s="84" t="str">
        <f>IF(AND('Mapa final'!$Y$44="Muy Baja",'Mapa final'!$AA$44="Moderado"),CONCATENATE("R6C",'Mapa final'!$O$44),"")</f>
        <v/>
      </c>
      <c r="AA51" s="85" t="str">
        <f>IF(AND('Mapa final'!$Y$45="Muy Baja",'Mapa final'!$AA$45="Moderado"),CONCATENATE("R6C",'Mapa final'!$O$45),"")</f>
        <v/>
      </c>
      <c r="AB51" s="67" t="str">
        <f>IF(AND('Mapa final'!$Y$40="Muy Baja",'Mapa final'!$AA$40="Mayor"),CONCATENATE("R6C",'Mapa final'!$O$40),"")</f>
        <v/>
      </c>
      <c r="AC51" s="68" t="str">
        <f>IF(AND('Mapa final'!$Y$41="Muy Baja",'Mapa final'!$AA$41="Mayor"),CONCATENATE("R6C",'Mapa final'!$O$41),"")</f>
        <v/>
      </c>
      <c r="AD51" s="73" t="str">
        <f>IF(AND('Mapa final'!$Y$42="Muy Baja",'Mapa final'!$AA$42="Mayor"),CONCATENATE("R6C",'Mapa final'!$O$42),"")</f>
        <v/>
      </c>
      <c r="AE51" s="73" t="str">
        <f>IF(AND('Mapa final'!$Y$43="Muy Baja",'Mapa final'!$AA$43="Mayor"),CONCATENATE("R6C",'Mapa final'!$O$43),"")</f>
        <v/>
      </c>
      <c r="AF51" s="73" t="str">
        <f>IF(AND('Mapa final'!$Y$44="Muy Baja",'Mapa final'!$AA$44="Mayor"),CONCATENATE("R6C",'Mapa final'!$O$44),"")</f>
        <v/>
      </c>
      <c r="AG51" s="69" t="str">
        <f>IF(AND('Mapa final'!$Y$45="Muy Baja",'Mapa final'!$AA$45="Mayor"),CONCATENATE("R6C",'Mapa final'!$O$45),"")</f>
        <v/>
      </c>
      <c r="AH51" s="70" t="str">
        <f>IF(AND('Mapa final'!$Y$40="Muy Baja",'Mapa final'!$AA$40="Catastrófico"),CONCATENATE("R6C",'Mapa final'!$O$40),"")</f>
        <v/>
      </c>
      <c r="AI51" s="71" t="str">
        <f>IF(AND('Mapa final'!$Y$41="Muy Baja",'Mapa final'!$AA$41="Catastrófico"),CONCATENATE("R6C",'Mapa final'!$O$41),"")</f>
        <v/>
      </c>
      <c r="AJ51" s="71" t="str">
        <f>IF(AND('Mapa final'!$Y$42="Muy Baja",'Mapa final'!$AA$42="Catastrófico"),CONCATENATE("R6C",'Mapa final'!$O$42),"")</f>
        <v/>
      </c>
      <c r="AK51" s="71" t="str">
        <f>IF(AND('Mapa final'!$Y$43="Muy Baja",'Mapa final'!$AA$43="Catastrófico"),CONCATENATE("R6C",'Mapa final'!$O$43),"")</f>
        <v/>
      </c>
      <c r="AL51" s="71" t="str">
        <f>IF(AND('Mapa final'!$Y$44="Muy Baja",'Mapa final'!$AA$44="Catastrófico"),CONCATENATE("R6C",'Mapa final'!$O$44),"")</f>
        <v/>
      </c>
      <c r="AM51" s="72" t="str">
        <f>IF(AND('Mapa final'!$Y$45="Muy Baja",'Mapa final'!$AA$45="Catastrófico"),CONCATENATE("R6C",'Mapa final'!$O$45),"")</f>
        <v/>
      </c>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row>
    <row r="52" spans="1:80" ht="15" customHeight="1" x14ac:dyDescent="0.25">
      <c r="A52" s="99"/>
      <c r="B52" s="342"/>
      <c r="C52" s="342"/>
      <c r="D52" s="343"/>
      <c r="E52" s="383"/>
      <c r="F52" s="384"/>
      <c r="G52" s="384"/>
      <c r="H52" s="384"/>
      <c r="I52" s="385"/>
      <c r="J52" s="92" t="str">
        <f>IF(AND('Mapa final'!$Y$46="Muy Baja",'Mapa final'!$AA$46="Leve"),CONCATENATE("R7C",'Mapa final'!$O$46),"")</f>
        <v/>
      </c>
      <c r="K52" s="93" t="str">
        <f>IF(AND('Mapa final'!$Y$47="Muy Baja",'Mapa final'!$AA$47="Leve"),CONCATENATE("R7C",'Mapa final'!$O$47),"")</f>
        <v/>
      </c>
      <c r="L52" s="93" t="str">
        <f>IF(AND('Mapa final'!$Y$48="Muy Baja",'Mapa final'!$AA$48="Leve"),CONCATENATE("R7C",'Mapa final'!$O$48),"")</f>
        <v/>
      </c>
      <c r="M52" s="93" t="str">
        <f>IF(AND('Mapa final'!$Y$49="Muy Baja",'Mapa final'!$AA$49="Leve"),CONCATENATE("R7C",'Mapa final'!$O$49),"")</f>
        <v/>
      </c>
      <c r="N52" s="93" t="str">
        <f>IF(AND('Mapa final'!$Y$50="Muy Baja",'Mapa final'!$AA$50="Leve"),CONCATENATE("R7C",'Mapa final'!$O$50),"")</f>
        <v/>
      </c>
      <c r="O52" s="94" t="str">
        <f>IF(AND('Mapa final'!$Y$51="Muy Baja",'Mapa final'!$AA$51="Leve"),CONCATENATE("R7C",'Mapa final'!$O$51),"")</f>
        <v/>
      </c>
      <c r="P52" s="92" t="str">
        <f>IF(AND('Mapa final'!$Y$46="Muy Baja",'Mapa final'!$AA$46="Menor"),CONCATENATE("R7C",'Mapa final'!$O$46),"")</f>
        <v/>
      </c>
      <c r="Q52" s="93" t="str">
        <f>IF(AND('Mapa final'!$Y$47="Muy Baja",'Mapa final'!$AA$47="Menor"),CONCATENATE("R7C",'Mapa final'!$O$47),"")</f>
        <v/>
      </c>
      <c r="R52" s="93" t="str">
        <f>IF(AND('Mapa final'!$Y$48="Muy Baja",'Mapa final'!$AA$48="Menor"),CONCATENATE("R7C",'Mapa final'!$O$48),"")</f>
        <v/>
      </c>
      <c r="S52" s="93" t="str">
        <f>IF(AND('Mapa final'!$Y$49="Muy Baja",'Mapa final'!$AA$49="Menor"),CONCATENATE("R7C",'Mapa final'!$O$49),"")</f>
        <v/>
      </c>
      <c r="T52" s="93" t="str">
        <f>IF(AND('Mapa final'!$Y$50="Muy Baja",'Mapa final'!$AA$50="Menor"),CONCATENATE("R7C",'Mapa final'!$O$50),"")</f>
        <v/>
      </c>
      <c r="U52" s="94" t="str">
        <f>IF(AND('Mapa final'!$Y$51="Muy Baja",'Mapa final'!$AA$51="Menor"),CONCATENATE("R7C",'Mapa final'!$O$51),"")</f>
        <v/>
      </c>
      <c r="V52" s="83" t="str">
        <f>IF(AND('Mapa final'!$Y$46="Muy Baja",'Mapa final'!$AA$46="Moderado"),CONCATENATE("R7C",'Mapa final'!$O$46),"")</f>
        <v/>
      </c>
      <c r="W52" s="84" t="str">
        <f>IF(AND('Mapa final'!$Y$47="Muy Baja",'Mapa final'!$AA$47="Moderado"),CONCATENATE("R7C",'Mapa final'!$O$47),"")</f>
        <v/>
      </c>
      <c r="X52" s="84" t="str">
        <f>IF(AND('Mapa final'!$Y$48="Muy Baja",'Mapa final'!$AA$48="Moderado"),CONCATENATE("R7C",'Mapa final'!$O$48),"")</f>
        <v/>
      </c>
      <c r="Y52" s="84" t="str">
        <f>IF(AND('Mapa final'!$Y$49="Muy Baja",'Mapa final'!$AA$49="Moderado"),CONCATENATE("R7C",'Mapa final'!$O$49),"")</f>
        <v/>
      </c>
      <c r="Z52" s="84" t="str">
        <f>IF(AND('Mapa final'!$Y$50="Muy Baja",'Mapa final'!$AA$50="Moderado"),CONCATENATE("R7C",'Mapa final'!$O$50),"")</f>
        <v/>
      </c>
      <c r="AA52" s="85" t="str">
        <f>IF(AND('Mapa final'!$Y$51="Muy Baja",'Mapa final'!$AA$51="Moderado"),CONCATENATE("R7C",'Mapa final'!$O$51),"")</f>
        <v/>
      </c>
      <c r="AB52" s="67" t="str">
        <f>IF(AND('Mapa final'!$Y$46="Muy Baja",'Mapa final'!$AA$46="Mayor"),CONCATENATE("R7C",'Mapa final'!$O$46),"")</f>
        <v/>
      </c>
      <c r="AC52" s="68" t="str">
        <f>IF(AND('Mapa final'!$Y$47="Muy Baja",'Mapa final'!$AA$47="Mayor"),CONCATENATE("R7C",'Mapa final'!$O$47),"")</f>
        <v/>
      </c>
      <c r="AD52" s="73" t="str">
        <f>IF(AND('Mapa final'!$Y$48="Muy Baja",'Mapa final'!$AA$48="Mayor"),CONCATENATE("R7C",'Mapa final'!$O$48),"")</f>
        <v/>
      </c>
      <c r="AE52" s="73" t="str">
        <f>IF(AND('Mapa final'!$Y$49="Muy Baja",'Mapa final'!$AA$49="Mayor"),CONCATENATE("R7C",'Mapa final'!$O$49),"")</f>
        <v/>
      </c>
      <c r="AF52" s="73" t="str">
        <f>IF(AND('Mapa final'!$Y$50="Muy Baja",'Mapa final'!$AA$50="Mayor"),CONCATENATE("R7C",'Mapa final'!$O$50),"")</f>
        <v/>
      </c>
      <c r="AG52" s="69" t="str">
        <f>IF(AND('Mapa final'!$Y$51="Muy Baja",'Mapa final'!$AA$51="Mayor"),CONCATENATE("R7C",'Mapa final'!$O$51),"")</f>
        <v/>
      </c>
      <c r="AH52" s="70" t="str">
        <f>IF(AND('Mapa final'!$Y$46="Muy Baja",'Mapa final'!$AA$46="Catastrófico"),CONCATENATE("R7C",'Mapa final'!$O$46),"")</f>
        <v/>
      </c>
      <c r="AI52" s="71" t="str">
        <f>IF(AND('Mapa final'!$Y$47="Muy Baja",'Mapa final'!$AA$47="Catastrófico"),CONCATENATE("R7C",'Mapa final'!$O$47),"")</f>
        <v/>
      </c>
      <c r="AJ52" s="71" t="str">
        <f>IF(AND('Mapa final'!$Y$48="Muy Baja",'Mapa final'!$AA$48="Catastrófico"),CONCATENATE("R7C",'Mapa final'!$O$48),"")</f>
        <v/>
      </c>
      <c r="AK52" s="71" t="str">
        <f>IF(AND('Mapa final'!$Y$49="Muy Baja",'Mapa final'!$AA$49="Catastrófico"),CONCATENATE("R7C",'Mapa final'!$O$49),"")</f>
        <v/>
      </c>
      <c r="AL52" s="71" t="str">
        <f>IF(AND('Mapa final'!$Y$50="Muy Baja",'Mapa final'!$AA$50="Catastrófico"),CONCATENATE("R7C",'Mapa final'!$O$50),"")</f>
        <v/>
      </c>
      <c r="AM52" s="72" t="str">
        <f>IF(AND('Mapa final'!$Y$51="Muy Baja",'Mapa final'!$AA$51="Catastrófico"),CONCATENATE("R7C",'Mapa final'!$O$51),"")</f>
        <v/>
      </c>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row>
    <row r="53" spans="1:80" ht="15" customHeight="1" x14ac:dyDescent="0.25">
      <c r="A53" s="99"/>
      <c r="B53" s="342"/>
      <c r="C53" s="342"/>
      <c r="D53" s="343"/>
      <c r="E53" s="383"/>
      <c r="F53" s="384"/>
      <c r="G53" s="384"/>
      <c r="H53" s="384"/>
      <c r="I53" s="385"/>
      <c r="J53" s="92" t="str">
        <f>IF(AND('Mapa final'!$Y$52="Muy Baja",'Mapa final'!$AA$52="Leve"),CONCATENATE("R8C",'Mapa final'!$O$52),"")</f>
        <v/>
      </c>
      <c r="K53" s="93" t="str">
        <f>IF(AND('Mapa final'!$Y$53="Muy Baja",'Mapa final'!$AA$53="Leve"),CONCATENATE("R8C",'Mapa final'!$O$53),"")</f>
        <v/>
      </c>
      <c r="L53" s="93" t="str">
        <f>IF(AND('Mapa final'!$Y$54="Muy Baja",'Mapa final'!$AA$54="Leve"),CONCATENATE("R8C",'Mapa final'!$O$54),"")</f>
        <v/>
      </c>
      <c r="M53" s="93" t="str">
        <f>IF(AND('Mapa final'!$Y$55="Muy Baja",'Mapa final'!$AA$55="Leve"),CONCATENATE("R8C",'Mapa final'!$O$55),"")</f>
        <v/>
      </c>
      <c r="N53" s="93" t="str">
        <f>IF(AND('Mapa final'!$Y$56="Muy Baja",'Mapa final'!$AA$56="Leve"),CONCATENATE("R8C",'Mapa final'!$O$56),"")</f>
        <v/>
      </c>
      <c r="O53" s="94" t="str">
        <f>IF(AND('Mapa final'!$Y$57="Muy Baja",'Mapa final'!$AA$57="Leve"),CONCATENATE("R8C",'Mapa final'!$O$57),"")</f>
        <v/>
      </c>
      <c r="P53" s="92" t="str">
        <f>IF(AND('Mapa final'!$Y$52="Muy Baja",'Mapa final'!$AA$52="Menor"),CONCATENATE("R8C",'Mapa final'!$O$52),"")</f>
        <v/>
      </c>
      <c r="Q53" s="93" t="str">
        <f>IF(AND('Mapa final'!$Y$53="Muy Baja",'Mapa final'!$AA$53="Menor"),CONCATENATE("R8C",'Mapa final'!$O$53),"")</f>
        <v/>
      </c>
      <c r="R53" s="93" t="str">
        <f>IF(AND('Mapa final'!$Y$54="Muy Baja",'Mapa final'!$AA$54="Menor"),CONCATENATE("R8C",'Mapa final'!$O$54),"")</f>
        <v/>
      </c>
      <c r="S53" s="93" t="str">
        <f>IF(AND('Mapa final'!$Y$55="Muy Baja",'Mapa final'!$AA$55="Menor"),CONCATENATE("R8C",'Mapa final'!$O$55),"")</f>
        <v/>
      </c>
      <c r="T53" s="93" t="str">
        <f>IF(AND('Mapa final'!$Y$56="Muy Baja",'Mapa final'!$AA$56="Menor"),CONCATENATE("R8C",'Mapa final'!$O$56),"")</f>
        <v/>
      </c>
      <c r="U53" s="94" t="str">
        <f>IF(AND('Mapa final'!$Y$57="Muy Baja",'Mapa final'!$AA$57="Menor"),CONCATENATE("R8C",'Mapa final'!$O$57),"")</f>
        <v/>
      </c>
      <c r="V53" s="83" t="str">
        <f>IF(AND('Mapa final'!$Y$52="Muy Baja",'Mapa final'!$AA$52="Moderado"),CONCATENATE("R8C",'Mapa final'!$O$52),"")</f>
        <v/>
      </c>
      <c r="W53" s="84" t="str">
        <f>IF(AND('Mapa final'!$Y$53="Muy Baja",'Mapa final'!$AA$53="Moderado"),CONCATENATE("R8C",'Mapa final'!$O$53),"")</f>
        <v/>
      </c>
      <c r="X53" s="84" t="str">
        <f>IF(AND('Mapa final'!$Y$54="Muy Baja",'Mapa final'!$AA$54="Moderado"),CONCATENATE("R8C",'Mapa final'!$O$54),"")</f>
        <v/>
      </c>
      <c r="Y53" s="84" t="str">
        <f>IF(AND('Mapa final'!$Y$55="Muy Baja",'Mapa final'!$AA$55="Moderado"),CONCATENATE("R8C",'Mapa final'!$O$55),"")</f>
        <v/>
      </c>
      <c r="Z53" s="84" t="str">
        <f>IF(AND('Mapa final'!$Y$56="Muy Baja",'Mapa final'!$AA$56="Moderado"),CONCATENATE("R8C",'Mapa final'!$O$56),"")</f>
        <v/>
      </c>
      <c r="AA53" s="85" t="str">
        <f>IF(AND('Mapa final'!$Y$57="Muy Baja",'Mapa final'!$AA$57="Moderado"),CONCATENATE("R8C",'Mapa final'!$O$57),"")</f>
        <v/>
      </c>
      <c r="AB53" s="67" t="str">
        <f>IF(AND('Mapa final'!$Y$52="Muy Baja",'Mapa final'!$AA$52="Mayor"),CONCATENATE("R8C",'Mapa final'!$O$52),"")</f>
        <v/>
      </c>
      <c r="AC53" s="68" t="str">
        <f>IF(AND('Mapa final'!$Y$53="Muy Baja",'Mapa final'!$AA$53="Mayor"),CONCATENATE("R8C",'Mapa final'!$O$53),"")</f>
        <v/>
      </c>
      <c r="AD53" s="73" t="str">
        <f>IF(AND('Mapa final'!$Y$54="Muy Baja",'Mapa final'!$AA$54="Mayor"),CONCATENATE("R8C",'Mapa final'!$O$54),"")</f>
        <v>R8C3</v>
      </c>
      <c r="AE53" s="73" t="str">
        <f>IF(AND('Mapa final'!$Y$55="Muy Baja",'Mapa final'!$AA$55="Mayor"),CONCATENATE("R8C",'Mapa final'!$O$55),"")</f>
        <v/>
      </c>
      <c r="AF53" s="73" t="str">
        <f>IF(AND('Mapa final'!$Y$56="Muy Baja",'Mapa final'!$AA$56="Mayor"),CONCATENATE("R8C",'Mapa final'!$O$56),"")</f>
        <v/>
      </c>
      <c r="AG53" s="69" t="str">
        <f>IF(AND('Mapa final'!$Y$57="Muy Baja",'Mapa final'!$AA$57="Mayor"),CONCATENATE("R8C",'Mapa final'!$O$57),"")</f>
        <v/>
      </c>
      <c r="AH53" s="70" t="str">
        <f>IF(AND('Mapa final'!$Y$52="Muy Baja",'Mapa final'!$AA$52="Catastrófico"),CONCATENATE("R8C",'Mapa final'!$O$52),"")</f>
        <v/>
      </c>
      <c r="AI53" s="71" t="str">
        <f>IF(AND('Mapa final'!$Y$53="Muy Baja",'Mapa final'!$AA$53="Catastrófico"),CONCATENATE("R8C",'Mapa final'!$O$53),"")</f>
        <v/>
      </c>
      <c r="AJ53" s="71" t="str">
        <f>IF(AND('Mapa final'!$Y$54="Muy Baja",'Mapa final'!$AA$54="Catastrófico"),CONCATENATE("R8C",'Mapa final'!$O$54),"")</f>
        <v/>
      </c>
      <c r="AK53" s="71" t="str">
        <f>IF(AND('Mapa final'!$Y$55="Muy Baja",'Mapa final'!$AA$55="Catastrófico"),CONCATENATE("R8C",'Mapa final'!$O$55),"")</f>
        <v/>
      </c>
      <c r="AL53" s="71" t="str">
        <f>IF(AND('Mapa final'!$Y$56="Muy Baja",'Mapa final'!$AA$56="Catastrófico"),CONCATENATE("R8C",'Mapa final'!$O$56),"")</f>
        <v/>
      </c>
      <c r="AM53" s="72" t="str">
        <f>IF(AND('Mapa final'!$Y$57="Muy Baja",'Mapa final'!$AA$57="Catastrófico"),CONCATENATE("R8C",'Mapa final'!$O$57),"")</f>
        <v/>
      </c>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row>
    <row r="54" spans="1:80" ht="15" customHeight="1" x14ac:dyDescent="0.25">
      <c r="A54" s="99"/>
      <c r="B54" s="342"/>
      <c r="C54" s="342"/>
      <c r="D54" s="343"/>
      <c r="E54" s="383"/>
      <c r="F54" s="384"/>
      <c r="G54" s="384"/>
      <c r="H54" s="384"/>
      <c r="I54" s="385"/>
      <c r="J54" s="92" t="str">
        <f>IF(AND('Mapa final'!$Y$58="Muy Baja",'Mapa final'!$AA$58="Leve"),CONCATENATE("R9C",'Mapa final'!$O$58),"")</f>
        <v/>
      </c>
      <c r="K54" s="93" t="str">
        <f>IF(AND('Mapa final'!$Y$59="Muy Baja",'Mapa final'!$AA$59="Leve"),CONCATENATE("R9C",'Mapa final'!$O$59),"")</f>
        <v/>
      </c>
      <c r="L54" s="93" t="str">
        <f>IF(AND('Mapa final'!$Y$60="Muy Baja",'Mapa final'!$AA$60="Leve"),CONCATENATE("R9C",'Mapa final'!$O$60),"")</f>
        <v/>
      </c>
      <c r="M54" s="93" t="str">
        <f>IF(AND('Mapa final'!$Y$61="Muy Baja",'Mapa final'!$AA$61="Leve"),CONCATENATE("R9C",'Mapa final'!$O$61),"")</f>
        <v/>
      </c>
      <c r="N54" s="93" t="str">
        <f>IF(AND('Mapa final'!$Y$62="Muy Baja",'Mapa final'!$AA$62="Leve"),CONCATENATE("R9C",'Mapa final'!$O$62),"")</f>
        <v/>
      </c>
      <c r="O54" s="94" t="str">
        <f>IF(AND('Mapa final'!$Y$63="Muy Baja",'Mapa final'!$AA$63="Leve"),CONCATENATE("R9C",'Mapa final'!$O$63),"")</f>
        <v/>
      </c>
      <c r="P54" s="92" t="str">
        <f>IF(AND('Mapa final'!$Y$58="Muy Baja",'Mapa final'!$AA$58="Menor"),CONCATENATE("R9C",'Mapa final'!$O$58),"")</f>
        <v/>
      </c>
      <c r="Q54" s="93" t="str">
        <f>IF(AND('Mapa final'!$Y$59="Muy Baja",'Mapa final'!$AA$59="Menor"),CONCATENATE("R9C",'Mapa final'!$O$59),"")</f>
        <v/>
      </c>
      <c r="R54" s="93" t="str">
        <f>IF(AND('Mapa final'!$Y$60="Muy Baja",'Mapa final'!$AA$60="Menor"),CONCATENATE("R9C",'Mapa final'!$O$60),"")</f>
        <v/>
      </c>
      <c r="S54" s="93" t="str">
        <f>IF(AND('Mapa final'!$Y$61="Muy Baja",'Mapa final'!$AA$61="Menor"),CONCATENATE("R9C",'Mapa final'!$O$61),"")</f>
        <v/>
      </c>
      <c r="T54" s="93" t="str">
        <f>IF(AND('Mapa final'!$Y$62="Muy Baja",'Mapa final'!$AA$62="Menor"),CONCATENATE("R9C",'Mapa final'!$O$62),"")</f>
        <v/>
      </c>
      <c r="U54" s="94" t="str">
        <f>IF(AND('Mapa final'!$Y$63="Muy Baja",'Mapa final'!$AA$63="Menor"),CONCATENATE("R9C",'Mapa final'!$O$63),"")</f>
        <v/>
      </c>
      <c r="V54" s="83" t="str">
        <f>IF(AND('Mapa final'!$Y$58="Muy Baja",'Mapa final'!$AA$58="Moderado"),CONCATENATE("R9C",'Mapa final'!$O$58),"")</f>
        <v/>
      </c>
      <c r="W54" s="84" t="str">
        <f>IF(AND('Mapa final'!$Y$59="Muy Baja",'Mapa final'!$AA$59="Moderado"),CONCATENATE("R9C",'Mapa final'!$O$59),"")</f>
        <v/>
      </c>
      <c r="X54" s="84" t="str">
        <f>IF(AND('Mapa final'!$Y$60="Muy Baja",'Mapa final'!$AA$60="Moderado"),CONCATENATE("R9C",'Mapa final'!$O$60),"")</f>
        <v/>
      </c>
      <c r="Y54" s="84" t="str">
        <f>IF(AND('Mapa final'!$Y$61="Muy Baja",'Mapa final'!$AA$61="Moderado"),CONCATENATE("R9C",'Mapa final'!$O$61),"")</f>
        <v/>
      </c>
      <c r="Z54" s="84" t="str">
        <f>IF(AND('Mapa final'!$Y$62="Muy Baja",'Mapa final'!$AA$62="Moderado"),CONCATENATE("R9C",'Mapa final'!$O$62),"")</f>
        <v/>
      </c>
      <c r="AA54" s="85" t="str">
        <f>IF(AND('Mapa final'!$Y$63="Muy Baja",'Mapa final'!$AA$63="Moderado"),CONCATENATE("R9C",'Mapa final'!$O$63),"")</f>
        <v/>
      </c>
      <c r="AB54" s="67" t="str">
        <f>IF(AND('Mapa final'!$Y$58="Muy Baja",'Mapa final'!$AA$58="Mayor"),CONCATENATE("R9C",'Mapa final'!$O$58),"")</f>
        <v/>
      </c>
      <c r="AC54" s="68" t="str">
        <f>IF(AND('Mapa final'!$Y$59="Muy Baja",'Mapa final'!$AA$59="Mayor"),CONCATENATE("R9C",'Mapa final'!$O$59),"")</f>
        <v/>
      </c>
      <c r="AD54" s="73" t="str">
        <f>IF(AND('Mapa final'!$Y$60="Muy Baja",'Mapa final'!$AA$60="Mayor"),CONCATENATE("R9C",'Mapa final'!$O$60),"")</f>
        <v/>
      </c>
      <c r="AE54" s="73" t="str">
        <f>IF(AND('Mapa final'!$Y$61="Muy Baja",'Mapa final'!$AA$61="Mayor"),CONCATENATE("R9C",'Mapa final'!$O$61),"")</f>
        <v/>
      </c>
      <c r="AF54" s="73" t="str">
        <f>IF(AND('Mapa final'!$Y$62="Muy Baja",'Mapa final'!$AA$62="Mayor"),CONCATENATE("R9C",'Mapa final'!$O$62),"")</f>
        <v/>
      </c>
      <c r="AG54" s="69" t="str">
        <f>IF(AND('Mapa final'!$Y$63="Muy Baja",'Mapa final'!$AA$63="Mayor"),CONCATENATE("R9C",'Mapa final'!$O$63),"")</f>
        <v/>
      </c>
      <c r="AH54" s="70" t="str">
        <f>IF(AND('Mapa final'!$Y$58="Muy Baja",'Mapa final'!$AA$58="Catastrófico"),CONCATENATE("R9C",'Mapa final'!$O$58),"")</f>
        <v/>
      </c>
      <c r="AI54" s="71" t="str">
        <f>IF(AND('Mapa final'!$Y$59="Muy Baja",'Mapa final'!$AA$59="Catastrófico"),CONCATENATE("R9C",'Mapa final'!$O$59),"")</f>
        <v/>
      </c>
      <c r="AJ54" s="71" t="str">
        <f>IF(AND('Mapa final'!$Y$60="Muy Baja",'Mapa final'!$AA$60="Catastrófico"),CONCATENATE("R9C",'Mapa final'!$O$60),"")</f>
        <v/>
      </c>
      <c r="AK54" s="71" t="str">
        <f>IF(AND('Mapa final'!$Y$61="Muy Baja",'Mapa final'!$AA$61="Catastrófico"),CONCATENATE("R9C",'Mapa final'!$O$61),"")</f>
        <v/>
      </c>
      <c r="AL54" s="71" t="str">
        <f>IF(AND('Mapa final'!$Y$62="Muy Baja",'Mapa final'!$AA$62="Catastrófico"),CONCATENATE("R9C",'Mapa final'!$O$62),"")</f>
        <v/>
      </c>
      <c r="AM54" s="72" t="str">
        <f>IF(AND('Mapa final'!$Y$63="Muy Baja",'Mapa final'!$AA$63="Catastrófico"),CONCATENATE("R9C",'Mapa final'!$O$63),"")</f>
        <v/>
      </c>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row>
    <row r="55" spans="1:80" ht="15.75" customHeight="1" thickBot="1" x14ac:dyDescent="0.3">
      <c r="A55" s="99"/>
      <c r="B55" s="342"/>
      <c r="C55" s="342"/>
      <c r="D55" s="343"/>
      <c r="E55" s="386"/>
      <c r="F55" s="387"/>
      <c r="G55" s="387"/>
      <c r="H55" s="387"/>
      <c r="I55" s="388"/>
      <c r="J55" s="95" t="str">
        <f>IF(AND('Mapa final'!$Y$64="Muy Baja",'Mapa final'!$AA$64="Leve"),CONCATENATE("R10C",'Mapa final'!$O$64),"")</f>
        <v/>
      </c>
      <c r="K55" s="96" t="str">
        <f>IF(AND('Mapa final'!$Y$65="Muy Baja",'Mapa final'!$AA$65="Leve"),CONCATENATE("R10C",'Mapa final'!$O$65),"")</f>
        <v/>
      </c>
      <c r="L55" s="96" t="str">
        <f>IF(AND('Mapa final'!$Y$66="Muy Baja",'Mapa final'!$AA$66="Leve"),CONCATENATE("R10C",'Mapa final'!$O$66),"")</f>
        <v/>
      </c>
      <c r="M55" s="96" t="str">
        <f>IF(AND('Mapa final'!$Y$67="Muy Baja",'Mapa final'!$AA$67="Leve"),CONCATENATE("R10C",'Mapa final'!$O$67),"")</f>
        <v/>
      </c>
      <c r="N55" s="96" t="str">
        <f>IF(AND('Mapa final'!$Y$68="Muy Baja",'Mapa final'!$AA$68="Leve"),CONCATENATE("R10C",'Mapa final'!$O$68),"")</f>
        <v/>
      </c>
      <c r="O55" s="97" t="str">
        <f>IF(AND('Mapa final'!$Y$69="Muy Baja",'Mapa final'!$AA$69="Leve"),CONCATENATE("R10C",'Mapa final'!$O$69),"")</f>
        <v/>
      </c>
      <c r="P55" s="95" t="str">
        <f>IF(AND('Mapa final'!$Y$64="Muy Baja",'Mapa final'!$AA$64="Menor"),CONCATENATE("R10C",'Mapa final'!$O$64),"")</f>
        <v/>
      </c>
      <c r="Q55" s="96" t="str">
        <f>IF(AND('Mapa final'!$Y$65="Muy Baja",'Mapa final'!$AA$65="Menor"),CONCATENATE("R10C",'Mapa final'!$O$65),"")</f>
        <v/>
      </c>
      <c r="R55" s="96" t="str">
        <f>IF(AND('Mapa final'!$Y$66="Muy Baja",'Mapa final'!$AA$66="Menor"),CONCATENATE("R10C",'Mapa final'!$O$66),"")</f>
        <v/>
      </c>
      <c r="S55" s="96" t="str">
        <f>IF(AND('Mapa final'!$Y$67="Muy Baja",'Mapa final'!$AA$67="Menor"),CONCATENATE("R10C",'Mapa final'!$O$67),"")</f>
        <v/>
      </c>
      <c r="T55" s="96" t="str">
        <f>IF(AND('Mapa final'!$Y$68="Muy Baja",'Mapa final'!$AA$68="Menor"),CONCATENATE("R10C",'Mapa final'!$O$68),"")</f>
        <v/>
      </c>
      <c r="U55" s="97" t="str">
        <f>IF(AND('Mapa final'!$Y$69="Muy Baja",'Mapa final'!$AA$69="Menor"),CONCATENATE("R10C",'Mapa final'!$O$69),"")</f>
        <v/>
      </c>
      <c r="V55" s="86" t="str">
        <f>IF(AND('Mapa final'!$Y$64="Muy Baja",'Mapa final'!$AA$64="Moderado"),CONCATENATE("R10C",'Mapa final'!$O$64),"")</f>
        <v/>
      </c>
      <c r="W55" s="87" t="str">
        <f>IF(AND('Mapa final'!$Y$65="Muy Baja",'Mapa final'!$AA$65="Moderado"),CONCATENATE("R10C",'Mapa final'!$O$65),"")</f>
        <v/>
      </c>
      <c r="X55" s="87" t="str">
        <f>IF(AND('Mapa final'!$Y$66="Muy Baja",'Mapa final'!$AA$66="Moderado"),CONCATENATE("R10C",'Mapa final'!$O$66),"")</f>
        <v/>
      </c>
      <c r="Y55" s="87" t="str">
        <f>IF(AND('Mapa final'!$Y$67="Muy Baja",'Mapa final'!$AA$67="Moderado"),CONCATENATE("R10C",'Mapa final'!$O$67),"")</f>
        <v/>
      </c>
      <c r="Z55" s="87" t="str">
        <f>IF(AND('Mapa final'!$Y$68="Muy Baja",'Mapa final'!$AA$68="Moderado"),CONCATENATE("R10C",'Mapa final'!$O$68),"")</f>
        <v/>
      </c>
      <c r="AA55" s="88" t="str">
        <f>IF(AND('Mapa final'!$Y$69="Muy Baja",'Mapa final'!$AA$69="Moderado"),CONCATENATE("R10C",'Mapa final'!$O$69),"")</f>
        <v/>
      </c>
      <c r="AB55" s="74" t="str">
        <f>IF(AND('Mapa final'!$Y$64="Muy Baja",'Mapa final'!$AA$64="Mayor"),CONCATENATE("R10C",'Mapa final'!$O$64),"")</f>
        <v/>
      </c>
      <c r="AC55" s="75" t="str">
        <f>IF(AND('Mapa final'!$Y$65="Muy Baja",'Mapa final'!$AA$65="Mayor"),CONCATENATE("R10C",'Mapa final'!$O$65),"")</f>
        <v/>
      </c>
      <c r="AD55" s="75" t="str">
        <f>IF(AND('Mapa final'!$Y$66="Muy Baja",'Mapa final'!$AA$66="Mayor"),CONCATENATE("R10C",'Mapa final'!$O$66),"")</f>
        <v/>
      </c>
      <c r="AE55" s="75" t="str">
        <f>IF(AND('Mapa final'!$Y$67="Muy Baja",'Mapa final'!$AA$67="Mayor"),CONCATENATE("R10C",'Mapa final'!$O$67),"")</f>
        <v/>
      </c>
      <c r="AF55" s="75" t="str">
        <f>IF(AND('Mapa final'!$Y$68="Muy Baja",'Mapa final'!$AA$68="Mayor"),CONCATENATE("R10C",'Mapa final'!$O$68),"")</f>
        <v/>
      </c>
      <c r="AG55" s="76" t="str">
        <f>IF(AND('Mapa final'!$Y$69="Muy Baja",'Mapa final'!$AA$69="Mayor"),CONCATENATE("R10C",'Mapa final'!$O$69),"")</f>
        <v/>
      </c>
      <c r="AH55" s="77" t="str">
        <f>IF(AND('Mapa final'!$Y$64="Muy Baja",'Mapa final'!$AA$64="Catastrófico"),CONCATENATE("R10C",'Mapa final'!$O$64),"")</f>
        <v/>
      </c>
      <c r="AI55" s="78" t="str">
        <f>IF(AND('Mapa final'!$Y$65="Muy Baja",'Mapa final'!$AA$65="Catastrófico"),CONCATENATE("R10C",'Mapa final'!$O$65),"")</f>
        <v/>
      </c>
      <c r="AJ55" s="78" t="str">
        <f>IF(AND('Mapa final'!$Y$66="Muy Baja",'Mapa final'!$AA$66="Catastrófico"),CONCATENATE("R10C",'Mapa final'!$O$66),"")</f>
        <v/>
      </c>
      <c r="AK55" s="78" t="str">
        <f>IF(AND('Mapa final'!$Y$67="Muy Baja",'Mapa final'!$AA$67="Catastrófico"),CONCATENATE("R10C",'Mapa final'!$O$67),"")</f>
        <v/>
      </c>
      <c r="AL55" s="78" t="str">
        <f>IF(AND('Mapa final'!$Y$68="Muy Baja",'Mapa final'!$AA$68="Catastrófico"),CONCATENATE("R10C",'Mapa final'!$O$68),"")</f>
        <v/>
      </c>
      <c r="AM55" s="79" t="str">
        <f>IF(AND('Mapa final'!$Y$69="Muy Baja",'Mapa final'!$AA$69="Catastrófico"),CONCATENATE("R10C",'Mapa final'!$O$69),"")</f>
        <v/>
      </c>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row>
    <row r="56" spans="1:80" x14ac:dyDescent="0.25">
      <c r="A56" s="99"/>
      <c r="B56" s="99"/>
      <c r="C56" s="99"/>
      <c r="D56" s="99"/>
      <c r="E56" s="99"/>
      <c r="F56" s="99"/>
      <c r="G56" s="99"/>
      <c r="H56" s="99"/>
      <c r="I56" s="99"/>
      <c r="J56" s="380" t="s">
        <v>112</v>
      </c>
      <c r="K56" s="381"/>
      <c r="L56" s="381"/>
      <c r="M56" s="381"/>
      <c r="N56" s="381"/>
      <c r="O56" s="382"/>
      <c r="P56" s="380" t="s">
        <v>111</v>
      </c>
      <c r="Q56" s="381"/>
      <c r="R56" s="381"/>
      <c r="S56" s="381"/>
      <c r="T56" s="381"/>
      <c r="U56" s="382"/>
      <c r="V56" s="380" t="s">
        <v>110</v>
      </c>
      <c r="W56" s="381"/>
      <c r="X56" s="381"/>
      <c r="Y56" s="381"/>
      <c r="Z56" s="381"/>
      <c r="AA56" s="382"/>
      <c r="AB56" s="380" t="s">
        <v>109</v>
      </c>
      <c r="AC56" s="389"/>
      <c r="AD56" s="381"/>
      <c r="AE56" s="381"/>
      <c r="AF56" s="381"/>
      <c r="AG56" s="382"/>
      <c r="AH56" s="380" t="s">
        <v>108</v>
      </c>
      <c r="AI56" s="381"/>
      <c r="AJ56" s="381"/>
      <c r="AK56" s="381"/>
      <c r="AL56" s="381"/>
      <c r="AM56" s="382"/>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row>
    <row r="57" spans="1:80" x14ac:dyDescent="0.25">
      <c r="A57" s="99"/>
      <c r="B57" s="99"/>
      <c r="C57" s="99"/>
      <c r="D57" s="99"/>
      <c r="E57" s="99"/>
      <c r="F57" s="99"/>
      <c r="G57" s="99"/>
      <c r="H57" s="99"/>
      <c r="I57" s="99"/>
      <c r="J57" s="383"/>
      <c r="K57" s="384"/>
      <c r="L57" s="384"/>
      <c r="M57" s="384"/>
      <c r="N57" s="384"/>
      <c r="O57" s="385"/>
      <c r="P57" s="383"/>
      <c r="Q57" s="384"/>
      <c r="R57" s="384"/>
      <c r="S57" s="384"/>
      <c r="T57" s="384"/>
      <c r="U57" s="385"/>
      <c r="V57" s="383"/>
      <c r="W57" s="384"/>
      <c r="X57" s="384"/>
      <c r="Y57" s="384"/>
      <c r="Z57" s="384"/>
      <c r="AA57" s="385"/>
      <c r="AB57" s="383"/>
      <c r="AC57" s="384"/>
      <c r="AD57" s="384"/>
      <c r="AE57" s="384"/>
      <c r="AF57" s="384"/>
      <c r="AG57" s="385"/>
      <c r="AH57" s="383"/>
      <c r="AI57" s="384"/>
      <c r="AJ57" s="384"/>
      <c r="AK57" s="384"/>
      <c r="AL57" s="384"/>
      <c r="AM57" s="385"/>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row>
    <row r="58" spans="1:80" x14ac:dyDescent="0.25">
      <c r="A58" s="99"/>
      <c r="B58" s="99"/>
      <c r="C58" s="99"/>
      <c r="D58" s="99"/>
      <c r="E58" s="99"/>
      <c r="F58" s="99"/>
      <c r="G58" s="99"/>
      <c r="H58" s="99"/>
      <c r="I58" s="99"/>
      <c r="J58" s="383"/>
      <c r="K58" s="384"/>
      <c r="L58" s="384"/>
      <c r="M58" s="384"/>
      <c r="N58" s="384"/>
      <c r="O58" s="385"/>
      <c r="P58" s="383"/>
      <c r="Q58" s="384"/>
      <c r="R58" s="384"/>
      <c r="S58" s="384"/>
      <c r="T58" s="384"/>
      <c r="U58" s="385"/>
      <c r="V58" s="383"/>
      <c r="W58" s="384"/>
      <c r="X58" s="384"/>
      <c r="Y58" s="384"/>
      <c r="Z58" s="384"/>
      <c r="AA58" s="385"/>
      <c r="AB58" s="383"/>
      <c r="AC58" s="384"/>
      <c r="AD58" s="384"/>
      <c r="AE58" s="384"/>
      <c r="AF58" s="384"/>
      <c r="AG58" s="385"/>
      <c r="AH58" s="383"/>
      <c r="AI58" s="384"/>
      <c r="AJ58" s="384"/>
      <c r="AK58" s="384"/>
      <c r="AL58" s="384"/>
      <c r="AM58" s="385"/>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row>
    <row r="59" spans="1:80" x14ac:dyDescent="0.25">
      <c r="A59" s="99"/>
      <c r="B59" s="99"/>
      <c r="C59" s="99"/>
      <c r="D59" s="99"/>
      <c r="E59" s="99"/>
      <c r="F59" s="99"/>
      <c r="G59" s="99"/>
      <c r="H59" s="99"/>
      <c r="I59" s="99"/>
      <c r="J59" s="383"/>
      <c r="K59" s="384"/>
      <c r="L59" s="384"/>
      <c r="M59" s="384"/>
      <c r="N59" s="384"/>
      <c r="O59" s="385"/>
      <c r="P59" s="383"/>
      <c r="Q59" s="384"/>
      <c r="R59" s="384"/>
      <c r="S59" s="384"/>
      <c r="T59" s="384"/>
      <c r="U59" s="385"/>
      <c r="V59" s="383"/>
      <c r="W59" s="384"/>
      <c r="X59" s="384"/>
      <c r="Y59" s="384"/>
      <c r="Z59" s="384"/>
      <c r="AA59" s="385"/>
      <c r="AB59" s="383"/>
      <c r="AC59" s="384"/>
      <c r="AD59" s="384"/>
      <c r="AE59" s="384"/>
      <c r="AF59" s="384"/>
      <c r="AG59" s="385"/>
      <c r="AH59" s="383"/>
      <c r="AI59" s="384"/>
      <c r="AJ59" s="384"/>
      <c r="AK59" s="384"/>
      <c r="AL59" s="384"/>
      <c r="AM59" s="385"/>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row>
    <row r="60" spans="1:80" x14ac:dyDescent="0.25">
      <c r="A60" s="99"/>
      <c r="B60" s="99"/>
      <c r="C60" s="99"/>
      <c r="D60" s="99"/>
      <c r="E60" s="99"/>
      <c r="F60" s="99"/>
      <c r="G60" s="99"/>
      <c r="H60" s="99"/>
      <c r="I60" s="99"/>
      <c r="J60" s="383"/>
      <c r="K60" s="384"/>
      <c r="L60" s="384"/>
      <c r="M60" s="384"/>
      <c r="N60" s="384"/>
      <c r="O60" s="385"/>
      <c r="P60" s="383"/>
      <c r="Q60" s="384"/>
      <c r="R60" s="384"/>
      <c r="S60" s="384"/>
      <c r="T60" s="384"/>
      <c r="U60" s="385"/>
      <c r="V60" s="383"/>
      <c r="W60" s="384"/>
      <c r="X60" s="384"/>
      <c r="Y60" s="384"/>
      <c r="Z60" s="384"/>
      <c r="AA60" s="385"/>
      <c r="AB60" s="383"/>
      <c r="AC60" s="384"/>
      <c r="AD60" s="384"/>
      <c r="AE60" s="384"/>
      <c r="AF60" s="384"/>
      <c r="AG60" s="385"/>
      <c r="AH60" s="383"/>
      <c r="AI60" s="384"/>
      <c r="AJ60" s="384"/>
      <c r="AK60" s="384"/>
      <c r="AL60" s="384"/>
      <c r="AM60" s="385"/>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row>
    <row r="61" spans="1:80" ht="15.75" thickBot="1" x14ac:dyDescent="0.3">
      <c r="A61" s="99"/>
      <c r="B61" s="99"/>
      <c r="C61" s="99"/>
      <c r="D61" s="99"/>
      <c r="E61" s="99"/>
      <c r="F61" s="99"/>
      <c r="G61" s="99"/>
      <c r="H61" s="99"/>
      <c r="I61" s="99"/>
      <c r="J61" s="386"/>
      <c r="K61" s="387"/>
      <c r="L61" s="387"/>
      <c r="M61" s="387"/>
      <c r="N61" s="387"/>
      <c r="O61" s="388"/>
      <c r="P61" s="386"/>
      <c r="Q61" s="387"/>
      <c r="R61" s="387"/>
      <c r="S61" s="387"/>
      <c r="T61" s="387"/>
      <c r="U61" s="388"/>
      <c r="V61" s="386"/>
      <c r="W61" s="387"/>
      <c r="X61" s="387"/>
      <c r="Y61" s="387"/>
      <c r="Z61" s="387"/>
      <c r="AA61" s="388"/>
      <c r="AB61" s="386"/>
      <c r="AC61" s="387"/>
      <c r="AD61" s="387"/>
      <c r="AE61" s="387"/>
      <c r="AF61" s="387"/>
      <c r="AG61" s="388"/>
      <c r="AH61" s="386"/>
      <c r="AI61" s="387"/>
      <c r="AJ61" s="387"/>
      <c r="AK61" s="387"/>
      <c r="AL61" s="387"/>
      <c r="AM61" s="388"/>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row>
    <row r="62" spans="1:80" x14ac:dyDescent="0.2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row>
    <row r="63" spans="1:80" ht="15" customHeight="1" x14ac:dyDescent="0.25">
      <c r="A63" s="99"/>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99"/>
      <c r="AV63" s="99"/>
      <c r="AW63" s="99"/>
      <c r="AX63" s="99"/>
      <c r="AY63" s="99"/>
      <c r="AZ63" s="99"/>
      <c r="BA63" s="99"/>
      <c r="BB63" s="99"/>
      <c r="BC63" s="99"/>
      <c r="BD63" s="99"/>
      <c r="BE63" s="99"/>
      <c r="BF63" s="99"/>
      <c r="BG63" s="99"/>
      <c r="BH63" s="99"/>
    </row>
    <row r="64" spans="1:80" ht="15" customHeight="1" x14ac:dyDescent="0.25">
      <c r="A64" s="99"/>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99"/>
      <c r="AV64" s="99"/>
      <c r="AW64" s="99"/>
      <c r="AX64" s="99"/>
      <c r="AY64" s="99"/>
      <c r="AZ64" s="99"/>
      <c r="BA64" s="99"/>
      <c r="BB64" s="99"/>
      <c r="BC64" s="99"/>
      <c r="BD64" s="99"/>
      <c r="BE64" s="99"/>
      <c r="BF64" s="99"/>
      <c r="BG64" s="99"/>
      <c r="BH64" s="99"/>
    </row>
    <row r="65" spans="1:60" x14ac:dyDescent="0.2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row>
    <row r="66" spans="1:60" x14ac:dyDescent="0.2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row>
    <row r="67" spans="1:60" x14ac:dyDescent="0.2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row>
    <row r="68" spans="1:60" x14ac:dyDescent="0.2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row>
    <row r="69" spans="1:60" x14ac:dyDescent="0.2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row>
    <row r="70" spans="1:60" x14ac:dyDescent="0.2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row>
    <row r="71" spans="1:60" x14ac:dyDescent="0.2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row>
    <row r="72" spans="1:60" x14ac:dyDescent="0.2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row>
    <row r="73" spans="1:60" x14ac:dyDescent="0.2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row>
    <row r="74" spans="1:60" x14ac:dyDescent="0.2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row>
    <row r="75" spans="1:60" x14ac:dyDescent="0.2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row>
    <row r="76" spans="1:60" x14ac:dyDescent="0.2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row>
    <row r="77" spans="1:60"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row>
    <row r="78" spans="1:60" x14ac:dyDescent="0.2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row>
    <row r="79" spans="1:60" x14ac:dyDescent="0.2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row>
    <row r="80" spans="1:60"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row>
    <row r="81" spans="1:60" x14ac:dyDescent="0.2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row>
    <row r="82" spans="1:60" x14ac:dyDescent="0.2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row>
    <row r="83" spans="1:60" x14ac:dyDescent="0.25">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row>
    <row r="84" spans="1:60" x14ac:dyDescent="0.25">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row>
    <row r="85" spans="1:60" x14ac:dyDescent="0.2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row>
    <row r="86" spans="1:60" x14ac:dyDescent="0.25">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row>
    <row r="87" spans="1:60" x14ac:dyDescent="0.25">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row>
    <row r="88" spans="1:60" x14ac:dyDescent="0.25">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row>
    <row r="89" spans="1:60" x14ac:dyDescent="0.2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row>
    <row r="90" spans="1:60" x14ac:dyDescent="0.25">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row>
    <row r="91" spans="1:60" x14ac:dyDescent="0.25">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row>
    <row r="92" spans="1:60" x14ac:dyDescent="0.2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row>
    <row r="93" spans="1:60" x14ac:dyDescent="0.2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row>
    <row r="94" spans="1:60" x14ac:dyDescent="0.2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row>
    <row r="95" spans="1:60" x14ac:dyDescent="0.25">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row>
    <row r="96" spans="1:60" x14ac:dyDescent="0.25">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row>
    <row r="97" spans="1:60" x14ac:dyDescent="0.25">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row>
    <row r="98" spans="1:60" x14ac:dyDescent="0.25">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row>
    <row r="99" spans="1:60" x14ac:dyDescent="0.25">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row>
    <row r="100" spans="1:60" x14ac:dyDescent="0.25">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row>
    <row r="101" spans="1:60" x14ac:dyDescent="0.25">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row>
    <row r="102" spans="1:60" x14ac:dyDescent="0.25">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row>
    <row r="103" spans="1:60" x14ac:dyDescent="0.25">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row>
    <row r="104" spans="1:60" x14ac:dyDescent="0.25">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row>
    <row r="105" spans="1:60" x14ac:dyDescent="0.25">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row>
    <row r="106" spans="1:60" x14ac:dyDescent="0.25">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row>
    <row r="107" spans="1:60" x14ac:dyDescent="0.25">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row>
    <row r="108" spans="1:60" x14ac:dyDescent="0.25">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row>
    <row r="109" spans="1:60" x14ac:dyDescent="0.25">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row>
    <row r="110" spans="1:60" x14ac:dyDescent="0.25">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row>
    <row r="111" spans="1:60" x14ac:dyDescent="0.25">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row>
    <row r="112" spans="1:60" x14ac:dyDescent="0.25">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row>
    <row r="113" spans="1:60" x14ac:dyDescent="0.25">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row>
    <row r="114" spans="1:60" x14ac:dyDescent="0.25">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row>
    <row r="115" spans="1:60" x14ac:dyDescent="0.25">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row>
    <row r="116" spans="1:60" x14ac:dyDescent="0.25">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row>
    <row r="117" spans="1:60" x14ac:dyDescent="0.25">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row>
    <row r="118" spans="1:60" x14ac:dyDescent="0.25">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row>
    <row r="119" spans="1:60" x14ac:dyDescent="0.25">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row>
    <row r="120" spans="1:60" x14ac:dyDescent="0.25">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row>
    <row r="121" spans="1:60" x14ac:dyDescent="0.25">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row>
    <row r="122" spans="1:60" x14ac:dyDescent="0.25">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row>
    <row r="123" spans="1:60" x14ac:dyDescent="0.25">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row>
    <row r="124" spans="1:60" x14ac:dyDescent="0.25">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row>
    <row r="125" spans="1:60" x14ac:dyDescent="0.25">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row>
    <row r="126" spans="1:60" x14ac:dyDescent="0.25">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row>
    <row r="127" spans="1:60" x14ac:dyDescent="0.25">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row>
    <row r="128" spans="1:60" x14ac:dyDescent="0.25">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row>
    <row r="129" spans="1:60" x14ac:dyDescent="0.25">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row>
    <row r="130" spans="1:60" x14ac:dyDescent="0.25">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row>
    <row r="131" spans="1:60" x14ac:dyDescent="0.25">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row>
    <row r="132" spans="1:60" x14ac:dyDescent="0.25">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row>
    <row r="133" spans="1:60" x14ac:dyDescent="0.25">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row>
    <row r="134" spans="1:60" x14ac:dyDescent="0.25">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row>
    <row r="135" spans="1:60" x14ac:dyDescent="0.25">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row>
    <row r="136" spans="1:60" x14ac:dyDescent="0.25">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row>
    <row r="137" spans="1:60" x14ac:dyDescent="0.25">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row>
    <row r="138" spans="1:60" x14ac:dyDescent="0.25">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row>
    <row r="139" spans="1:60" x14ac:dyDescent="0.25">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row>
    <row r="140" spans="1:60" x14ac:dyDescent="0.25">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row>
    <row r="141" spans="1:60" x14ac:dyDescent="0.25">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row>
    <row r="142" spans="1:60" x14ac:dyDescent="0.25">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row>
    <row r="143" spans="1:60" x14ac:dyDescent="0.25">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row>
    <row r="144" spans="1:60" x14ac:dyDescent="0.25">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row>
    <row r="145" spans="1:60" x14ac:dyDescent="0.25">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row>
    <row r="146" spans="1:60" x14ac:dyDescent="0.25">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row>
    <row r="147" spans="1:60" x14ac:dyDescent="0.25">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row>
    <row r="148" spans="1:60" x14ac:dyDescent="0.25">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row>
    <row r="149" spans="1:60" x14ac:dyDescent="0.25">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row>
    <row r="150" spans="1:60" x14ac:dyDescent="0.25">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row>
    <row r="151" spans="1:60" x14ac:dyDescent="0.25">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row>
    <row r="152" spans="1:60" x14ac:dyDescent="0.25">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row>
    <row r="153" spans="1:60" x14ac:dyDescent="0.25">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row>
    <row r="154" spans="1:60" x14ac:dyDescent="0.25">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row>
    <row r="155" spans="1:60" x14ac:dyDescent="0.25">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row>
    <row r="156" spans="1:60" x14ac:dyDescent="0.25">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row>
    <row r="157" spans="1:60" x14ac:dyDescent="0.25">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row>
    <row r="158" spans="1:60" x14ac:dyDescent="0.25">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row>
    <row r="159" spans="1:60" x14ac:dyDescent="0.25">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row>
    <row r="160" spans="1:60" x14ac:dyDescent="0.25">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row>
    <row r="161" spans="1:60" x14ac:dyDescent="0.25">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row>
    <row r="162" spans="1:60" x14ac:dyDescent="0.25">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row>
    <row r="163" spans="1:60" x14ac:dyDescent="0.25">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row>
    <row r="164" spans="1:60" x14ac:dyDescent="0.25">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row>
    <row r="165" spans="1:60" x14ac:dyDescent="0.25">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row>
    <row r="166" spans="1:60" x14ac:dyDescent="0.25">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row>
    <row r="167" spans="1:60" x14ac:dyDescent="0.25">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row>
    <row r="168" spans="1:60" x14ac:dyDescent="0.25">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row>
    <row r="169" spans="1:60" x14ac:dyDescent="0.25">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row>
    <row r="170" spans="1:60" x14ac:dyDescent="0.25">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row>
    <row r="171" spans="1:60" x14ac:dyDescent="0.25">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row>
    <row r="172" spans="1:60" x14ac:dyDescent="0.25">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row>
    <row r="173" spans="1:60" x14ac:dyDescent="0.25">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row>
    <row r="174" spans="1:60" x14ac:dyDescent="0.25">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row>
    <row r="175" spans="1:60" x14ac:dyDescent="0.25">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row>
    <row r="176" spans="1:60" x14ac:dyDescent="0.25">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row>
    <row r="177" spans="1:60" x14ac:dyDescent="0.25">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row>
    <row r="178" spans="1:60" x14ac:dyDescent="0.25">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row>
    <row r="179" spans="1:60" x14ac:dyDescent="0.25">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row>
    <row r="180" spans="1:60" x14ac:dyDescent="0.25">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row>
    <row r="181" spans="1:60" x14ac:dyDescent="0.25">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row>
    <row r="182" spans="1:60" x14ac:dyDescent="0.25">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row>
    <row r="183" spans="1:60" x14ac:dyDescent="0.25">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row>
    <row r="184" spans="1:60" x14ac:dyDescent="0.25">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row>
    <row r="185" spans="1:60" x14ac:dyDescent="0.25">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row>
    <row r="186" spans="1:60" x14ac:dyDescent="0.25">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row>
    <row r="187" spans="1:60" x14ac:dyDescent="0.25">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row>
    <row r="188" spans="1:60" x14ac:dyDescent="0.25">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row>
    <row r="189" spans="1:60" x14ac:dyDescent="0.25">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row>
    <row r="190" spans="1:60" x14ac:dyDescent="0.25">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row>
    <row r="191" spans="1:60" x14ac:dyDescent="0.25">
      <c r="A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row>
    <row r="192" spans="1:60" x14ac:dyDescent="0.25">
      <c r="A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row>
    <row r="193" spans="1:60" x14ac:dyDescent="0.25">
      <c r="A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row>
    <row r="194" spans="1:60" x14ac:dyDescent="0.25">
      <c r="A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row>
    <row r="195" spans="1:60" x14ac:dyDescent="0.25">
      <c r="A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row>
    <row r="196" spans="1:60" x14ac:dyDescent="0.25">
      <c r="A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row>
    <row r="197" spans="1:60" x14ac:dyDescent="0.25">
      <c r="A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row>
    <row r="198" spans="1:60" x14ac:dyDescent="0.25">
      <c r="A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row>
    <row r="199" spans="1:60" x14ac:dyDescent="0.25">
      <c r="A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row>
    <row r="200" spans="1:60" x14ac:dyDescent="0.25">
      <c r="A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row>
    <row r="201" spans="1:60" x14ac:dyDescent="0.25">
      <c r="A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row>
    <row r="202" spans="1:60" x14ac:dyDescent="0.25">
      <c r="A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row>
    <row r="203" spans="1:60" x14ac:dyDescent="0.25">
      <c r="A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row>
    <row r="204" spans="1:60" x14ac:dyDescent="0.25">
      <c r="A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row>
    <row r="205" spans="1:60" x14ac:dyDescent="0.25">
      <c r="A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row>
    <row r="206" spans="1:60" x14ac:dyDescent="0.25">
      <c r="A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row>
    <row r="207" spans="1:60" x14ac:dyDescent="0.25">
      <c r="A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row>
    <row r="208" spans="1:60" x14ac:dyDescent="0.25">
      <c r="A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row>
    <row r="209" spans="1:60" x14ac:dyDescent="0.25">
      <c r="A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row>
    <row r="210" spans="1:60" x14ac:dyDescent="0.25">
      <c r="A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row>
    <row r="211" spans="1:60" x14ac:dyDescent="0.25">
      <c r="A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row>
    <row r="212" spans="1:60" x14ac:dyDescent="0.25">
      <c r="A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row>
    <row r="213" spans="1:60" x14ac:dyDescent="0.25">
      <c r="A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row>
    <row r="214" spans="1:60" x14ac:dyDescent="0.25">
      <c r="A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row>
    <row r="215" spans="1:60" x14ac:dyDescent="0.25">
      <c r="A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row>
    <row r="216" spans="1:60" x14ac:dyDescent="0.25">
      <c r="A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row>
    <row r="217" spans="1:60" x14ac:dyDescent="0.25">
      <c r="A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row>
    <row r="218" spans="1:60" x14ac:dyDescent="0.25">
      <c r="A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row>
    <row r="219" spans="1:60" x14ac:dyDescent="0.25">
      <c r="A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row>
    <row r="220" spans="1:60" x14ac:dyDescent="0.25">
      <c r="A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row>
    <row r="221" spans="1:60" x14ac:dyDescent="0.25">
      <c r="A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row>
    <row r="222" spans="1:60" x14ac:dyDescent="0.25">
      <c r="A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row>
    <row r="223" spans="1:60" x14ac:dyDescent="0.25">
      <c r="A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row>
    <row r="224" spans="1:60" x14ac:dyDescent="0.25">
      <c r="A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row>
    <row r="225" spans="1:60" x14ac:dyDescent="0.25">
      <c r="A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row>
    <row r="226" spans="1:60" x14ac:dyDescent="0.25">
      <c r="A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row>
    <row r="227" spans="1:60" x14ac:dyDescent="0.25">
      <c r="A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row>
    <row r="228" spans="1:60" x14ac:dyDescent="0.25">
      <c r="A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row>
    <row r="229" spans="1:60" x14ac:dyDescent="0.25">
      <c r="A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row>
    <row r="230" spans="1:60" x14ac:dyDescent="0.25">
      <c r="A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row>
    <row r="231" spans="1:60" x14ac:dyDescent="0.25">
      <c r="A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row>
    <row r="232" spans="1:60" x14ac:dyDescent="0.25">
      <c r="A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row>
    <row r="233" spans="1:60" x14ac:dyDescent="0.25">
      <c r="A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row>
    <row r="234" spans="1:60" x14ac:dyDescent="0.25">
      <c r="A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row>
    <row r="235" spans="1:60" x14ac:dyDescent="0.25">
      <c r="A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row>
    <row r="236" spans="1:60" x14ac:dyDescent="0.25">
      <c r="A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row>
    <row r="237" spans="1:60" x14ac:dyDescent="0.25">
      <c r="A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row>
    <row r="238" spans="1:60" x14ac:dyDescent="0.25">
      <c r="A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row>
    <row r="239" spans="1:60" x14ac:dyDescent="0.25">
      <c r="A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row>
    <row r="240" spans="1:60" x14ac:dyDescent="0.25">
      <c r="A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row>
    <row r="241" spans="1:60" x14ac:dyDescent="0.25">
      <c r="A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row>
    <row r="242" spans="1:60" x14ac:dyDescent="0.25">
      <c r="A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row>
    <row r="243" spans="1:60" x14ac:dyDescent="0.25">
      <c r="A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row>
    <row r="244" spans="1:60" x14ac:dyDescent="0.25">
      <c r="A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row>
    <row r="245" spans="1:60" x14ac:dyDescent="0.25">
      <c r="A245" s="99"/>
    </row>
    <row r="246" spans="1:60" x14ac:dyDescent="0.25">
      <c r="A246" s="99"/>
    </row>
    <row r="247" spans="1:60" x14ac:dyDescent="0.25">
      <c r="A247" s="99"/>
    </row>
    <row r="248" spans="1:60" x14ac:dyDescent="0.25">
      <c r="A248" s="99"/>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2" zoomScale="90" zoomScaleNormal="90" workbookViewId="0">
      <selection activeCell="D6" sqref="D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99"/>
      <c r="B1" s="430" t="s">
        <v>55</v>
      </c>
      <c r="C1" s="430"/>
      <c r="D1" s="430"/>
      <c r="E1" s="99"/>
      <c r="F1" s="99"/>
      <c r="G1" s="99"/>
      <c r="H1" s="99"/>
      <c r="I1" s="99"/>
      <c r="J1" s="99"/>
      <c r="K1" s="99"/>
      <c r="L1" s="99"/>
      <c r="M1" s="99"/>
      <c r="N1" s="99"/>
      <c r="O1" s="99"/>
      <c r="P1" s="99"/>
      <c r="Q1" s="99"/>
      <c r="R1" s="99"/>
      <c r="S1" s="99"/>
      <c r="T1" s="99"/>
      <c r="U1" s="99"/>
      <c r="V1" s="99"/>
      <c r="W1" s="99"/>
      <c r="X1" s="99"/>
      <c r="Y1" s="99"/>
      <c r="Z1" s="99"/>
      <c r="AA1" s="99"/>
      <c r="AB1" s="99"/>
      <c r="AC1" s="99"/>
      <c r="AD1" s="99"/>
      <c r="AE1" s="99"/>
    </row>
    <row r="2" spans="1:37"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row>
    <row r="3" spans="1:37" ht="25.5" x14ac:dyDescent="0.25">
      <c r="A3" s="99"/>
      <c r="B3" s="11"/>
      <c r="C3" s="12" t="s">
        <v>52</v>
      </c>
      <c r="D3" s="12" t="s">
        <v>4</v>
      </c>
      <c r="E3" s="99"/>
      <c r="F3" s="99"/>
      <c r="G3" s="99"/>
      <c r="H3" s="99"/>
      <c r="I3" s="99"/>
      <c r="J3" s="99"/>
      <c r="K3" s="99"/>
      <c r="L3" s="99"/>
      <c r="M3" s="99"/>
      <c r="N3" s="99"/>
      <c r="O3" s="99"/>
      <c r="P3" s="99"/>
      <c r="Q3" s="99"/>
      <c r="R3" s="99"/>
      <c r="S3" s="99"/>
      <c r="T3" s="99"/>
      <c r="U3" s="99"/>
      <c r="V3" s="99"/>
      <c r="W3" s="99"/>
      <c r="X3" s="99"/>
      <c r="Y3" s="99"/>
      <c r="Z3" s="99"/>
      <c r="AA3" s="99"/>
      <c r="AB3" s="99"/>
      <c r="AC3" s="99"/>
      <c r="AD3" s="99"/>
      <c r="AE3" s="99"/>
    </row>
    <row r="4" spans="1:37" ht="51" x14ac:dyDescent="0.25">
      <c r="A4" s="99"/>
      <c r="B4" s="13" t="s">
        <v>51</v>
      </c>
      <c r="C4" s="14" t="s">
        <v>102</v>
      </c>
      <c r="D4" s="15">
        <v>0.2</v>
      </c>
      <c r="E4" s="99"/>
      <c r="F4" s="99"/>
      <c r="G4" s="99"/>
      <c r="H4" s="99"/>
      <c r="I4" s="99"/>
      <c r="J4" s="99"/>
      <c r="K4" s="99"/>
      <c r="L4" s="99"/>
      <c r="M4" s="99"/>
      <c r="N4" s="99"/>
      <c r="O4" s="99"/>
      <c r="P4" s="99"/>
      <c r="Q4" s="99"/>
      <c r="R4" s="99"/>
      <c r="S4" s="99"/>
      <c r="T4" s="99"/>
      <c r="U4" s="99"/>
      <c r="V4" s="99"/>
      <c r="W4" s="99"/>
      <c r="X4" s="99"/>
      <c r="Y4" s="99"/>
      <c r="Z4" s="99"/>
      <c r="AA4" s="99"/>
      <c r="AB4" s="99"/>
      <c r="AC4" s="99"/>
      <c r="AD4" s="99"/>
      <c r="AE4" s="99"/>
    </row>
    <row r="5" spans="1:37" ht="51" x14ac:dyDescent="0.25">
      <c r="A5" s="99"/>
      <c r="B5" s="16" t="s">
        <v>53</v>
      </c>
      <c r="C5" s="17" t="s">
        <v>103</v>
      </c>
      <c r="D5" s="18">
        <v>0.4</v>
      </c>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1:37" ht="51" x14ac:dyDescent="0.25">
      <c r="A6" s="99"/>
      <c r="B6" s="19" t="s">
        <v>107</v>
      </c>
      <c r="C6" s="17" t="s">
        <v>104</v>
      </c>
      <c r="D6" s="18">
        <v>0.6</v>
      </c>
      <c r="E6" s="99"/>
      <c r="F6" s="99"/>
      <c r="G6" s="99"/>
      <c r="H6" s="99"/>
      <c r="I6" s="99"/>
      <c r="J6" s="99"/>
      <c r="K6" s="99"/>
      <c r="L6" s="99"/>
      <c r="M6" s="99"/>
      <c r="N6" s="99"/>
      <c r="O6" s="99"/>
      <c r="P6" s="99"/>
      <c r="Q6" s="99"/>
      <c r="R6" s="99"/>
      <c r="S6" s="99"/>
      <c r="T6" s="99"/>
      <c r="U6" s="99"/>
      <c r="V6" s="99"/>
      <c r="W6" s="99"/>
      <c r="X6" s="99"/>
      <c r="Y6" s="99"/>
      <c r="Z6" s="99"/>
      <c r="AA6" s="99"/>
      <c r="AB6" s="99"/>
      <c r="AC6" s="99"/>
      <c r="AD6" s="99"/>
      <c r="AE6" s="99"/>
    </row>
    <row r="7" spans="1:37" ht="76.5" x14ac:dyDescent="0.25">
      <c r="A7" s="99"/>
      <c r="B7" s="20" t="s">
        <v>6</v>
      </c>
      <c r="C7" s="17" t="s">
        <v>105</v>
      </c>
      <c r="D7" s="18">
        <v>0.8</v>
      </c>
      <c r="E7" s="99"/>
      <c r="F7" s="99"/>
      <c r="G7" s="99"/>
      <c r="H7" s="99"/>
      <c r="I7" s="99"/>
      <c r="J7" s="99"/>
      <c r="K7" s="99"/>
      <c r="L7" s="99"/>
      <c r="M7" s="99"/>
      <c r="N7" s="99"/>
      <c r="O7" s="99"/>
      <c r="P7" s="99"/>
      <c r="Q7" s="99"/>
      <c r="R7" s="99"/>
      <c r="S7" s="99"/>
      <c r="T7" s="99"/>
      <c r="U7" s="99"/>
      <c r="V7" s="99"/>
      <c r="W7" s="99"/>
      <c r="X7" s="99"/>
      <c r="Y7" s="99"/>
      <c r="Z7" s="99"/>
      <c r="AA7" s="99"/>
      <c r="AB7" s="99"/>
      <c r="AC7" s="99"/>
      <c r="AD7" s="99"/>
      <c r="AE7" s="99"/>
    </row>
    <row r="8" spans="1:37" ht="51" x14ac:dyDescent="0.25">
      <c r="A8" s="99"/>
      <c r="B8" s="21" t="s">
        <v>54</v>
      </c>
      <c r="C8" s="17" t="s">
        <v>106</v>
      </c>
      <c r="D8" s="18">
        <v>1</v>
      </c>
      <c r="E8" s="99"/>
      <c r="F8" s="99"/>
      <c r="G8" s="99"/>
      <c r="H8" s="99"/>
      <c r="I8" s="99"/>
      <c r="J8" s="99"/>
      <c r="K8" s="99"/>
      <c r="L8" s="99"/>
      <c r="M8" s="99"/>
      <c r="N8" s="99"/>
      <c r="O8" s="99"/>
      <c r="P8" s="99"/>
      <c r="Q8" s="99"/>
      <c r="R8" s="99"/>
      <c r="S8" s="99"/>
      <c r="T8" s="99"/>
      <c r="U8" s="99"/>
      <c r="V8" s="99"/>
      <c r="W8" s="99"/>
      <c r="X8" s="99"/>
      <c r="Y8" s="99"/>
      <c r="Z8" s="99"/>
      <c r="AA8" s="99"/>
      <c r="AB8" s="99"/>
      <c r="AC8" s="99"/>
      <c r="AD8" s="99"/>
      <c r="AE8" s="99"/>
    </row>
    <row r="9" spans="1:37" x14ac:dyDescent="0.25">
      <c r="A9" s="99"/>
      <c r="B9" s="123"/>
      <c r="C9" s="123"/>
      <c r="D9" s="123"/>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row>
    <row r="10" spans="1:37" ht="16.5" x14ac:dyDescent="0.25">
      <c r="A10" s="99"/>
      <c r="B10" s="124"/>
      <c r="C10" s="123"/>
      <c r="D10" s="123"/>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row>
    <row r="11" spans="1:37" x14ac:dyDescent="0.25">
      <c r="A11" s="99"/>
      <c r="B11" s="123"/>
      <c r="C11" s="123"/>
      <c r="D11" s="123"/>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row>
    <row r="12" spans="1:37" x14ac:dyDescent="0.25">
      <c r="A12" s="99"/>
      <c r="B12" s="123"/>
      <c r="C12" s="123"/>
      <c r="D12" s="123"/>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row>
    <row r="13" spans="1:37" x14ac:dyDescent="0.25">
      <c r="A13" s="99"/>
      <c r="B13" s="123"/>
      <c r="C13" s="123"/>
      <c r="D13" s="123"/>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row>
    <row r="14" spans="1:37" x14ac:dyDescent="0.25">
      <c r="A14" s="99"/>
      <c r="B14" s="123"/>
      <c r="C14" s="123"/>
      <c r="D14" s="123"/>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row>
    <row r="15" spans="1:37" x14ac:dyDescent="0.25">
      <c r="A15" s="99"/>
      <c r="B15" s="123"/>
      <c r="C15" s="123"/>
      <c r="D15" s="123"/>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row>
    <row r="16" spans="1:37" x14ac:dyDescent="0.25">
      <c r="A16" s="99"/>
      <c r="B16" s="123"/>
      <c r="C16" s="123"/>
      <c r="D16" s="123"/>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row>
    <row r="17" spans="1:37" x14ac:dyDescent="0.25">
      <c r="A17" s="99"/>
      <c r="B17" s="123"/>
      <c r="C17" s="123"/>
      <c r="D17" s="123"/>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row>
    <row r="18" spans="1:37" x14ac:dyDescent="0.25">
      <c r="A18" s="99"/>
      <c r="B18" s="123"/>
      <c r="C18" s="123"/>
      <c r="D18" s="123"/>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row>
    <row r="19" spans="1:37" x14ac:dyDescent="0.25">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row>
    <row r="20" spans="1:37" x14ac:dyDescent="0.25">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row>
    <row r="21" spans="1:37" x14ac:dyDescent="0.25">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row>
    <row r="22" spans="1:37" x14ac:dyDescent="0.25">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row>
    <row r="23" spans="1:37" x14ac:dyDescent="0.25">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row>
    <row r="24" spans="1:37" x14ac:dyDescent="0.2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row>
    <row r="25" spans="1:37" x14ac:dyDescent="0.25">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row>
    <row r="26" spans="1:37" x14ac:dyDescent="0.25">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row>
    <row r="27" spans="1:37" x14ac:dyDescent="0.25">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row>
    <row r="28" spans="1:37" x14ac:dyDescent="0.25">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x14ac:dyDescent="0.25">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x14ac:dyDescent="0.25">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row>
    <row r="31" spans="1:37" x14ac:dyDescent="0.25">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row>
    <row r="32" spans="1:37" x14ac:dyDescent="0.2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row>
    <row r="33" spans="1:31" x14ac:dyDescent="0.25">
      <c r="A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row>
    <row r="34" spans="1:31" x14ac:dyDescent="0.25">
      <c r="A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row>
    <row r="35" spans="1:31" x14ac:dyDescent="0.25">
      <c r="A35" s="99"/>
    </row>
    <row r="36" spans="1:31" x14ac:dyDescent="0.25">
      <c r="A36" s="99"/>
    </row>
    <row r="37" spans="1:31" x14ac:dyDescent="0.25">
      <c r="A37" s="99"/>
    </row>
    <row r="38" spans="1:31" x14ac:dyDescent="0.25">
      <c r="A38" s="99"/>
    </row>
    <row r="39" spans="1:31" x14ac:dyDescent="0.25">
      <c r="A39" s="99"/>
    </row>
    <row r="40" spans="1:31" x14ac:dyDescent="0.25">
      <c r="A40" s="99"/>
    </row>
    <row r="41" spans="1:31" x14ac:dyDescent="0.25">
      <c r="A41" s="99"/>
    </row>
    <row r="42" spans="1:31" x14ac:dyDescent="0.25">
      <c r="A42" s="99"/>
    </row>
    <row r="43" spans="1:31" x14ac:dyDescent="0.25">
      <c r="A43" s="99"/>
    </row>
    <row r="44" spans="1:31" x14ac:dyDescent="0.25">
      <c r="A44" s="99"/>
    </row>
    <row r="45" spans="1:31" x14ac:dyDescent="0.25">
      <c r="A45" s="99"/>
    </row>
    <row r="46" spans="1:31" x14ac:dyDescent="0.25">
      <c r="A46" s="99"/>
    </row>
    <row r="47" spans="1:31" x14ac:dyDescent="0.25">
      <c r="A47" s="99"/>
    </row>
    <row r="48" spans="1:31" x14ac:dyDescent="0.25">
      <c r="A48" s="99"/>
    </row>
    <row r="49" spans="1:1" x14ac:dyDescent="0.25">
      <c r="A49" s="99"/>
    </row>
    <row r="50" spans="1:1" x14ac:dyDescent="0.25">
      <c r="A50" s="99"/>
    </row>
    <row r="51" spans="1:1" x14ac:dyDescent="0.25">
      <c r="A51" s="99"/>
    </row>
    <row r="52" spans="1:1" x14ac:dyDescent="0.25">
      <c r="A52" s="99"/>
    </row>
    <row r="53" spans="1:1" x14ac:dyDescent="0.25">
      <c r="A53" s="99"/>
    </row>
    <row r="54" spans="1:1" x14ac:dyDescent="0.25">
      <c r="A54" s="99"/>
    </row>
    <row r="55" spans="1:1" x14ac:dyDescent="0.25">
      <c r="A55" s="99"/>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8" zoomScaleNormal="68" workbookViewId="0">
      <selection activeCell="C7" sqref="C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99"/>
      <c r="B1" s="431" t="s">
        <v>63</v>
      </c>
      <c r="C1" s="431"/>
      <c r="D1" s="431"/>
      <c r="E1" s="99"/>
      <c r="F1" s="99"/>
      <c r="G1" s="99"/>
      <c r="H1" s="99"/>
      <c r="I1" s="99"/>
      <c r="J1" s="99"/>
      <c r="K1" s="99"/>
      <c r="L1" s="99"/>
      <c r="M1" s="99"/>
      <c r="N1" s="99"/>
      <c r="O1" s="99"/>
      <c r="P1" s="99"/>
      <c r="Q1" s="99"/>
      <c r="R1" s="99"/>
      <c r="S1" s="99"/>
      <c r="T1" s="99"/>
      <c r="U1" s="99"/>
    </row>
    <row r="2" spans="1:21" x14ac:dyDescent="0.25">
      <c r="A2" s="99"/>
      <c r="B2" s="99"/>
      <c r="C2" s="99"/>
      <c r="D2" s="99"/>
      <c r="E2" s="99"/>
      <c r="F2" s="99"/>
      <c r="G2" s="99"/>
      <c r="H2" s="99"/>
      <c r="I2" s="99"/>
      <c r="J2" s="99"/>
      <c r="K2" s="99"/>
      <c r="L2" s="99"/>
      <c r="M2" s="99"/>
      <c r="N2" s="99"/>
      <c r="O2" s="99"/>
      <c r="P2" s="99"/>
      <c r="Q2" s="99"/>
      <c r="R2" s="99"/>
      <c r="S2" s="99"/>
      <c r="T2" s="99"/>
      <c r="U2" s="99"/>
    </row>
    <row r="3" spans="1:21" ht="30" x14ac:dyDescent="0.25">
      <c r="A3" s="99"/>
      <c r="B3" s="120"/>
      <c r="C3" s="38" t="s">
        <v>56</v>
      </c>
      <c r="D3" s="38" t="s">
        <v>57</v>
      </c>
      <c r="E3" s="99"/>
      <c r="F3" s="99"/>
      <c r="G3" s="99"/>
      <c r="H3" s="99"/>
      <c r="I3" s="99"/>
      <c r="J3" s="99"/>
      <c r="K3" s="99"/>
      <c r="L3" s="99"/>
      <c r="M3" s="99"/>
      <c r="N3" s="99"/>
      <c r="O3" s="99"/>
      <c r="P3" s="99"/>
      <c r="Q3" s="99"/>
      <c r="R3" s="99"/>
      <c r="S3" s="99"/>
      <c r="T3" s="99"/>
      <c r="U3" s="99"/>
    </row>
    <row r="4" spans="1:21" ht="33.75" x14ac:dyDescent="0.25">
      <c r="A4" s="119" t="s">
        <v>83</v>
      </c>
      <c r="B4" s="41" t="s">
        <v>101</v>
      </c>
      <c r="C4" s="46" t="s">
        <v>158</v>
      </c>
      <c r="D4" s="39" t="s">
        <v>97</v>
      </c>
      <c r="E4" s="99"/>
      <c r="F4" s="99"/>
      <c r="G4" s="99"/>
      <c r="H4" s="99"/>
      <c r="I4" s="99"/>
      <c r="J4" s="99"/>
      <c r="K4" s="99"/>
      <c r="L4" s="99"/>
      <c r="M4" s="99"/>
      <c r="N4" s="99"/>
      <c r="O4" s="99"/>
      <c r="P4" s="99"/>
      <c r="Q4" s="99"/>
      <c r="R4" s="99"/>
      <c r="S4" s="99"/>
      <c r="T4" s="99"/>
      <c r="U4" s="99"/>
    </row>
    <row r="5" spans="1:21" ht="67.5" x14ac:dyDescent="0.25">
      <c r="A5" s="119" t="s">
        <v>84</v>
      </c>
      <c r="B5" s="42" t="s">
        <v>59</v>
      </c>
      <c r="C5" s="47" t="s">
        <v>93</v>
      </c>
      <c r="D5" s="40" t="s">
        <v>98</v>
      </c>
      <c r="E5" s="99"/>
      <c r="F5" s="99"/>
      <c r="G5" s="99"/>
      <c r="H5" s="99"/>
      <c r="I5" s="99"/>
      <c r="J5" s="99"/>
      <c r="K5" s="99"/>
      <c r="L5" s="99"/>
      <c r="M5" s="99"/>
      <c r="N5" s="99"/>
      <c r="O5" s="99"/>
      <c r="P5" s="99"/>
      <c r="Q5" s="99"/>
      <c r="R5" s="99"/>
      <c r="S5" s="99"/>
      <c r="T5" s="99"/>
      <c r="U5" s="99"/>
    </row>
    <row r="6" spans="1:21" ht="67.5" x14ac:dyDescent="0.25">
      <c r="A6" s="119" t="s">
        <v>81</v>
      </c>
      <c r="B6" s="43" t="s">
        <v>60</v>
      </c>
      <c r="C6" s="47" t="s">
        <v>94</v>
      </c>
      <c r="D6" s="40" t="s">
        <v>100</v>
      </c>
      <c r="E6" s="99"/>
      <c r="F6" s="99"/>
      <c r="G6" s="99"/>
      <c r="H6" s="99"/>
      <c r="I6" s="99"/>
      <c r="J6" s="99"/>
      <c r="K6" s="99"/>
      <c r="L6" s="99"/>
      <c r="M6" s="99"/>
      <c r="N6" s="99"/>
      <c r="O6" s="99"/>
      <c r="P6" s="99"/>
      <c r="Q6" s="99"/>
      <c r="R6" s="99"/>
      <c r="S6" s="99"/>
      <c r="T6" s="99"/>
      <c r="U6" s="99"/>
    </row>
    <row r="7" spans="1:21" ht="101.25" x14ac:dyDescent="0.25">
      <c r="A7" s="119" t="s">
        <v>7</v>
      </c>
      <c r="B7" s="44" t="s">
        <v>61</v>
      </c>
      <c r="C7" s="47" t="s">
        <v>95</v>
      </c>
      <c r="D7" s="40" t="s">
        <v>99</v>
      </c>
      <c r="E7" s="99"/>
      <c r="F7" s="99"/>
      <c r="G7" s="99"/>
      <c r="H7" s="99"/>
      <c r="I7" s="99"/>
      <c r="J7" s="99"/>
      <c r="K7" s="99"/>
      <c r="L7" s="99"/>
      <c r="M7" s="99"/>
      <c r="N7" s="99"/>
      <c r="O7" s="99"/>
      <c r="P7" s="99"/>
      <c r="Q7" s="99"/>
      <c r="R7" s="99"/>
      <c r="S7" s="99"/>
      <c r="T7" s="99"/>
      <c r="U7" s="99"/>
    </row>
    <row r="8" spans="1:21" ht="67.5" x14ac:dyDescent="0.25">
      <c r="A8" s="119" t="s">
        <v>85</v>
      </c>
      <c r="B8" s="45" t="s">
        <v>62</v>
      </c>
      <c r="C8" s="47" t="s">
        <v>96</v>
      </c>
      <c r="D8" s="40" t="s">
        <v>118</v>
      </c>
      <c r="E8" s="99"/>
      <c r="F8" s="99"/>
      <c r="G8" s="99"/>
      <c r="H8" s="99"/>
      <c r="I8" s="99"/>
      <c r="J8" s="99"/>
      <c r="K8" s="99"/>
      <c r="L8" s="99"/>
      <c r="M8" s="99"/>
      <c r="N8" s="99"/>
      <c r="O8" s="99"/>
      <c r="P8" s="99"/>
      <c r="Q8" s="99"/>
      <c r="R8" s="99"/>
      <c r="S8" s="99"/>
      <c r="T8" s="99"/>
      <c r="U8" s="99"/>
    </row>
    <row r="9" spans="1:21" ht="20.25" x14ac:dyDescent="0.25">
      <c r="A9" s="119"/>
      <c r="B9" s="119"/>
      <c r="C9" s="121"/>
      <c r="D9" s="121"/>
      <c r="E9" s="99"/>
      <c r="F9" s="99"/>
      <c r="G9" s="99"/>
      <c r="H9" s="99"/>
      <c r="I9" s="99"/>
      <c r="J9" s="99"/>
      <c r="K9" s="99"/>
      <c r="L9" s="99"/>
      <c r="M9" s="99"/>
      <c r="N9" s="99"/>
      <c r="O9" s="99"/>
      <c r="P9" s="99"/>
      <c r="Q9" s="99"/>
      <c r="R9" s="99"/>
      <c r="S9" s="99"/>
      <c r="T9" s="99"/>
      <c r="U9" s="99"/>
    </row>
    <row r="10" spans="1:21" ht="16.5" x14ac:dyDescent="0.25">
      <c r="A10" s="119"/>
      <c r="B10" s="122"/>
      <c r="C10" s="122"/>
      <c r="D10" s="122"/>
      <c r="E10" s="99"/>
      <c r="F10" s="99"/>
      <c r="G10" s="99"/>
      <c r="H10" s="99"/>
      <c r="I10" s="99"/>
      <c r="J10" s="99"/>
      <c r="K10" s="99"/>
      <c r="L10" s="99"/>
      <c r="M10" s="99"/>
      <c r="N10" s="99"/>
      <c r="O10" s="99"/>
      <c r="P10" s="99"/>
      <c r="Q10" s="99"/>
      <c r="R10" s="99"/>
      <c r="S10" s="99"/>
      <c r="T10" s="99"/>
      <c r="U10" s="99"/>
    </row>
    <row r="11" spans="1:21" x14ac:dyDescent="0.25">
      <c r="A11" s="119"/>
      <c r="B11" s="119" t="s">
        <v>91</v>
      </c>
      <c r="C11" s="119" t="s">
        <v>146</v>
      </c>
      <c r="D11" s="119" t="s">
        <v>153</v>
      </c>
      <c r="E11" s="99"/>
      <c r="F11" s="99"/>
      <c r="G11" s="99"/>
      <c r="H11" s="99"/>
      <c r="I11" s="99"/>
      <c r="J11" s="99"/>
      <c r="K11" s="99"/>
      <c r="L11" s="99"/>
      <c r="M11" s="99"/>
      <c r="N11" s="99"/>
      <c r="O11" s="99"/>
      <c r="P11" s="99"/>
      <c r="Q11" s="99"/>
      <c r="R11" s="99"/>
      <c r="S11" s="99"/>
      <c r="T11" s="99"/>
      <c r="U11" s="99"/>
    </row>
    <row r="12" spans="1:21" x14ac:dyDescent="0.25">
      <c r="A12" s="119"/>
      <c r="B12" s="119" t="s">
        <v>89</v>
      </c>
      <c r="C12" s="119" t="s">
        <v>150</v>
      </c>
      <c r="D12" s="119" t="s">
        <v>154</v>
      </c>
      <c r="E12" s="99"/>
      <c r="F12" s="99"/>
      <c r="G12" s="99"/>
      <c r="H12" s="99"/>
      <c r="I12" s="99"/>
      <c r="J12" s="99"/>
      <c r="K12" s="99"/>
      <c r="L12" s="99"/>
      <c r="M12" s="99"/>
      <c r="N12" s="99"/>
      <c r="O12" s="99"/>
      <c r="P12" s="99"/>
      <c r="Q12" s="99"/>
      <c r="R12" s="99"/>
      <c r="S12" s="99"/>
      <c r="T12" s="99"/>
      <c r="U12" s="99"/>
    </row>
    <row r="13" spans="1:21" x14ac:dyDescent="0.25">
      <c r="A13" s="119"/>
      <c r="B13" s="119"/>
      <c r="C13" s="119" t="s">
        <v>149</v>
      </c>
      <c r="D13" s="119" t="s">
        <v>155</v>
      </c>
      <c r="E13" s="99"/>
      <c r="F13" s="99"/>
      <c r="G13" s="99"/>
      <c r="H13" s="99"/>
      <c r="I13" s="99"/>
      <c r="J13" s="99"/>
      <c r="K13" s="99"/>
      <c r="L13" s="99"/>
      <c r="M13" s="99"/>
      <c r="N13" s="99"/>
      <c r="O13" s="99"/>
      <c r="P13" s="99"/>
      <c r="Q13" s="99"/>
      <c r="R13" s="99"/>
      <c r="S13" s="99"/>
      <c r="T13" s="99"/>
      <c r="U13" s="99"/>
    </row>
    <row r="14" spans="1:21" x14ac:dyDescent="0.25">
      <c r="A14" s="119"/>
      <c r="B14" s="119"/>
      <c r="C14" s="119" t="s">
        <v>151</v>
      </c>
      <c r="D14" s="119" t="s">
        <v>156</v>
      </c>
      <c r="E14" s="99"/>
      <c r="F14" s="99"/>
      <c r="G14" s="99"/>
      <c r="H14" s="99"/>
      <c r="I14" s="99"/>
      <c r="J14" s="99"/>
      <c r="K14" s="99"/>
      <c r="L14" s="99"/>
      <c r="M14" s="99"/>
      <c r="N14" s="99"/>
      <c r="O14" s="99"/>
      <c r="P14" s="99"/>
      <c r="Q14" s="99"/>
      <c r="R14" s="99"/>
      <c r="S14" s="99"/>
      <c r="T14" s="99"/>
      <c r="U14" s="99"/>
    </row>
    <row r="15" spans="1:21" x14ac:dyDescent="0.25">
      <c r="A15" s="119"/>
      <c r="B15" s="119"/>
      <c r="C15" s="119" t="s">
        <v>152</v>
      </c>
      <c r="D15" s="119" t="s">
        <v>157</v>
      </c>
      <c r="E15" s="99"/>
      <c r="F15" s="99"/>
      <c r="G15" s="99"/>
      <c r="H15" s="99"/>
      <c r="I15" s="99"/>
      <c r="J15" s="99"/>
      <c r="K15" s="99"/>
      <c r="L15" s="99"/>
      <c r="M15" s="99"/>
      <c r="N15" s="99"/>
      <c r="O15" s="99"/>
      <c r="P15" s="99"/>
      <c r="Q15" s="99"/>
      <c r="R15" s="99"/>
      <c r="S15" s="99"/>
      <c r="T15" s="99"/>
      <c r="U15" s="99"/>
    </row>
    <row r="16" spans="1:21" x14ac:dyDescent="0.25">
      <c r="A16" s="119"/>
      <c r="B16" s="119"/>
      <c r="C16" s="119"/>
      <c r="D16" s="119"/>
      <c r="E16" s="99"/>
      <c r="F16" s="99"/>
      <c r="G16" s="99"/>
      <c r="H16" s="99"/>
      <c r="I16" s="99"/>
      <c r="J16" s="99"/>
      <c r="K16" s="99"/>
      <c r="L16" s="99"/>
      <c r="M16" s="99"/>
      <c r="N16" s="99"/>
      <c r="O16" s="99"/>
    </row>
    <row r="17" spans="1:15" x14ac:dyDescent="0.25">
      <c r="A17" s="119"/>
      <c r="B17" s="119"/>
      <c r="C17" s="119"/>
      <c r="D17" s="119"/>
      <c r="E17" s="99"/>
      <c r="F17" s="99"/>
      <c r="G17" s="99"/>
      <c r="H17" s="99"/>
      <c r="I17" s="99"/>
      <c r="J17" s="99"/>
      <c r="K17" s="99"/>
      <c r="L17" s="99"/>
      <c r="M17" s="99"/>
      <c r="N17" s="99"/>
      <c r="O17" s="99"/>
    </row>
    <row r="18" spans="1:15" x14ac:dyDescent="0.25">
      <c r="A18" s="119"/>
      <c r="B18" s="123"/>
      <c r="C18" s="123"/>
      <c r="D18" s="123"/>
      <c r="E18" s="99"/>
      <c r="F18" s="99"/>
      <c r="G18" s="99"/>
      <c r="H18" s="99"/>
      <c r="I18" s="99"/>
      <c r="J18" s="99"/>
      <c r="K18" s="99"/>
      <c r="L18" s="99"/>
      <c r="M18" s="99"/>
      <c r="N18" s="99"/>
      <c r="O18" s="99"/>
    </row>
    <row r="19" spans="1:15" x14ac:dyDescent="0.25">
      <c r="A19" s="119"/>
      <c r="B19" s="123"/>
      <c r="C19" s="123"/>
      <c r="D19" s="123"/>
      <c r="E19" s="99"/>
      <c r="F19" s="99"/>
      <c r="G19" s="99"/>
      <c r="H19" s="99"/>
      <c r="I19" s="99"/>
      <c r="J19" s="99"/>
      <c r="K19" s="99"/>
      <c r="L19" s="99"/>
      <c r="M19" s="99"/>
      <c r="N19" s="99"/>
      <c r="O19" s="99"/>
    </row>
    <row r="20" spans="1:15" x14ac:dyDescent="0.25">
      <c r="A20" s="119"/>
      <c r="B20" s="123"/>
      <c r="C20" s="123"/>
      <c r="D20" s="123"/>
      <c r="E20" s="99"/>
      <c r="F20" s="99"/>
      <c r="G20" s="99"/>
      <c r="H20" s="99"/>
      <c r="I20" s="99"/>
      <c r="J20" s="99"/>
      <c r="K20" s="99"/>
      <c r="L20" s="99"/>
      <c r="M20" s="99"/>
      <c r="N20" s="99"/>
      <c r="O20" s="99"/>
    </row>
    <row r="21" spans="1:15" x14ac:dyDescent="0.25">
      <c r="A21" s="119"/>
      <c r="B21" s="123"/>
      <c r="C21" s="123"/>
      <c r="D21" s="123"/>
      <c r="E21" s="99"/>
      <c r="F21" s="99"/>
      <c r="G21" s="99"/>
      <c r="H21" s="99"/>
      <c r="I21" s="99"/>
      <c r="J21" s="99"/>
      <c r="K21" s="99"/>
      <c r="L21" s="99"/>
      <c r="M21" s="99"/>
      <c r="N21" s="99"/>
      <c r="O21" s="99"/>
    </row>
    <row r="22" spans="1:15" ht="20.25" x14ac:dyDescent="0.25">
      <c r="A22" s="119"/>
      <c r="B22" s="119"/>
      <c r="C22" s="121"/>
      <c r="D22" s="121"/>
      <c r="E22" s="99"/>
      <c r="F22" s="99"/>
      <c r="G22" s="99"/>
      <c r="H22" s="99"/>
      <c r="I22" s="99"/>
      <c r="J22" s="99"/>
      <c r="K22" s="99"/>
      <c r="L22" s="99"/>
      <c r="M22" s="99"/>
      <c r="N22" s="99"/>
      <c r="O22" s="99"/>
    </row>
    <row r="23" spans="1:15" ht="20.25" x14ac:dyDescent="0.25">
      <c r="A23" s="119"/>
      <c r="B23" s="119"/>
      <c r="C23" s="121"/>
      <c r="D23" s="121"/>
      <c r="E23" s="99"/>
      <c r="F23" s="99"/>
      <c r="G23" s="99"/>
      <c r="H23" s="99"/>
      <c r="I23" s="99"/>
      <c r="J23" s="99"/>
      <c r="K23" s="99"/>
      <c r="L23" s="99"/>
      <c r="M23" s="99"/>
      <c r="N23" s="99"/>
      <c r="O23" s="99"/>
    </row>
    <row r="24" spans="1:15" ht="20.25" x14ac:dyDescent="0.25">
      <c r="A24" s="119"/>
      <c r="B24" s="119"/>
      <c r="C24" s="121"/>
      <c r="D24" s="121"/>
      <c r="E24" s="99"/>
      <c r="F24" s="99"/>
      <c r="G24" s="99"/>
      <c r="H24" s="99"/>
      <c r="I24" s="99"/>
      <c r="J24" s="99"/>
      <c r="K24" s="99"/>
      <c r="L24" s="99"/>
      <c r="M24" s="99"/>
      <c r="N24" s="99"/>
      <c r="O24" s="99"/>
    </row>
    <row r="25" spans="1:15" ht="20.25" x14ac:dyDescent="0.25">
      <c r="A25" s="119"/>
      <c r="B25" s="119"/>
      <c r="C25" s="121"/>
      <c r="D25" s="121"/>
      <c r="E25" s="99"/>
      <c r="F25" s="99"/>
      <c r="G25" s="99"/>
      <c r="H25" s="99"/>
      <c r="I25" s="99"/>
      <c r="J25" s="99"/>
      <c r="K25" s="99"/>
      <c r="L25" s="99"/>
      <c r="M25" s="99"/>
      <c r="N25" s="99"/>
      <c r="O25" s="99"/>
    </row>
    <row r="26" spans="1:15" ht="20.25" x14ac:dyDescent="0.25">
      <c r="A26" s="119"/>
      <c r="B26" s="119"/>
      <c r="C26" s="121"/>
      <c r="D26" s="121"/>
      <c r="E26" s="99"/>
      <c r="F26" s="99"/>
      <c r="G26" s="99"/>
      <c r="H26" s="99"/>
      <c r="I26" s="99"/>
      <c r="J26" s="99"/>
      <c r="K26" s="99"/>
      <c r="L26" s="99"/>
      <c r="M26" s="99"/>
      <c r="N26" s="99"/>
      <c r="O26" s="99"/>
    </row>
    <row r="27" spans="1:15" ht="20.25" x14ac:dyDescent="0.25">
      <c r="A27" s="119"/>
      <c r="B27" s="119"/>
      <c r="C27" s="121"/>
      <c r="D27" s="121"/>
      <c r="E27" s="99"/>
      <c r="F27" s="99"/>
      <c r="G27" s="99"/>
      <c r="H27" s="99"/>
      <c r="I27" s="99"/>
      <c r="J27" s="99"/>
      <c r="K27" s="99"/>
      <c r="L27" s="99"/>
      <c r="M27" s="99"/>
      <c r="N27" s="99"/>
      <c r="O27" s="99"/>
    </row>
    <row r="28" spans="1:15" ht="20.25" x14ac:dyDescent="0.25">
      <c r="A28" s="119"/>
      <c r="B28" s="119"/>
      <c r="C28" s="121"/>
      <c r="D28" s="121"/>
      <c r="E28" s="99"/>
      <c r="F28" s="99"/>
      <c r="G28" s="99"/>
      <c r="H28" s="99"/>
      <c r="I28" s="99"/>
      <c r="J28" s="99"/>
      <c r="K28" s="99"/>
      <c r="L28" s="99"/>
      <c r="M28" s="99"/>
      <c r="N28" s="99"/>
      <c r="O28" s="99"/>
    </row>
    <row r="29" spans="1:15" ht="20.25" x14ac:dyDescent="0.25">
      <c r="A29" s="119"/>
      <c r="B29" s="119"/>
      <c r="C29" s="121"/>
      <c r="D29" s="121"/>
      <c r="E29" s="99"/>
      <c r="F29" s="99"/>
      <c r="G29" s="99"/>
      <c r="H29" s="99"/>
      <c r="I29" s="99"/>
      <c r="J29" s="99"/>
      <c r="K29" s="99"/>
      <c r="L29" s="99"/>
      <c r="M29" s="99"/>
      <c r="N29" s="99"/>
      <c r="O29" s="99"/>
    </row>
    <row r="30" spans="1:15" ht="20.25" x14ac:dyDescent="0.25">
      <c r="A30" s="119"/>
      <c r="B30" s="119"/>
      <c r="C30" s="121"/>
      <c r="D30" s="121"/>
      <c r="E30" s="99"/>
      <c r="F30" s="99"/>
      <c r="G30" s="99"/>
      <c r="H30" s="99"/>
      <c r="I30" s="99"/>
      <c r="J30" s="99"/>
      <c r="K30" s="99"/>
      <c r="L30" s="99"/>
      <c r="M30" s="99"/>
      <c r="N30" s="99"/>
      <c r="O30" s="99"/>
    </row>
    <row r="31" spans="1:15" ht="20.25" x14ac:dyDescent="0.25">
      <c r="A31" s="119"/>
      <c r="B31" s="119"/>
      <c r="C31" s="121"/>
      <c r="D31" s="121"/>
      <c r="E31" s="99"/>
      <c r="F31" s="99"/>
      <c r="G31" s="99"/>
      <c r="H31" s="99"/>
      <c r="I31" s="99"/>
      <c r="J31" s="99"/>
      <c r="K31" s="99"/>
      <c r="L31" s="99"/>
      <c r="M31" s="99"/>
      <c r="N31" s="99"/>
      <c r="O31" s="99"/>
    </row>
    <row r="32" spans="1:15" ht="20.25" x14ac:dyDescent="0.25">
      <c r="A32" s="119"/>
      <c r="B32" s="119"/>
      <c r="C32" s="121"/>
      <c r="D32" s="121"/>
      <c r="E32" s="99"/>
      <c r="F32" s="99"/>
      <c r="G32" s="99"/>
      <c r="H32" s="99"/>
      <c r="I32" s="99"/>
      <c r="J32" s="99"/>
      <c r="K32" s="99"/>
      <c r="L32" s="99"/>
      <c r="M32" s="99"/>
      <c r="N32" s="99"/>
      <c r="O32" s="99"/>
    </row>
    <row r="33" spans="1:15" ht="20.25" x14ac:dyDescent="0.25">
      <c r="A33" s="119"/>
      <c r="B33" s="119"/>
      <c r="C33" s="121"/>
      <c r="D33" s="121"/>
      <c r="E33" s="99"/>
      <c r="F33" s="99"/>
      <c r="G33" s="99"/>
      <c r="H33" s="99"/>
      <c r="I33" s="99"/>
      <c r="J33" s="99"/>
      <c r="K33" s="99"/>
      <c r="L33" s="99"/>
      <c r="M33" s="99"/>
      <c r="N33" s="99"/>
      <c r="O33" s="99"/>
    </row>
    <row r="34" spans="1:15" ht="20.25" x14ac:dyDescent="0.25">
      <c r="A34" s="119"/>
      <c r="B34" s="119"/>
      <c r="C34" s="121"/>
      <c r="D34" s="121"/>
      <c r="E34" s="99"/>
      <c r="F34" s="99"/>
      <c r="G34" s="99"/>
      <c r="H34" s="99"/>
      <c r="I34" s="99"/>
      <c r="J34" s="99"/>
      <c r="K34" s="99"/>
      <c r="L34" s="99"/>
      <c r="M34" s="99"/>
      <c r="N34" s="99"/>
      <c r="O34" s="99"/>
    </row>
    <row r="35" spans="1:15" ht="20.25" x14ac:dyDescent="0.25">
      <c r="A35" s="119"/>
      <c r="B35" s="119"/>
      <c r="C35" s="121"/>
      <c r="D35" s="121"/>
      <c r="E35" s="99"/>
      <c r="F35" s="99"/>
      <c r="G35" s="99"/>
      <c r="H35" s="99"/>
      <c r="I35" s="99"/>
      <c r="J35" s="99"/>
      <c r="K35" s="99"/>
      <c r="L35" s="99"/>
      <c r="M35" s="99"/>
      <c r="N35" s="99"/>
      <c r="O35" s="99"/>
    </row>
    <row r="36" spans="1:15" ht="20.25" x14ac:dyDescent="0.25">
      <c r="A36" s="119"/>
      <c r="B36" s="119"/>
      <c r="C36" s="121"/>
      <c r="D36" s="121"/>
      <c r="E36" s="99"/>
      <c r="F36" s="99"/>
      <c r="G36" s="99"/>
      <c r="H36" s="99"/>
      <c r="I36" s="99"/>
      <c r="J36" s="99"/>
      <c r="K36" s="99"/>
      <c r="L36" s="99"/>
      <c r="M36" s="99"/>
      <c r="N36" s="99"/>
      <c r="O36" s="99"/>
    </row>
    <row r="37" spans="1:15" ht="20.25" x14ac:dyDescent="0.25">
      <c r="A37" s="119"/>
      <c r="B37" s="119"/>
      <c r="C37" s="121"/>
      <c r="D37" s="121"/>
      <c r="E37" s="99"/>
      <c r="F37" s="99"/>
      <c r="G37" s="99"/>
      <c r="H37" s="99"/>
      <c r="I37" s="99"/>
      <c r="J37" s="99"/>
      <c r="K37" s="99"/>
      <c r="L37" s="99"/>
      <c r="M37" s="99"/>
      <c r="N37" s="99"/>
      <c r="O37" s="99"/>
    </row>
    <row r="38" spans="1:15" ht="20.25" x14ac:dyDescent="0.25">
      <c r="A38" s="119"/>
      <c r="B38" s="119"/>
      <c r="C38" s="121"/>
      <c r="D38" s="121"/>
      <c r="E38" s="99"/>
      <c r="F38" s="99"/>
      <c r="G38" s="99"/>
      <c r="H38" s="99"/>
      <c r="I38" s="99"/>
      <c r="J38" s="99"/>
      <c r="K38" s="99"/>
      <c r="L38" s="99"/>
      <c r="M38" s="99"/>
      <c r="N38" s="99"/>
      <c r="O38" s="99"/>
    </row>
    <row r="39" spans="1:15" ht="20.25" x14ac:dyDescent="0.25">
      <c r="A39" s="119"/>
      <c r="B39" s="119"/>
      <c r="C39" s="121"/>
      <c r="D39" s="121"/>
      <c r="E39" s="99"/>
      <c r="F39" s="99"/>
      <c r="G39" s="99"/>
      <c r="H39" s="99"/>
      <c r="I39" s="99"/>
      <c r="J39" s="99"/>
      <c r="K39" s="99"/>
      <c r="L39" s="99"/>
      <c r="M39" s="99"/>
      <c r="N39" s="99"/>
      <c r="O39" s="99"/>
    </row>
    <row r="40" spans="1:15" ht="20.25" x14ac:dyDescent="0.25">
      <c r="A40" s="119"/>
      <c r="B40" s="119"/>
      <c r="C40" s="121"/>
      <c r="D40" s="121"/>
      <c r="E40" s="99"/>
      <c r="F40" s="99"/>
      <c r="G40" s="99"/>
      <c r="H40" s="99"/>
      <c r="I40" s="99"/>
      <c r="J40" s="99"/>
      <c r="K40" s="99"/>
      <c r="L40" s="99"/>
      <c r="M40" s="99"/>
      <c r="N40" s="99"/>
      <c r="O40" s="99"/>
    </row>
    <row r="41" spans="1:15" ht="20.25" x14ac:dyDescent="0.25">
      <c r="A41" s="119"/>
      <c r="B41" s="119"/>
      <c r="C41" s="121"/>
      <c r="D41" s="121"/>
      <c r="E41" s="99"/>
      <c r="F41" s="99"/>
      <c r="G41" s="99"/>
      <c r="H41" s="99"/>
      <c r="I41" s="99"/>
      <c r="J41" s="99"/>
      <c r="K41" s="99"/>
      <c r="L41" s="99"/>
      <c r="M41" s="99"/>
      <c r="N41" s="99"/>
      <c r="O41" s="99"/>
    </row>
    <row r="42" spans="1:15" ht="20.25" x14ac:dyDescent="0.25">
      <c r="A42" s="119"/>
      <c r="B42" s="119"/>
      <c r="C42" s="121"/>
      <c r="D42" s="121"/>
      <c r="E42" s="99"/>
      <c r="F42" s="99"/>
      <c r="G42" s="99"/>
      <c r="H42" s="99"/>
      <c r="I42" s="99"/>
      <c r="J42" s="99"/>
      <c r="K42" s="99"/>
      <c r="L42" s="99"/>
      <c r="M42" s="99"/>
      <c r="N42" s="99"/>
      <c r="O42" s="99"/>
    </row>
    <row r="43" spans="1:15" ht="20.25" x14ac:dyDescent="0.25">
      <c r="A43" s="119"/>
      <c r="B43" s="119"/>
      <c r="C43" s="121"/>
      <c r="D43" s="121"/>
      <c r="E43" s="99"/>
      <c r="F43" s="99"/>
      <c r="G43" s="99"/>
      <c r="H43" s="99"/>
      <c r="I43" s="99"/>
      <c r="J43" s="99"/>
      <c r="K43" s="99"/>
      <c r="L43" s="99"/>
      <c r="M43" s="99"/>
      <c r="N43" s="99"/>
      <c r="O43" s="99"/>
    </row>
    <row r="44" spans="1:15" ht="20.25" x14ac:dyDescent="0.25">
      <c r="A44" s="119"/>
      <c r="B44" s="119"/>
      <c r="C44" s="121"/>
      <c r="D44" s="121"/>
      <c r="E44" s="99"/>
      <c r="F44" s="99"/>
      <c r="G44" s="99"/>
      <c r="H44" s="99"/>
      <c r="I44" s="99"/>
      <c r="J44" s="99"/>
      <c r="K44" s="99"/>
      <c r="L44" s="99"/>
      <c r="M44" s="99"/>
      <c r="N44" s="99"/>
      <c r="O44" s="99"/>
    </row>
    <row r="45" spans="1:15" ht="20.25" x14ac:dyDescent="0.25">
      <c r="A45" s="119"/>
      <c r="B45" s="119"/>
      <c r="C45" s="121"/>
      <c r="D45" s="121"/>
      <c r="E45" s="99"/>
      <c r="F45" s="99"/>
      <c r="G45" s="99"/>
      <c r="H45" s="99"/>
      <c r="I45" s="99"/>
      <c r="J45" s="99"/>
      <c r="K45" s="99"/>
      <c r="L45" s="99"/>
      <c r="M45" s="99"/>
      <c r="N45" s="99"/>
      <c r="O45" s="99"/>
    </row>
    <row r="46" spans="1:15" ht="20.25" x14ac:dyDescent="0.25">
      <c r="A46" s="119"/>
      <c r="B46" s="119"/>
      <c r="C46" s="121"/>
      <c r="D46" s="121"/>
      <c r="E46" s="99"/>
      <c r="F46" s="99"/>
      <c r="G46" s="99"/>
      <c r="H46" s="99"/>
      <c r="I46" s="99"/>
      <c r="J46" s="99"/>
      <c r="K46" s="99"/>
      <c r="L46" s="99"/>
      <c r="M46" s="99"/>
      <c r="N46" s="99"/>
      <c r="O46" s="99"/>
    </row>
    <row r="47" spans="1:15" ht="20.25" x14ac:dyDescent="0.25">
      <c r="A47" s="119"/>
      <c r="B47" s="119"/>
      <c r="C47" s="121"/>
      <c r="D47" s="121"/>
      <c r="E47" s="99"/>
      <c r="F47" s="99"/>
      <c r="G47" s="99"/>
      <c r="H47" s="99"/>
      <c r="I47" s="99"/>
      <c r="J47" s="99"/>
      <c r="K47" s="99"/>
      <c r="L47" s="99"/>
      <c r="M47" s="99"/>
      <c r="N47" s="99"/>
      <c r="O47" s="99"/>
    </row>
    <row r="48" spans="1:15" ht="20.25" x14ac:dyDescent="0.25">
      <c r="A48" s="119"/>
      <c r="B48" s="119"/>
      <c r="C48" s="121"/>
      <c r="D48" s="121"/>
      <c r="E48" s="99"/>
      <c r="F48" s="99"/>
      <c r="G48" s="99"/>
      <c r="H48" s="99"/>
      <c r="I48" s="99"/>
      <c r="J48" s="99"/>
      <c r="K48" s="99"/>
      <c r="L48" s="99"/>
      <c r="M48" s="99"/>
      <c r="N48" s="99"/>
      <c r="O48" s="99"/>
    </row>
    <row r="49" spans="1:15" ht="20.25" x14ac:dyDescent="0.25">
      <c r="A49" s="119"/>
      <c r="B49" s="119"/>
      <c r="C49" s="121"/>
      <c r="D49" s="121"/>
      <c r="E49" s="99"/>
      <c r="F49" s="99"/>
      <c r="G49" s="99"/>
      <c r="H49" s="99"/>
      <c r="I49" s="99"/>
      <c r="J49" s="99"/>
      <c r="K49" s="99"/>
      <c r="L49" s="99"/>
      <c r="M49" s="99"/>
      <c r="N49" s="99"/>
      <c r="O49" s="99"/>
    </row>
    <row r="50" spans="1:15" ht="20.25" x14ac:dyDescent="0.25">
      <c r="A50" s="119"/>
      <c r="B50" s="119"/>
      <c r="C50" s="121"/>
      <c r="D50" s="121"/>
      <c r="E50" s="99"/>
      <c r="F50" s="99"/>
      <c r="G50" s="99"/>
      <c r="H50" s="99"/>
      <c r="I50" s="99"/>
      <c r="J50" s="99"/>
      <c r="K50" s="99"/>
      <c r="L50" s="99"/>
      <c r="M50" s="99"/>
      <c r="N50" s="99"/>
      <c r="O50" s="99"/>
    </row>
    <row r="51" spans="1:15" ht="20.25" x14ac:dyDescent="0.25">
      <c r="A51" s="119"/>
      <c r="B51" s="119"/>
      <c r="C51" s="121"/>
      <c r="D51" s="121"/>
      <c r="E51" s="99"/>
      <c r="F51" s="99"/>
      <c r="G51" s="99"/>
      <c r="H51" s="99"/>
      <c r="I51" s="99"/>
      <c r="J51" s="99"/>
      <c r="K51" s="99"/>
      <c r="L51" s="99"/>
      <c r="M51" s="99"/>
      <c r="N51" s="99"/>
      <c r="O51" s="99"/>
    </row>
    <row r="52" spans="1:15" ht="20.25" x14ac:dyDescent="0.25">
      <c r="A52" s="119"/>
      <c r="B52" s="23"/>
      <c r="C52" s="36"/>
      <c r="D52" s="36"/>
    </row>
    <row r="53" spans="1:15" ht="20.25" x14ac:dyDescent="0.25">
      <c r="A53" s="119"/>
      <c r="B53" s="23"/>
      <c r="C53" s="36"/>
      <c r="D53" s="36"/>
    </row>
    <row r="54" spans="1:15" ht="20.25" x14ac:dyDescent="0.25">
      <c r="A54" s="119"/>
      <c r="B54" s="23"/>
      <c r="C54" s="36"/>
      <c r="D54" s="36"/>
    </row>
    <row r="55" spans="1:15" ht="20.25" x14ac:dyDescent="0.25">
      <c r="A55" s="119"/>
      <c r="B55" s="23"/>
      <c r="C55" s="36"/>
      <c r="D55" s="36"/>
    </row>
    <row r="56" spans="1:15" ht="20.25" x14ac:dyDescent="0.25">
      <c r="A56" s="119"/>
      <c r="B56" s="23"/>
      <c r="C56" s="36"/>
      <c r="D56" s="36"/>
    </row>
    <row r="57" spans="1:15" ht="20.25" x14ac:dyDescent="0.25">
      <c r="A57" s="119"/>
      <c r="B57" s="23"/>
      <c r="C57" s="36"/>
      <c r="D57" s="36"/>
    </row>
    <row r="58" spans="1:15" ht="20.25" x14ac:dyDescent="0.25">
      <c r="A58" s="119"/>
      <c r="B58" s="23"/>
      <c r="C58" s="36"/>
      <c r="D58" s="36"/>
    </row>
    <row r="59" spans="1:15" ht="20.25" x14ac:dyDescent="0.25">
      <c r="A59" s="119"/>
      <c r="B59" s="23"/>
      <c r="C59" s="36"/>
      <c r="D59" s="36"/>
    </row>
    <row r="60" spans="1:15" ht="20.25" x14ac:dyDescent="0.25">
      <c r="A60" s="119"/>
      <c r="B60" s="23"/>
      <c r="C60" s="36"/>
      <c r="D60" s="36"/>
    </row>
    <row r="61" spans="1:15" ht="20.25" x14ac:dyDescent="0.25">
      <c r="A61" s="119"/>
      <c r="B61" s="23"/>
      <c r="C61" s="36"/>
      <c r="D61" s="36"/>
    </row>
    <row r="62" spans="1:15" ht="20.25" x14ac:dyDescent="0.25">
      <c r="A62" s="119"/>
      <c r="B62" s="23"/>
      <c r="C62" s="36"/>
      <c r="D62" s="36"/>
    </row>
    <row r="63" spans="1:15" ht="20.25" x14ac:dyDescent="0.25">
      <c r="A63" s="119"/>
      <c r="B63" s="23"/>
      <c r="C63" s="36"/>
      <c r="D63" s="36"/>
    </row>
    <row r="64" spans="1:15" ht="20.25" x14ac:dyDescent="0.25">
      <c r="A64" s="119"/>
      <c r="B64" s="23"/>
      <c r="C64" s="36"/>
      <c r="D64" s="36"/>
    </row>
    <row r="65" spans="1:4" ht="20.25" x14ac:dyDescent="0.25">
      <c r="A65" s="119"/>
      <c r="B65" s="23"/>
      <c r="C65" s="36"/>
      <c r="D65" s="36"/>
    </row>
    <row r="66" spans="1:4" ht="20.25" x14ac:dyDescent="0.25">
      <c r="A66" s="119"/>
      <c r="B66" s="23"/>
      <c r="C66" s="36"/>
      <c r="D66" s="36"/>
    </row>
    <row r="67" spans="1:4" ht="20.25" x14ac:dyDescent="0.25">
      <c r="A67" s="119"/>
      <c r="B67" s="23"/>
      <c r="C67" s="36"/>
      <c r="D67" s="36"/>
    </row>
    <row r="68" spans="1:4" ht="20.25" x14ac:dyDescent="0.25">
      <c r="A68" s="119"/>
      <c r="B68" s="23"/>
      <c r="C68" s="36"/>
      <c r="D68" s="36"/>
    </row>
    <row r="69" spans="1:4" ht="20.25" x14ac:dyDescent="0.25">
      <c r="A69" s="119"/>
      <c r="B69" s="23"/>
      <c r="C69" s="36"/>
      <c r="D69" s="36"/>
    </row>
    <row r="70" spans="1:4" ht="20.25" x14ac:dyDescent="0.25">
      <c r="A70" s="119"/>
      <c r="B70" s="23"/>
      <c r="C70" s="36"/>
      <c r="D70" s="36"/>
    </row>
    <row r="71" spans="1:4" ht="20.25" x14ac:dyDescent="0.25">
      <c r="A71" s="119"/>
      <c r="B71" s="23"/>
      <c r="C71" s="36"/>
      <c r="D71" s="36"/>
    </row>
    <row r="72" spans="1:4" ht="20.25" x14ac:dyDescent="0.25">
      <c r="A72" s="119"/>
      <c r="B72" s="23"/>
      <c r="C72" s="36"/>
      <c r="D72" s="36"/>
    </row>
    <row r="73" spans="1:4" ht="20.25" x14ac:dyDescent="0.25">
      <c r="A73" s="119"/>
      <c r="B73" s="23"/>
      <c r="C73" s="36"/>
      <c r="D73" s="36"/>
    </row>
    <row r="74" spans="1:4" ht="20.25" x14ac:dyDescent="0.25">
      <c r="A74" s="119"/>
      <c r="B74" s="23"/>
      <c r="C74" s="36"/>
      <c r="D74" s="36"/>
    </row>
    <row r="75" spans="1:4" ht="20.25" x14ac:dyDescent="0.25">
      <c r="A75" s="119"/>
      <c r="B75" s="23"/>
      <c r="C75" s="36"/>
      <c r="D75" s="36"/>
    </row>
    <row r="76" spans="1:4" ht="20.25" x14ac:dyDescent="0.25">
      <c r="A76" s="119"/>
      <c r="B76" s="23"/>
      <c r="C76" s="36"/>
      <c r="D76" s="36"/>
    </row>
    <row r="77" spans="1:4" ht="20.25" x14ac:dyDescent="0.25">
      <c r="A77" s="119"/>
      <c r="B77" s="23"/>
      <c r="C77" s="36"/>
      <c r="D77" s="36"/>
    </row>
    <row r="78" spans="1:4" ht="20.25" x14ac:dyDescent="0.25">
      <c r="A78" s="119"/>
      <c r="B78" s="23"/>
      <c r="C78" s="36"/>
      <c r="D78" s="36"/>
    </row>
    <row r="79" spans="1:4" ht="20.25" x14ac:dyDescent="0.25">
      <c r="A79" s="119"/>
      <c r="B79" s="23"/>
      <c r="C79" s="36"/>
      <c r="D79" s="36"/>
    </row>
    <row r="80" spans="1:4" ht="20.25" x14ac:dyDescent="0.25">
      <c r="A80" s="119"/>
      <c r="B80" s="23"/>
      <c r="C80" s="36"/>
      <c r="D80" s="36"/>
    </row>
    <row r="81" spans="1:4" ht="20.25" x14ac:dyDescent="0.25">
      <c r="A81" s="119"/>
      <c r="B81" s="23"/>
      <c r="C81" s="36"/>
      <c r="D81" s="36"/>
    </row>
    <row r="82" spans="1:4" ht="20.25" x14ac:dyDescent="0.25">
      <c r="A82" s="119"/>
      <c r="B82" s="23"/>
      <c r="C82" s="36"/>
      <c r="D82" s="36"/>
    </row>
    <row r="83" spans="1:4" ht="20.25" x14ac:dyDescent="0.25">
      <c r="A83" s="119"/>
      <c r="B83" s="23"/>
      <c r="C83" s="36"/>
      <c r="D83" s="36"/>
    </row>
    <row r="84" spans="1:4" ht="20.25" x14ac:dyDescent="0.25">
      <c r="A84" s="119"/>
      <c r="B84" s="23"/>
      <c r="C84" s="36"/>
      <c r="D84" s="36"/>
    </row>
    <row r="85" spans="1:4" ht="20.25" x14ac:dyDescent="0.25">
      <c r="A85" s="119"/>
      <c r="B85" s="23"/>
      <c r="C85" s="36"/>
      <c r="D85" s="36"/>
    </row>
    <row r="86" spans="1:4" ht="20.25" x14ac:dyDescent="0.25">
      <c r="A86" s="119"/>
      <c r="B86" s="23"/>
      <c r="C86" s="36"/>
      <c r="D86" s="36"/>
    </row>
    <row r="87" spans="1:4" ht="20.25" x14ac:dyDescent="0.25">
      <c r="A87" s="119"/>
      <c r="B87" s="23"/>
      <c r="C87" s="36"/>
      <c r="D87" s="36"/>
    </row>
    <row r="88" spans="1:4" ht="20.25" x14ac:dyDescent="0.25">
      <c r="A88" s="119"/>
      <c r="B88" s="23"/>
      <c r="C88" s="36"/>
      <c r="D88" s="36"/>
    </row>
    <row r="89" spans="1:4" ht="20.25" x14ac:dyDescent="0.25">
      <c r="A89" s="119"/>
      <c r="B89" s="23"/>
      <c r="C89" s="36"/>
      <c r="D89" s="36"/>
    </row>
    <row r="90" spans="1:4" ht="20.25" x14ac:dyDescent="0.25">
      <c r="A90" s="119"/>
      <c r="B90" s="23"/>
      <c r="C90" s="36"/>
      <c r="D90" s="36"/>
    </row>
    <row r="91" spans="1:4" ht="20.25" x14ac:dyDescent="0.25">
      <c r="A91" s="119"/>
      <c r="B91" s="23"/>
      <c r="C91" s="36"/>
      <c r="D91" s="36"/>
    </row>
    <row r="92" spans="1:4" ht="20.25" x14ac:dyDescent="0.25">
      <c r="A92" s="119"/>
      <c r="B92" s="23"/>
      <c r="C92" s="36"/>
      <c r="D92" s="36"/>
    </row>
    <row r="93" spans="1:4" ht="20.25" x14ac:dyDescent="0.25">
      <c r="A93" s="119"/>
      <c r="B93" s="23"/>
      <c r="C93" s="36"/>
      <c r="D93" s="36"/>
    </row>
    <row r="94" spans="1:4" ht="20.25" x14ac:dyDescent="0.25">
      <c r="A94" s="119"/>
      <c r="B94" s="23"/>
      <c r="C94" s="36"/>
      <c r="D94" s="36"/>
    </row>
    <row r="95" spans="1:4" ht="20.25" x14ac:dyDescent="0.25">
      <c r="A95" s="119"/>
      <c r="B95" s="23"/>
      <c r="C95" s="36"/>
      <c r="D95" s="36"/>
    </row>
    <row r="96" spans="1:4" ht="20.25" x14ac:dyDescent="0.25">
      <c r="A96" s="119"/>
      <c r="B96" s="23"/>
      <c r="C96" s="36"/>
      <c r="D96" s="36"/>
    </row>
    <row r="97" spans="1:4" ht="20.25" x14ac:dyDescent="0.25">
      <c r="A97" s="119"/>
      <c r="B97" s="23"/>
      <c r="C97" s="36"/>
      <c r="D97" s="36"/>
    </row>
    <row r="98" spans="1:4" ht="20.25" x14ac:dyDescent="0.25">
      <c r="A98" s="119"/>
      <c r="B98" s="23"/>
      <c r="C98" s="36"/>
      <c r="D98" s="36"/>
    </row>
    <row r="99" spans="1:4" ht="20.25" x14ac:dyDescent="0.25">
      <c r="A99" s="119"/>
      <c r="B99" s="23"/>
      <c r="C99" s="36"/>
      <c r="D99" s="36"/>
    </row>
    <row r="100" spans="1:4" ht="20.25" x14ac:dyDescent="0.25">
      <c r="A100" s="119"/>
      <c r="B100" s="23"/>
      <c r="C100" s="36"/>
      <c r="D100" s="36"/>
    </row>
    <row r="101" spans="1:4" ht="20.25" x14ac:dyDescent="0.25">
      <c r="A101" s="119"/>
      <c r="B101" s="23"/>
      <c r="C101" s="36"/>
      <c r="D101" s="36"/>
    </row>
    <row r="102" spans="1:4" ht="20.25" x14ac:dyDescent="0.25">
      <c r="A102" s="119"/>
      <c r="B102" s="23"/>
      <c r="C102" s="36"/>
      <c r="D102" s="36"/>
    </row>
    <row r="103" spans="1:4" ht="20.25" x14ac:dyDescent="0.25">
      <c r="A103" s="119"/>
      <c r="B103" s="23"/>
      <c r="C103" s="36"/>
      <c r="D103" s="36"/>
    </row>
    <row r="104" spans="1:4" ht="20.25" x14ac:dyDescent="0.25">
      <c r="A104" s="119"/>
      <c r="B104" s="23"/>
      <c r="C104" s="36"/>
      <c r="D104" s="36"/>
    </row>
    <row r="105" spans="1:4" ht="20.25" x14ac:dyDescent="0.25">
      <c r="A105" s="119"/>
      <c r="B105" s="23"/>
      <c r="C105" s="36"/>
      <c r="D105" s="36"/>
    </row>
    <row r="106" spans="1:4" ht="20.25" x14ac:dyDescent="0.25">
      <c r="A106" s="119"/>
      <c r="B106" s="23"/>
      <c r="C106" s="36"/>
      <c r="D106" s="36"/>
    </row>
    <row r="107" spans="1:4" ht="20.25" x14ac:dyDescent="0.25">
      <c r="A107" s="119"/>
      <c r="B107" s="23"/>
      <c r="C107" s="36"/>
      <c r="D107" s="36"/>
    </row>
    <row r="108" spans="1:4" ht="20.25" x14ac:dyDescent="0.25">
      <c r="A108" s="119"/>
      <c r="B108" s="23"/>
      <c r="C108" s="36"/>
      <c r="D108" s="36"/>
    </row>
    <row r="109" spans="1:4" ht="20.25" x14ac:dyDescent="0.25">
      <c r="A109" s="119"/>
      <c r="B109" s="23"/>
      <c r="C109" s="36"/>
      <c r="D109" s="36"/>
    </row>
    <row r="110" spans="1:4" ht="20.25" x14ac:dyDescent="0.25">
      <c r="A110" s="119"/>
      <c r="B110" s="23"/>
      <c r="C110" s="36"/>
      <c r="D110" s="36"/>
    </row>
    <row r="111" spans="1:4" ht="20.25" x14ac:dyDescent="0.25">
      <c r="A111" s="119"/>
      <c r="B111" s="23"/>
      <c r="C111" s="36"/>
      <c r="D111" s="36"/>
    </row>
    <row r="112" spans="1:4" ht="20.25" x14ac:dyDescent="0.25">
      <c r="A112" s="119"/>
      <c r="B112" s="23"/>
      <c r="C112" s="36"/>
      <c r="D112" s="36"/>
    </row>
    <row r="113" spans="1:4" ht="20.25" x14ac:dyDescent="0.25">
      <c r="A113" s="119"/>
      <c r="B113" s="23"/>
      <c r="C113" s="36"/>
      <c r="D113" s="36"/>
    </row>
    <row r="114" spans="1:4" ht="20.25" x14ac:dyDescent="0.25">
      <c r="A114" s="119"/>
      <c r="B114" s="23"/>
      <c r="C114" s="36"/>
      <c r="D114" s="36"/>
    </row>
    <row r="115" spans="1:4" ht="20.25" x14ac:dyDescent="0.25">
      <c r="A115" s="119"/>
      <c r="B115" s="23"/>
      <c r="C115" s="36"/>
      <c r="D115" s="36"/>
    </row>
    <row r="116" spans="1:4" ht="20.25" x14ac:dyDescent="0.25">
      <c r="A116" s="119"/>
      <c r="B116" s="23"/>
      <c r="C116" s="36"/>
      <c r="D116" s="36"/>
    </row>
    <row r="117" spans="1:4" ht="20.25" x14ac:dyDescent="0.25">
      <c r="A117" s="119"/>
      <c r="B117" s="23"/>
      <c r="C117" s="36"/>
      <c r="D117" s="36"/>
    </row>
    <row r="118" spans="1:4" ht="20.25" x14ac:dyDescent="0.25">
      <c r="A118" s="119"/>
      <c r="B118" s="23"/>
      <c r="C118" s="36"/>
      <c r="D118" s="36"/>
    </row>
    <row r="119" spans="1:4" ht="20.25" x14ac:dyDescent="0.25">
      <c r="A119" s="119"/>
      <c r="B119" s="23"/>
      <c r="C119" s="36"/>
      <c r="D119" s="36"/>
    </row>
    <row r="120" spans="1:4" ht="20.25" x14ac:dyDescent="0.25">
      <c r="A120" s="119"/>
      <c r="B120" s="23"/>
      <c r="C120" s="36"/>
      <c r="D120" s="36"/>
    </row>
    <row r="121" spans="1:4" ht="20.25" x14ac:dyDescent="0.25">
      <c r="A121" s="119"/>
      <c r="B121" s="23"/>
      <c r="C121" s="36"/>
      <c r="D121" s="36"/>
    </row>
    <row r="122" spans="1:4" ht="20.25" x14ac:dyDescent="0.25">
      <c r="A122" s="119"/>
      <c r="B122" s="23"/>
      <c r="C122" s="36"/>
      <c r="D122" s="36"/>
    </row>
    <row r="123" spans="1:4" ht="20.25" x14ac:dyDescent="0.25">
      <c r="A123" s="119"/>
      <c r="B123" s="23"/>
      <c r="C123" s="36"/>
      <c r="D123" s="36"/>
    </row>
    <row r="124" spans="1:4" ht="20.25" x14ac:dyDescent="0.25">
      <c r="A124" s="119"/>
      <c r="B124" s="23"/>
      <c r="C124" s="36"/>
      <c r="D124" s="36"/>
    </row>
    <row r="125" spans="1:4" ht="20.25" x14ac:dyDescent="0.25">
      <c r="A125" s="119"/>
      <c r="B125" s="23"/>
      <c r="C125" s="36"/>
      <c r="D125" s="36"/>
    </row>
    <row r="126" spans="1:4" ht="20.25" x14ac:dyDescent="0.25">
      <c r="A126" s="119"/>
      <c r="B126" s="23"/>
      <c r="C126" s="36"/>
      <c r="D126" s="36"/>
    </row>
    <row r="127" spans="1:4" ht="20.25" x14ac:dyDescent="0.25">
      <c r="A127" s="119"/>
      <c r="B127" s="23"/>
      <c r="C127" s="36"/>
      <c r="D127" s="36"/>
    </row>
    <row r="128" spans="1:4" ht="20.25" x14ac:dyDescent="0.25">
      <c r="A128" s="119"/>
      <c r="B128" s="23"/>
      <c r="C128" s="36"/>
      <c r="D128" s="36"/>
    </row>
    <row r="129" spans="1:4" ht="20.25" x14ac:dyDescent="0.25">
      <c r="A129" s="119"/>
      <c r="B129" s="23"/>
      <c r="C129" s="36"/>
      <c r="D129" s="36"/>
    </row>
    <row r="130" spans="1:4" ht="20.25" x14ac:dyDescent="0.25">
      <c r="A130" s="119"/>
      <c r="B130" s="23"/>
      <c r="C130" s="36"/>
      <c r="D130" s="36"/>
    </row>
    <row r="131" spans="1:4" ht="20.25" x14ac:dyDescent="0.25">
      <c r="A131" s="119"/>
      <c r="B131" s="23"/>
      <c r="C131" s="36"/>
      <c r="D131" s="36"/>
    </row>
    <row r="132" spans="1:4" ht="20.25" x14ac:dyDescent="0.25">
      <c r="A132" s="119"/>
      <c r="B132" s="23"/>
      <c r="C132" s="36"/>
      <c r="D132" s="36"/>
    </row>
    <row r="133" spans="1:4" ht="20.25" x14ac:dyDescent="0.25">
      <c r="A133" s="119"/>
      <c r="B133" s="23"/>
      <c r="C133" s="36"/>
      <c r="D133" s="36"/>
    </row>
    <row r="134" spans="1:4" ht="20.25" x14ac:dyDescent="0.25">
      <c r="A134" s="119"/>
      <c r="B134" s="23"/>
      <c r="C134" s="36"/>
      <c r="D134" s="36"/>
    </row>
    <row r="135" spans="1:4" ht="20.25" x14ac:dyDescent="0.25">
      <c r="A135" s="119"/>
      <c r="B135" s="23"/>
      <c r="C135" s="36"/>
      <c r="D135" s="36"/>
    </row>
    <row r="136" spans="1:4" ht="20.25" x14ac:dyDescent="0.25">
      <c r="A136" s="119"/>
      <c r="B136" s="23"/>
      <c r="C136" s="36"/>
      <c r="D136" s="36"/>
    </row>
    <row r="137" spans="1:4" ht="20.25" x14ac:dyDescent="0.25">
      <c r="A137" s="119"/>
      <c r="B137" s="23"/>
      <c r="C137" s="36"/>
      <c r="D137" s="36"/>
    </row>
    <row r="138" spans="1:4" ht="20.25" x14ac:dyDescent="0.25">
      <c r="A138" s="119"/>
      <c r="B138" s="23"/>
      <c r="C138" s="36"/>
      <c r="D138" s="36"/>
    </row>
    <row r="139" spans="1:4" ht="20.25" x14ac:dyDescent="0.25">
      <c r="A139" s="119"/>
      <c r="B139" s="23"/>
      <c r="C139" s="36"/>
      <c r="D139" s="36"/>
    </row>
    <row r="140" spans="1:4" ht="20.25" x14ac:dyDescent="0.25">
      <c r="A140" s="119"/>
      <c r="B140" s="23"/>
      <c r="C140" s="36"/>
      <c r="D140" s="36"/>
    </row>
    <row r="141" spans="1:4" ht="20.25" x14ac:dyDescent="0.25">
      <c r="A141" s="119"/>
      <c r="B141" s="23"/>
      <c r="C141" s="36"/>
      <c r="D141" s="36"/>
    </row>
    <row r="142" spans="1:4" ht="20.25" x14ac:dyDescent="0.25">
      <c r="A142" s="119"/>
      <c r="B142" s="23"/>
      <c r="C142" s="36"/>
      <c r="D142" s="36"/>
    </row>
    <row r="143" spans="1:4" ht="20.25" x14ac:dyDescent="0.25">
      <c r="A143" s="119"/>
      <c r="B143" s="23"/>
      <c r="C143" s="36"/>
      <c r="D143" s="36"/>
    </row>
    <row r="144" spans="1:4" ht="20.25" x14ac:dyDescent="0.25">
      <c r="A144" s="119"/>
      <c r="B144" s="23"/>
      <c r="C144" s="36"/>
      <c r="D144" s="36"/>
    </row>
    <row r="145" spans="1:4" ht="20.25" x14ac:dyDescent="0.25">
      <c r="A145" s="119"/>
      <c r="B145" s="23"/>
      <c r="C145" s="36"/>
      <c r="D145" s="36"/>
    </row>
    <row r="146" spans="1:4" ht="20.25" x14ac:dyDescent="0.25">
      <c r="A146" s="119"/>
      <c r="B146" s="23"/>
      <c r="C146" s="36"/>
      <c r="D146" s="36"/>
    </row>
    <row r="147" spans="1:4" ht="20.25" x14ac:dyDescent="0.25">
      <c r="A147" s="119"/>
      <c r="B147" s="23"/>
      <c r="C147" s="36"/>
      <c r="D147" s="36"/>
    </row>
    <row r="148" spans="1:4" ht="20.25" x14ac:dyDescent="0.25">
      <c r="A148" s="119"/>
      <c r="B148" s="23"/>
      <c r="C148" s="36"/>
      <c r="D148" s="36"/>
    </row>
    <row r="149" spans="1:4" ht="20.25" x14ac:dyDescent="0.25">
      <c r="A149" s="119"/>
      <c r="B149" s="23"/>
      <c r="C149" s="36"/>
      <c r="D149" s="36"/>
    </row>
    <row r="150" spans="1:4" ht="20.25" x14ac:dyDescent="0.25">
      <c r="A150" s="119"/>
      <c r="B150" s="23"/>
      <c r="C150" s="36"/>
      <c r="D150" s="36"/>
    </row>
    <row r="151" spans="1:4" ht="20.25" x14ac:dyDescent="0.25">
      <c r="A151" s="119"/>
      <c r="B151" s="23"/>
      <c r="C151" s="36"/>
      <c r="D151" s="36"/>
    </row>
    <row r="152" spans="1:4" ht="20.25" x14ac:dyDescent="0.25">
      <c r="A152" s="119"/>
      <c r="B152" s="23"/>
      <c r="C152" s="36"/>
      <c r="D152" s="36"/>
    </row>
    <row r="153" spans="1:4" ht="20.25" x14ac:dyDescent="0.25">
      <c r="A153" s="119"/>
      <c r="B153" s="23"/>
      <c r="C153" s="36"/>
      <c r="D153" s="36"/>
    </row>
    <row r="154" spans="1:4" ht="20.25" x14ac:dyDescent="0.25">
      <c r="A154" s="119"/>
      <c r="B154" s="23"/>
      <c r="C154" s="36"/>
      <c r="D154" s="36"/>
    </row>
    <row r="155" spans="1:4" ht="20.25" x14ac:dyDescent="0.25">
      <c r="A155" s="119"/>
      <c r="B155" s="23"/>
      <c r="C155" s="36"/>
      <c r="D155" s="36"/>
    </row>
    <row r="156" spans="1:4" ht="20.25" x14ac:dyDescent="0.25">
      <c r="A156" s="119"/>
      <c r="B156" s="23"/>
      <c r="C156" s="36"/>
      <c r="D156" s="36"/>
    </row>
    <row r="157" spans="1:4" ht="20.25" x14ac:dyDescent="0.25">
      <c r="A157" s="119"/>
      <c r="B157" s="23"/>
      <c r="C157" s="36"/>
      <c r="D157" s="36"/>
    </row>
    <row r="158" spans="1:4" ht="20.25" x14ac:dyDescent="0.25">
      <c r="A158" s="119"/>
      <c r="B158" s="23"/>
      <c r="C158" s="36"/>
      <c r="D158" s="36"/>
    </row>
    <row r="159" spans="1:4" ht="20.25" x14ac:dyDescent="0.25">
      <c r="A159" s="119"/>
      <c r="B159" s="23"/>
      <c r="C159" s="36"/>
      <c r="D159" s="36"/>
    </row>
    <row r="160" spans="1:4" ht="20.25" x14ac:dyDescent="0.25">
      <c r="A160" s="119"/>
      <c r="B160" s="23"/>
      <c r="C160" s="36"/>
      <c r="D160" s="36"/>
    </row>
    <row r="161" spans="1:4" ht="20.25" x14ac:dyDescent="0.25">
      <c r="A161" s="119"/>
      <c r="B161" s="23"/>
      <c r="C161" s="36"/>
      <c r="D161" s="36"/>
    </row>
    <row r="162" spans="1:4" ht="20.25" x14ac:dyDescent="0.25">
      <c r="A162" s="119"/>
      <c r="B162" s="23"/>
      <c r="C162" s="36"/>
      <c r="D162" s="36"/>
    </row>
    <row r="163" spans="1:4" ht="20.25" x14ac:dyDescent="0.25">
      <c r="A163" s="119"/>
      <c r="B163" s="23"/>
      <c r="C163" s="36"/>
      <c r="D163" s="36"/>
    </row>
    <row r="164" spans="1:4" ht="20.25" x14ac:dyDescent="0.25">
      <c r="A164" s="119"/>
      <c r="B164" s="23"/>
      <c r="C164" s="36"/>
      <c r="D164" s="36"/>
    </row>
    <row r="165" spans="1:4" ht="20.25" x14ac:dyDescent="0.25">
      <c r="A165" s="119"/>
      <c r="B165" s="23"/>
      <c r="C165" s="36"/>
      <c r="D165" s="36"/>
    </row>
    <row r="166" spans="1:4" ht="20.25" x14ac:dyDescent="0.25">
      <c r="A166" s="119"/>
      <c r="B166" s="23"/>
      <c r="C166" s="36"/>
      <c r="D166" s="36"/>
    </row>
    <row r="167" spans="1:4" ht="20.25" x14ac:dyDescent="0.25">
      <c r="A167" s="119"/>
      <c r="B167" s="23"/>
      <c r="C167" s="36"/>
      <c r="D167" s="36"/>
    </row>
    <row r="168" spans="1:4" ht="20.25" x14ac:dyDescent="0.25">
      <c r="A168" s="119"/>
      <c r="B168" s="23"/>
      <c r="C168" s="36"/>
      <c r="D168" s="36"/>
    </row>
    <row r="169" spans="1:4" ht="20.25" x14ac:dyDescent="0.25">
      <c r="A169" s="119"/>
      <c r="B169" s="23"/>
      <c r="C169" s="36"/>
      <c r="D169" s="36"/>
    </row>
    <row r="170" spans="1:4" ht="20.25" x14ac:dyDescent="0.25">
      <c r="A170" s="119"/>
      <c r="B170" s="23"/>
      <c r="C170" s="36"/>
      <c r="D170" s="36"/>
    </row>
    <row r="171" spans="1:4" ht="20.25" x14ac:dyDescent="0.25">
      <c r="A171" s="119"/>
      <c r="B171" s="23"/>
      <c r="C171" s="36"/>
      <c r="D171" s="36"/>
    </row>
    <row r="172" spans="1:4" ht="20.25" x14ac:dyDescent="0.25">
      <c r="A172" s="119"/>
      <c r="B172" s="23"/>
      <c r="C172" s="36"/>
      <c r="D172" s="36"/>
    </row>
    <row r="173" spans="1:4" ht="20.25" x14ac:dyDescent="0.25">
      <c r="A173" s="119"/>
      <c r="B173" s="23"/>
      <c r="C173" s="36"/>
      <c r="D173" s="36"/>
    </row>
    <row r="174" spans="1:4" ht="20.25" x14ac:dyDescent="0.25">
      <c r="A174" s="119"/>
      <c r="B174" s="23"/>
      <c r="C174" s="36"/>
      <c r="D174" s="36"/>
    </row>
    <row r="175" spans="1:4" ht="20.25" x14ac:dyDescent="0.25">
      <c r="A175" s="119"/>
      <c r="B175" s="23"/>
      <c r="C175" s="36"/>
      <c r="D175" s="36"/>
    </row>
    <row r="176" spans="1:4" ht="20.25" x14ac:dyDescent="0.25">
      <c r="A176" s="119"/>
      <c r="B176" s="23"/>
      <c r="C176" s="36"/>
      <c r="D176" s="36"/>
    </row>
    <row r="177" spans="1:4" ht="20.25" x14ac:dyDescent="0.25">
      <c r="A177" s="119"/>
      <c r="B177" s="23"/>
      <c r="C177" s="36"/>
      <c r="D177" s="36"/>
    </row>
    <row r="178" spans="1:4" ht="20.25" x14ac:dyDescent="0.25">
      <c r="A178" s="119"/>
      <c r="B178" s="23"/>
      <c r="C178" s="36"/>
      <c r="D178" s="36"/>
    </row>
    <row r="179" spans="1:4" ht="20.25" x14ac:dyDescent="0.25">
      <c r="A179" s="119"/>
      <c r="B179" s="23"/>
      <c r="C179" s="36"/>
      <c r="D179" s="36"/>
    </row>
    <row r="180" spans="1:4" ht="20.25" x14ac:dyDescent="0.25">
      <c r="A180" s="119"/>
      <c r="B180" s="23"/>
      <c r="C180" s="36"/>
      <c r="D180" s="36"/>
    </row>
    <row r="181" spans="1:4" ht="20.25" x14ac:dyDescent="0.25">
      <c r="A181" s="119"/>
      <c r="B181" s="23"/>
      <c r="C181" s="36"/>
      <c r="D181" s="36"/>
    </row>
    <row r="182" spans="1:4" ht="20.25" x14ac:dyDescent="0.25">
      <c r="A182" s="119"/>
      <c r="B182" s="23"/>
      <c r="C182" s="36"/>
      <c r="D182" s="36"/>
    </row>
    <row r="183" spans="1:4" ht="20.25" x14ac:dyDescent="0.25">
      <c r="A183" s="119"/>
      <c r="B183" s="23"/>
      <c r="C183" s="36"/>
      <c r="D183" s="36"/>
    </row>
    <row r="184" spans="1:4" ht="20.25" x14ac:dyDescent="0.25">
      <c r="A184" s="119"/>
      <c r="B184" s="23"/>
      <c r="C184" s="36"/>
      <c r="D184" s="36"/>
    </row>
    <row r="185" spans="1:4" ht="20.25" x14ac:dyDescent="0.25">
      <c r="A185" s="119"/>
      <c r="B185" s="23"/>
      <c r="C185" s="36"/>
      <c r="D185" s="36"/>
    </row>
    <row r="186" spans="1:4" ht="20.25" x14ac:dyDescent="0.25">
      <c r="A186" s="119"/>
      <c r="B186" s="23"/>
      <c r="C186" s="36"/>
      <c r="D186" s="36"/>
    </row>
    <row r="187" spans="1:4" ht="20.25" x14ac:dyDescent="0.25">
      <c r="A187" s="119"/>
      <c r="B187" s="23"/>
      <c r="C187" s="36"/>
      <c r="D187" s="36"/>
    </row>
    <row r="188" spans="1:4" ht="20.25" x14ac:dyDescent="0.25">
      <c r="A188" s="119"/>
      <c r="B188" s="23"/>
      <c r="C188" s="36"/>
      <c r="D188" s="36"/>
    </row>
    <row r="189" spans="1:4" ht="20.25" x14ac:dyDescent="0.25">
      <c r="A189" s="119"/>
      <c r="B189" s="23"/>
      <c r="C189" s="36"/>
      <c r="D189" s="36"/>
    </row>
    <row r="190" spans="1:4" ht="20.25" x14ac:dyDescent="0.25">
      <c r="A190" s="119"/>
      <c r="B190" s="23"/>
      <c r="C190" s="36"/>
      <c r="D190" s="36"/>
    </row>
    <row r="191" spans="1:4" ht="20.25" x14ac:dyDescent="0.25">
      <c r="A191" s="119"/>
      <c r="B191" s="23"/>
      <c r="C191" s="36"/>
      <c r="D191" s="36"/>
    </row>
    <row r="192" spans="1:4" ht="20.25" x14ac:dyDescent="0.25">
      <c r="A192" s="119"/>
      <c r="B192" s="23"/>
      <c r="C192" s="36"/>
      <c r="D192" s="36"/>
    </row>
    <row r="193" spans="1:4" ht="20.25" x14ac:dyDescent="0.25">
      <c r="A193" s="119"/>
      <c r="B193" s="23"/>
      <c r="C193" s="36"/>
      <c r="D193" s="36"/>
    </row>
    <row r="194" spans="1:4" ht="20.25" x14ac:dyDescent="0.25">
      <c r="A194" s="119"/>
      <c r="B194" s="23"/>
      <c r="C194" s="36"/>
      <c r="D194" s="36"/>
    </row>
    <row r="195" spans="1:4" ht="20.25" x14ac:dyDescent="0.25">
      <c r="A195" s="119"/>
      <c r="B195" s="23"/>
      <c r="C195" s="36"/>
      <c r="D195" s="36"/>
    </row>
    <row r="196" spans="1:4" ht="20.25" x14ac:dyDescent="0.25">
      <c r="A196" s="119"/>
      <c r="B196" s="23"/>
      <c r="C196" s="36"/>
      <c r="D196" s="36"/>
    </row>
    <row r="197" spans="1:4" ht="20.25" x14ac:dyDescent="0.25">
      <c r="A197" s="119"/>
      <c r="B197" s="23"/>
      <c r="C197" s="36"/>
      <c r="D197" s="36"/>
    </row>
    <row r="198" spans="1:4" ht="20.25" x14ac:dyDescent="0.25">
      <c r="A198" s="119"/>
      <c r="B198" s="23"/>
      <c r="C198" s="36"/>
      <c r="D198" s="36"/>
    </row>
    <row r="199" spans="1:4" ht="20.25" x14ac:dyDescent="0.25">
      <c r="A199" s="119"/>
      <c r="B199" s="23"/>
      <c r="C199" s="36"/>
      <c r="D199" s="36"/>
    </row>
    <row r="200" spans="1:4" ht="20.25" x14ac:dyDescent="0.25">
      <c r="A200" s="119"/>
      <c r="B200" s="23"/>
      <c r="C200" s="36"/>
      <c r="D200" s="36"/>
    </row>
    <row r="201" spans="1:4" ht="20.25" x14ac:dyDescent="0.25">
      <c r="A201" s="119"/>
      <c r="B201" s="23"/>
      <c r="C201" s="36"/>
      <c r="D201" s="36"/>
    </row>
    <row r="202" spans="1:4" ht="20.25" x14ac:dyDescent="0.25">
      <c r="A202" s="119"/>
      <c r="B202" s="23"/>
      <c r="C202" s="36"/>
      <c r="D202" s="36"/>
    </row>
    <row r="203" spans="1:4" ht="20.25" x14ac:dyDescent="0.25">
      <c r="A203" s="119"/>
      <c r="B203" s="23"/>
      <c r="C203" s="36"/>
      <c r="D203" s="36"/>
    </row>
    <row r="204" spans="1:4" ht="20.25" x14ac:dyDescent="0.25">
      <c r="A204" s="119"/>
      <c r="B204" s="23"/>
      <c r="C204" s="36"/>
      <c r="D204" s="36"/>
    </row>
    <row r="205" spans="1:4" ht="20.25" x14ac:dyDescent="0.25">
      <c r="A205" s="119"/>
      <c r="B205" s="23"/>
      <c r="C205" s="36"/>
      <c r="D205" s="36"/>
    </row>
    <row r="206" spans="1:4" ht="20.25" x14ac:dyDescent="0.25">
      <c r="A206" s="119"/>
      <c r="B206" s="23"/>
      <c r="C206" s="36"/>
      <c r="D206" s="36"/>
    </row>
    <row r="207" spans="1:4" ht="20.25" x14ac:dyDescent="0.25">
      <c r="A207" s="119"/>
      <c r="B207" s="23"/>
      <c r="C207" s="36"/>
      <c r="D207" s="36"/>
    </row>
    <row r="208" spans="1:4" x14ac:dyDescent="0.25">
      <c r="A208" s="99"/>
      <c r="B208" s="23"/>
      <c r="C208" s="23"/>
      <c r="D208" s="23"/>
    </row>
    <row r="209" spans="1:8" ht="20.25" x14ac:dyDescent="0.25">
      <c r="A209" s="99"/>
      <c r="B209" s="32" t="s">
        <v>88</v>
      </c>
      <c r="C209" s="32" t="s">
        <v>145</v>
      </c>
      <c r="D209" s="35" t="s">
        <v>88</v>
      </c>
      <c r="E209" s="35" t="s">
        <v>145</v>
      </c>
    </row>
    <row r="210" spans="1:8" ht="21" x14ac:dyDescent="0.35">
      <c r="A210" s="99"/>
      <c r="B210" s="33" t="s">
        <v>90</v>
      </c>
      <c r="C210" s="33"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99"/>
      <c r="B211" s="33" t="s">
        <v>90</v>
      </c>
      <c r="C211" s="33" t="s">
        <v>93</v>
      </c>
      <c r="E211" t="s">
        <v>58</v>
      </c>
      <c r="F211" t="str">
        <f t="shared" ref="F211:F221" si="0">IF(NOT(ISBLANK(D211)),D211,IF(NOT(ISBLANK(E211)),"     "&amp;E211,FALSE))</f>
        <v xml:space="preserve">     Afectación menor a 10 SMLMV .</v>
      </c>
    </row>
    <row r="212" spans="1:8" ht="21" x14ac:dyDescent="0.35">
      <c r="A212" s="99"/>
      <c r="B212" s="33" t="s">
        <v>90</v>
      </c>
      <c r="C212" s="33" t="s">
        <v>94</v>
      </c>
      <c r="E212" t="s">
        <v>93</v>
      </c>
      <c r="F212" t="str">
        <f t="shared" si="0"/>
        <v xml:space="preserve">     Entre 10 y 50 SMLMV </v>
      </c>
    </row>
    <row r="213" spans="1:8" ht="21" x14ac:dyDescent="0.35">
      <c r="A213" s="99"/>
      <c r="B213" s="33" t="s">
        <v>90</v>
      </c>
      <c r="C213" s="33" t="s">
        <v>95</v>
      </c>
      <c r="E213" t="s">
        <v>94</v>
      </c>
      <c r="F213" t="str">
        <f t="shared" si="0"/>
        <v xml:space="preserve">     Entre 50 y 100 SMLMV </v>
      </c>
    </row>
    <row r="214" spans="1:8" ht="21" x14ac:dyDescent="0.35">
      <c r="A214" s="99"/>
      <c r="B214" s="33" t="s">
        <v>90</v>
      </c>
      <c r="C214" s="33" t="s">
        <v>96</v>
      </c>
      <c r="E214" t="s">
        <v>95</v>
      </c>
      <c r="F214" t="str">
        <f t="shared" si="0"/>
        <v xml:space="preserve">     Entre 100 y 500 SMLMV </v>
      </c>
    </row>
    <row r="215" spans="1:8" ht="21" x14ac:dyDescent="0.35">
      <c r="A215" s="99"/>
      <c r="B215" s="33" t="s">
        <v>57</v>
      </c>
      <c r="C215" s="33" t="s">
        <v>97</v>
      </c>
      <c r="E215" t="s">
        <v>96</v>
      </c>
      <c r="F215" t="str">
        <f t="shared" si="0"/>
        <v xml:space="preserve">     Mayor a 500 SMLMV </v>
      </c>
    </row>
    <row r="216" spans="1:8" ht="21" x14ac:dyDescent="0.35">
      <c r="A216" s="99"/>
      <c r="B216" s="33" t="s">
        <v>57</v>
      </c>
      <c r="C216" s="33" t="s">
        <v>98</v>
      </c>
      <c r="D216" t="s">
        <v>57</v>
      </c>
      <c r="F216" t="str">
        <f t="shared" si="0"/>
        <v>Pérdida Reputacional</v>
      </c>
    </row>
    <row r="217" spans="1:8" ht="21" x14ac:dyDescent="0.35">
      <c r="A217" s="99"/>
      <c r="B217" s="33" t="s">
        <v>57</v>
      </c>
      <c r="C217" s="33" t="s">
        <v>100</v>
      </c>
      <c r="E217" t="s">
        <v>97</v>
      </c>
      <c r="F217" t="str">
        <f t="shared" si="0"/>
        <v xml:space="preserve">     El riesgo afecta la imagen de alguna área de la organización</v>
      </c>
    </row>
    <row r="218" spans="1:8" ht="21" x14ac:dyDescent="0.35">
      <c r="A218" s="99"/>
      <c r="B218" s="33" t="s">
        <v>57</v>
      </c>
      <c r="C218" s="33" t="s">
        <v>99</v>
      </c>
      <c r="E218" t="s">
        <v>98</v>
      </c>
      <c r="F218" t="str">
        <f t="shared" si="0"/>
        <v xml:space="preserve">     El riesgo afecta la imagen de la entidad internamente, de conocimiento general, nivel interno, de junta dircetiva y accionistas y/o de provedores</v>
      </c>
    </row>
    <row r="219" spans="1:8" ht="21" x14ac:dyDescent="0.35">
      <c r="A219" s="99"/>
      <c r="B219" s="33" t="s">
        <v>57</v>
      </c>
      <c r="C219" s="33" t="s">
        <v>118</v>
      </c>
      <c r="E219" t="s">
        <v>100</v>
      </c>
      <c r="F219" t="str">
        <f t="shared" si="0"/>
        <v xml:space="preserve">     El riesgo afecta la imagen de la entidad con algunos usuarios de relevancia frente al logro de los objetivos</v>
      </c>
    </row>
    <row r="220" spans="1:8" x14ac:dyDescent="0.25">
      <c r="A220" s="99"/>
      <c r="B220" s="34"/>
      <c r="C220" s="34"/>
      <c r="E220" t="s">
        <v>99</v>
      </c>
      <c r="F220" t="str">
        <f t="shared" si="0"/>
        <v xml:space="preserve">     El riesgo afecta la imagen de de la entidad con efecto publicitario sostenido a nivel de sector administrativo, nivel departamental o municipal</v>
      </c>
    </row>
    <row r="221" spans="1:8" x14ac:dyDescent="0.25">
      <c r="A221" s="99"/>
      <c r="B221" s="34" t="str" cm="1">
        <f t="array" ref="B221:B223">_xlfn.UNIQUE(Tabla1[[#All],[Criterios]])</f>
        <v>Criterios</v>
      </c>
      <c r="C221" s="34"/>
      <c r="E221" t="s">
        <v>118</v>
      </c>
      <c r="F221" t="str">
        <f t="shared" si="0"/>
        <v xml:space="preserve">     El riesgo afecta la imagen de la entidad a nivel nacional, con efecto publicitarios sostenible a nivel país</v>
      </c>
    </row>
    <row r="222" spans="1:8" x14ac:dyDescent="0.25">
      <c r="A222" s="99"/>
      <c r="B222" s="34" t="str">
        <v>Afectación Económica o presupuestal</v>
      </c>
      <c r="C222" s="34"/>
    </row>
    <row r="223" spans="1:8" x14ac:dyDescent="0.25">
      <c r="B223" s="34" t="str">
        <v>Pérdida Reputacional</v>
      </c>
      <c r="C223" s="34"/>
      <c r="F223" s="37" t="s">
        <v>147</v>
      </c>
    </row>
    <row r="224" spans="1:8" x14ac:dyDescent="0.25">
      <c r="B224" s="22"/>
      <c r="C224" s="22"/>
      <c r="F224" s="37"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11" zoomScale="120" workbookViewId="0">
      <selection activeCell="B15" sqref="B15:F15"/>
    </sheetView>
  </sheetViews>
  <sheetFormatPr baseColWidth="10" defaultColWidth="14.28515625" defaultRowHeight="12.75" x14ac:dyDescent="0.2"/>
  <cols>
    <col min="1" max="2" width="14.28515625" style="104"/>
    <col min="3" max="3" width="17" style="104" customWidth="1"/>
    <col min="4" max="4" width="14.28515625" style="104"/>
    <col min="5" max="5" width="46" style="104" customWidth="1"/>
    <col min="6" max="16384" width="14.28515625" style="104"/>
  </cols>
  <sheetData>
    <row r="1" spans="2:6" ht="24" customHeight="1" thickBot="1" x14ac:dyDescent="0.25">
      <c r="B1" s="432" t="s">
        <v>78</v>
      </c>
      <c r="C1" s="433"/>
      <c r="D1" s="433"/>
      <c r="E1" s="433"/>
      <c r="F1" s="434"/>
    </row>
    <row r="2" spans="2:6" ht="16.5" thickBot="1" x14ac:dyDescent="0.3">
      <c r="B2" s="105"/>
      <c r="C2" s="105"/>
      <c r="D2" s="105"/>
      <c r="E2" s="105"/>
      <c r="F2" s="105"/>
    </row>
    <row r="3" spans="2:6" ht="16.5" thickBot="1" x14ac:dyDescent="0.25">
      <c r="B3" s="436" t="s">
        <v>64</v>
      </c>
      <c r="C3" s="437"/>
      <c r="D3" s="437"/>
      <c r="E3" s="117" t="s">
        <v>65</v>
      </c>
      <c r="F3" s="118" t="s">
        <v>66</v>
      </c>
    </row>
    <row r="4" spans="2:6" ht="31.5" x14ac:dyDescent="0.2">
      <c r="B4" s="438" t="s">
        <v>67</v>
      </c>
      <c r="C4" s="440" t="s">
        <v>13</v>
      </c>
      <c r="D4" s="106" t="s">
        <v>14</v>
      </c>
      <c r="E4" s="107" t="s">
        <v>68</v>
      </c>
      <c r="F4" s="108">
        <v>0.25</v>
      </c>
    </row>
    <row r="5" spans="2:6" ht="47.25" x14ac:dyDescent="0.2">
      <c r="B5" s="439"/>
      <c r="C5" s="441"/>
      <c r="D5" s="109" t="s">
        <v>15</v>
      </c>
      <c r="E5" s="110" t="s">
        <v>69</v>
      </c>
      <c r="F5" s="111">
        <v>0.15</v>
      </c>
    </row>
    <row r="6" spans="2:6" ht="47.25" x14ac:dyDescent="0.2">
      <c r="B6" s="439"/>
      <c r="C6" s="441"/>
      <c r="D6" s="109" t="s">
        <v>16</v>
      </c>
      <c r="E6" s="110" t="s">
        <v>70</v>
      </c>
      <c r="F6" s="111">
        <v>0.1</v>
      </c>
    </row>
    <row r="7" spans="2:6" ht="63" x14ac:dyDescent="0.2">
      <c r="B7" s="439"/>
      <c r="C7" s="441" t="s">
        <v>17</v>
      </c>
      <c r="D7" s="109" t="s">
        <v>10</v>
      </c>
      <c r="E7" s="110" t="s">
        <v>71</v>
      </c>
      <c r="F7" s="111">
        <v>0.25</v>
      </c>
    </row>
    <row r="8" spans="2:6" ht="31.5" x14ac:dyDescent="0.2">
      <c r="B8" s="439"/>
      <c r="C8" s="441"/>
      <c r="D8" s="109" t="s">
        <v>9</v>
      </c>
      <c r="E8" s="110" t="s">
        <v>72</v>
      </c>
      <c r="F8" s="111">
        <v>0.15</v>
      </c>
    </row>
    <row r="9" spans="2:6" ht="47.25" x14ac:dyDescent="0.2">
      <c r="B9" s="439" t="s">
        <v>162</v>
      </c>
      <c r="C9" s="441" t="s">
        <v>18</v>
      </c>
      <c r="D9" s="109" t="s">
        <v>19</v>
      </c>
      <c r="E9" s="110" t="s">
        <v>73</v>
      </c>
      <c r="F9" s="112" t="s">
        <v>74</v>
      </c>
    </row>
    <row r="10" spans="2:6" ht="63" x14ac:dyDescent="0.2">
      <c r="B10" s="439"/>
      <c r="C10" s="441"/>
      <c r="D10" s="109" t="s">
        <v>20</v>
      </c>
      <c r="E10" s="110" t="s">
        <v>75</v>
      </c>
      <c r="F10" s="112" t="s">
        <v>74</v>
      </c>
    </row>
    <row r="11" spans="2:6" ht="47.25" x14ac:dyDescent="0.2">
      <c r="B11" s="439"/>
      <c r="C11" s="441" t="s">
        <v>21</v>
      </c>
      <c r="D11" s="109" t="s">
        <v>22</v>
      </c>
      <c r="E11" s="110" t="s">
        <v>76</v>
      </c>
      <c r="F11" s="112" t="s">
        <v>74</v>
      </c>
    </row>
    <row r="12" spans="2:6" ht="47.25" x14ac:dyDescent="0.2">
      <c r="B12" s="439"/>
      <c r="C12" s="441"/>
      <c r="D12" s="109" t="s">
        <v>23</v>
      </c>
      <c r="E12" s="110" t="s">
        <v>77</v>
      </c>
      <c r="F12" s="112" t="s">
        <v>74</v>
      </c>
    </row>
    <row r="13" spans="2:6" ht="31.5" x14ac:dyDescent="0.2">
      <c r="B13" s="439"/>
      <c r="C13" s="441" t="s">
        <v>24</v>
      </c>
      <c r="D13" s="109" t="s">
        <v>119</v>
      </c>
      <c r="E13" s="110" t="s">
        <v>122</v>
      </c>
      <c r="F13" s="112" t="s">
        <v>74</v>
      </c>
    </row>
    <row r="14" spans="2:6" ht="32.25" thickBot="1" x14ac:dyDescent="0.25">
      <c r="B14" s="442"/>
      <c r="C14" s="443"/>
      <c r="D14" s="113" t="s">
        <v>120</v>
      </c>
      <c r="E14" s="114" t="s">
        <v>121</v>
      </c>
      <c r="F14" s="115" t="s">
        <v>74</v>
      </c>
    </row>
    <row r="15" spans="2:6" ht="49.5" customHeight="1" x14ac:dyDescent="0.2">
      <c r="B15" s="435" t="s">
        <v>159</v>
      </c>
      <c r="C15" s="435"/>
      <c r="D15" s="435"/>
      <c r="E15" s="435"/>
      <c r="F15" s="435"/>
    </row>
    <row r="16" spans="2:6" ht="27" customHeight="1" x14ac:dyDescent="0.25">
      <c r="B16" s="11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DA0E6-A0ED-4118-985F-1684347E84CD}">
  <sheetPr>
    <tabColor theme="5" tint="-0.499984740745262"/>
  </sheetPr>
  <dimension ref="B2:M58"/>
  <sheetViews>
    <sheetView topLeftCell="A11" zoomScale="122" zoomScaleNormal="130" workbookViewId="0">
      <selection activeCell="L54" sqref="L54"/>
    </sheetView>
  </sheetViews>
  <sheetFormatPr baseColWidth="10" defaultRowHeight="15" x14ac:dyDescent="0.25"/>
  <cols>
    <col min="2" max="2" width="15.85546875" customWidth="1"/>
    <col min="3" max="3" width="45" customWidth="1"/>
    <col min="4" max="4" width="17" customWidth="1"/>
    <col min="5" max="5" width="4.140625" customWidth="1"/>
    <col min="6" max="13" width="8.28515625" style="142" customWidth="1"/>
  </cols>
  <sheetData>
    <row r="2" spans="2:13" x14ac:dyDescent="0.25">
      <c r="B2" s="141" t="s">
        <v>214</v>
      </c>
    </row>
    <row r="3" spans="2:13" ht="76.5" customHeight="1" x14ac:dyDescent="0.25">
      <c r="B3" s="444" t="s">
        <v>215</v>
      </c>
      <c r="C3" s="444"/>
      <c r="D3" s="444"/>
      <c r="E3" s="444"/>
      <c r="F3" s="444"/>
      <c r="G3" s="444"/>
      <c r="H3" s="444"/>
      <c r="I3" s="444"/>
      <c r="J3" s="444"/>
      <c r="K3"/>
      <c r="L3"/>
      <c r="M3"/>
    </row>
    <row r="20" spans="2:5" x14ac:dyDescent="0.25">
      <c r="B20" s="141" t="s">
        <v>216</v>
      </c>
    </row>
    <row r="22" spans="2:5" ht="20.25" x14ac:dyDescent="0.25">
      <c r="B22" s="445" t="s">
        <v>55</v>
      </c>
      <c r="C22" s="445"/>
      <c r="D22" s="445"/>
      <c r="E22" s="143"/>
    </row>
    <row r="23" spans="2:5" ht="21" x14ac:dyDescent="0.35">
      <c r="B23" s="144"/>
      <c r="C23" s="144"/>
      <c r="D23" s="144"/>
      <c r="E23" s="144"/>
    </row>
    <row r="24" spans="2:5" ht="20.25" x14ac:dyDescent="0.25">
      <c r="B24" s="145"/>
      <c r="C24" s="146" t="s">
        <v>52</v>
      </c>
      <c r="D24" s="146" t="s">
        <v>4</v>
      </c>
      <c r="E24" s="146"/>
    </row>
    <row r="25" spans="2:5" ht="60.75" x14ac:dyDescent="0.25">
      <c r="B25" s="147" t="s">
        <v>51</v>
      </c>
      <c r="C25" s="148" t="s">
        <v>102</v>
      </c>
      <c r="D25" s="149">
        <v>0.2</v>
      </c>
      <c r="E25" s="150"/>
    </row>
    <row r="26" spans="2:5" ht="40.5" x14ac:dyDescent="0.25">
      <c r="B26" s="151" t="s">
        <v>53</v>
      </c>
      <c r="C26" s="152" t="s">
        <v>103</v>
      </c>
      <c r="D26" s="153">
        <v>0.4</v>
      </c>
      <c r="E26" s="150"/>
    </row>
    <row r="27" spans="2:5" ht="40.5" x14ac:dyDescent="0.25">
      <c r="B27" s="154" t="s">
        <v>107</v>
      </c>
      <c r="C27" s="152" t="s">
        <v>104</v>
      </c>
      <c r="D27" s="153">
        <v>0.6</v>
      </c>
      <c r="E27" s="150"/>
    </row>
    <row r="28" spans="2:5" ht="60.75" x14ac:dyDescent="0.25">
      <c r="B28" s="155" t="s">
        <v>6</v>
      </c>
      <c r="C28" s="152" t="s">
        <v>105</v>
      </c>
      <c r="D28" s="153">
        <v>0.8</v>
      </c>
      <c r="E28" s="150"/>
    </row>
    <row r="29" spans="2:5" ht="40.5" x14ac:dyDescent="0.25">
      <c r="B29" s="156" t="s">
        <v>54</v>
      </c>
      <c r="C29" s="152" t="s">
        <v>106</v>
      </c>
      <c r="D29" s="153">
        <v>1</v>
      </c>
      <c r="E29" s="150"/>
    </row>
    <row r="31" spans="2:5" x14ac:dyDescent="0.25">
      <c r="B31" s="141" t="s">
        <v>217</v>
      </c>
    </row>
    <row r="33" spans="5:13" x14ac:dyDescent="0.25">
      <c r="E33" s="446" t="s">
        <v>218</v>
      </c>
      <c r="F33" s="448" t="s">
        <v>219</v>
      </c>
      <c r="G33" s="448"/>
      <c r="H33" s="448" t="s">
        <v>220</v>
      </c>
      <c r="I33" s="448"/>
      <c r="J33" s="448" t="s">
        <v>221</v>
      </c>
      <c r="K33" s="448"/>
      <c r="L33" s="448" t="s">
        <v>222</v>
      </c>
      <c r="M33" s="448"/>
    </row>
    <row r="34" spans="5:13" x14ac:dyDescent="0.25">
      <c r="E34" s="447"/>
      <c r="F34" s="157" t="s">
        <v>223</v>
      </c>
      <c r="G34" s="157" t="s">
        <v>224</v>
      </c>
      <c r="H34" s="157" t="s">
        <v>223</v>
      </c>
      <c r="I34" s="157" t="s">
        <v>224</v>
      </c>
      <c r="J34" s="157" t="s">
        <v>223</v>
      </c>
      <c r="K34" s="157" t="s">
        <v>224</v>
      </c>
      <c r="L34" s="157" t="s">
        <v>223</v>
      </c>
      <c r="M34" s="157" t="s">
        <v>224</v>
      </c>
    </row>
    <row r="35" spans="5:13" ht="18.75" customHeight="1" x14ac:dyDescent="0.25">
      <c r="E35" s="158">
        <v>1</v>
      </c>
      <c r="F35" s="159" t="s">
        <v>230</v>
      </c>
      <c r="G35" s="159"/>
      <c r="H35" s="159" t="s">
        <v>230</v>
      </c>
      <c r="I35" s="159"/>
      <c r="J35" s="159" t="s">
        <v>230</v>
      </c>
      <c r="K35" s="159"/>
      <c r="L35" s="159"/>
      <c r="M35" s="159"/>
    </row>
    <row r="36" spans="5:13" ht="18.75" customHeight="1" x14ac:dyDescent="0.25">
      <c r="E36" s="158">
        <v>2</v>
      </c>
      <c r="F36" s="159"/>
      <c r="G36" s="159" t="s">
        <v>230</v>
      </c>
      <c r="H36" s="159" t="s">
        <v>230</v>
      </c>
      <c r="I36" s="159"/>
      <c r="J36" s="159" t="s">
        <v>230</v>
      </c>
      <c r="K36" s="159"/>
      <c r="L36" s="159"/>
      <c r="M36" s="159"/>
    </row>
    <row r="37" spans="5:13" ht="18.75" customHeight="1" x14ac:dyDescent="0.25">
      <c r="E37" s="158">
        <v>3</v>
      </c>
      <c r="F37" s="159" t="s">
        <v>230</v>
      </c>
      <c r="G37" s="159"/>
      <c r="H37" s="159"/>
      <c r="I37" s="159" t="s">
        <v>230</v>
      </c>
      <c r="J37" s="159" t="s">
        <v>230</v>
      </c>
      <c r="K37" s="159"/>
      <c r="L37" s="159"/>
      <c r="M37" s="159"/>
    </row>
    <row r="38" spans="5:13" ht="18.75" customHeight="1" x14ac:dyDescent="0.25">
      <c r="E38" s="158">
        <v>4</v>
      </c>
      <c r="F38" s="159" t="s">
        <v>230</v>
      </c>
      <c r="G38" s="159"/>
      <c r="H38" s="159"/>
      <c r="I38" s="159" t="s">
        <v>230</v>
      </c>
      <c r="J38" s="159"/>
      <c r="K38" s="159" t="s">
        <v>230</v>
      </c>
      <c r="L38" s="159"/>
      <c r="M38" s="159"/>
    </row>
    <row r="39" spans="5:13" ht="18.75" customHeight="1" x14ac:dyDescent="0.25">
      <c r="E39" s="158">
        <v>5</v>
      </c>
      <c r="F39" s="159"/>
      <c r="G39" s="159" t="s">
        <v>230</v>
      </c>
      <c r="H39" s="159" t="s">
        <v>230</v>
      </c>
      <c r="I39" s="159"/>
      <c r="J39" s="159"/>
      <c r="K39" s="159" t="s">
        <v>230</v>
      </c>
      <c r="L39" s="159"/>
      <c r="M39" s="159"/>
    </row>
    <row r="40" spans="5:13" ht="18.75" customHeight="1" x14ac:dyDescent="0.25">
      <c r="E40" s="158">
        <v>6</v>
      </c>
      <c r="F40" s="159"/>
      <c r="G40" s="159" t="s">
        <v>230</v>
      </c>
      <c r="H40" s="159" t="s">
        <v>230</v>
      </c>
      <c r="I40" s="159"/>
      <c r="J40" s="159" t="s">
        <v>230</v>
      </c>
      <c r="K40" s="159"/>
      <c r="L40" s="159"/>
      <c r="M40" s="159"/>
    </row>
    <row r="41" spans="5:13" ht="17.25" customHeight="1" x14ac:dyDescent="0.25">
      <c r="E41" s="158">
        <v>7</v>
      </c>
      <c r="F41" s="159" t="s">
        <v>230</v>
      </c>
      <c r="G41" s="159"/>
      <c r="H41" s="159"/>
      <c r="I41" s="159" t="s">
        <v>230</v>
      </c>
      <c r="J41" s="159"/>
      <c r="K41" s="159" t="s">
        <v>230</v>
      </c>
      <c r="L41" s="159"/>
      <c r="M41" s="159"/>
    </row>
    <row r="42" spans="5:13" ht="27.75" customHeight="1" x14ac:dyDescent="0.25">
      <c r="E42" s="158">
        <v>8</v>
      </c>
      <c r="F42" s="159" t="s">
        <v>230</v>
      </c>
      <c r="G42" s="159"/>
      <c r="H42" s="159"/>
      <c r="I42" s="159" t="s">
        <v>230</v>
      </c>
      <c r="J42" s="159"/>
      <c r="K42" s="159" t="s">
        <v>230</v>
      </c>
      <c r="L42" s="159"/>
      <c r="M42" s="159"/>
    </row>
    <row r="43" spans="5:13" ht="18.75" customHeight="1" x14ac:dyDescent="0.25">
      <c r="E43" s="158">
        <v>9</v>
      </c>
      <c r="F43" s="159"/>
      <c r="G43" s="159" t="s">
        <v>230</v>
      </c>
      <c r="H43" s="159"/>
      <c r="I43" s="159" t="s">
        <v>230</v>
      </c>
      <c r="J43" s="159"/>
      <c r="K43" s="159" t="s">
        <v>230</v>
      </c>
      <c r="L43" s="159"/>
      <c r="M43" s="159"/>
    </row>
    <row r="44" spans="5:13" ht="18.75" customHeight="1" x14ac:dyDescent="0.25">
      <c r="E44" s="158">
        <v>10</v>
      </c>
      <c r="F44" s="159" t="s">
        <v>230</v>
      </c>
      <c r="G44" s="159"/>
      <c r="H44" s="159" t="s">
        <v>230</v>
      </c>
      <c r="I44" s="159"/>
      <c r="J44" s="159" t="s">
        <v>230</v>
      </c>
      <c r="K44" s="159"/>
      <c r="L44" s="159"/>
      <c r="M44" s="159"/>
    </row>
    <row r="45" spans="5:13" ht="17.25" customHeight="1" x14ac:dyDescent="0.25">
      <c r="E45" s="158">
        <v>11</v>
      </c>
      <c r="F45" s="159" t="s">
        <v>230</v>
      </c>
      <c r="G45" s="159"/>
      <c r="H45" s="159" t="s">
        <v>230</v>
      </c>
      <c r="I45" s="159"/>
      <c r="J45" s="159" t="s">
        <v>230</v>
      </c>
      <c r="K45" s="159"/>
      <c r="L45" s="159"/>
      <c r="M45" s="159"/>
    </row>
    <row r="46" spans="5:13" ht="18.75" customHeight="1" x14ac:dyDescent="0.25">
      <c r="E46" s="158">
        <v>12</v>
      </c>
      <c r="F46" s="159"/>
      <c r="G46" s="159" t="s">
        <v>230</v>
      </c>
      <c r="H46" s="159" t="s">
        <v>230</v>
      </c>
      <c r="I46" s="159"/>
      <c r="J46" s="159" t="s">
        <v>230</v>
      </c>
      <c r="K46" s="159"/>
      <c r="L46" s="159"/>
      <c r="M46" s="159"/>
    </row>
    <row r="47" spans="5:13" ht="18.75" customHeight="1" x14ac:dyDescent="0.25">
      <c r="E47" s="158">
        <v>13</v>
      </c>
      <c r="F47" s="159"/>
      <c r="G47" s="159" t="s">
        <v>230</v>
      </c>
      <c r="H47" s="159" t="s">
        <v>230</v>
      </c>
      <c r="I47" s="159"/>
      <c r="J47" s="159" t="s">
        <v>230</v>
      </c>
      <c r="K47" s="159"/>
      <c r="L47" s="159"/>
      <c r="M47" s="159"/>
    </row>
    <row r="48" spans="5:13" ht="18.75" customHeight="1" x14ac:dyDescent="0.25">
      <c r="E48" s="158">
        <v>14</v>
      </c>
      <c r="F48" s="159" t="s">
        <v>230</v>
      </c>
      <c r="G48" s="159"/>
      <c r="H48" s="159" t="s">
        <v>230</v>
      </c>
      <c r="I48" s="159"/>
      <c r="J48" s="159" t="s">
        <v>230</v>
      </c>
      <c r="K48" s="159"/>
      <c r="L48" s="159"/>
      <c r="M48" s="159"/>
    </row>
    <row r="49" spans="5:13" ht="18.75" customHeight="1" x14ac:dyDescent="0.25">
      <c r="E49" s="158">
        <v>15</v>
      </c>
      <c r="F49" s="159" t="s">
        <v>230</v>
      </c>
      <c r="G49" s="159"/>
      <c r="H49" s="159"/>
      <c r="I49" s="159" t="s">
        <v>230</v>
      </c>
      <c r="J49" s="159"/>
      <c r="K49" s="159" t="s">
        <v>230</v>
      </c>
      <c r="L49" s="159"/>
      <c r="M49" s="159"/>
    </row>
    <row r="50" spans="5:13" ht="18" customHeight="1" x14ac:dyDescent="0.25">
      <c r="E50" s="158">
        <v>16</v>
      </c>
      <c r="F50" s="159" t="s">
        <v>230</v>
      </c>
      <c r="G50" s="159"/>
      <c r="H50" s="159"/>
      <c r="I50" s="159" t="s">
        <v>230</v>
      </c>
      <c r="J50" s="159"/>
      <c r="K50" s="159" t="s">
        <v>230</v>
      </c>
      <c r="L50" s="159"/>
      <c r="M50" s="159"/>
    </row>
    <row r="51" spans="5:13" ht="18.75" customHeight="1" x14ac:dyDescent="0.25">
      <c r="E51" s="158">
        <v>17</v>
      </c>
      <c r="F51" s="159" t="s">
        <v>230</v>
      </c>
      <c r="G51" s="159"/>
      <c r="H51" s="159" t="s">
        <v>230</v>
      </c>
      <c r="I51" s="159"/>
      <c r="J51" s="159"/>
      <c r="K51" s="159" t="s">
        <v>230</v>
      </c>
      <c r="L51" s="159"/>
      <c r="M51" s="159"/>
    </row>
    <row r="52" spans="5:13" ht="18.75" customHeight="1" x14ac:dyDescent="0.25">
      <c r="E52" s="158">
        <v>18</v>
      </c>
      <c r="F52" s="159" t="s">
        <v>230</v>
      </c>
      <c r="G52" s="159"/>
      <c r="H52" s="159"/>
      <c r="I52" s="159" t="s">
        <v>230</v>
      </c>
      <c r="J52" s="159"/>
      <c r="K52" s="159" t="s">
        <v>230</v>
      </c>
      <c r="L52" s="159"/>
      <c r="M52" s="159"/>
    </row>
    <row r="53" spans="5:13" ht="18.75" customHeight="1" x14ac:dyDescent="0.25">
      <c r="E53" s="158">
        <v>19</v>
      </c>
      <c r="F53" s="159" t="s">
        <v>230</v>
      </c>
      <c r="G53" s="159"/>
      <c r="H53" s="159"/>
      <c r="I53" s="159" t="s">
        <v>230</v>
      </c>
      <c r="J53" s="159"/>
      <c r="K53" s="159" t="s">
        <v>230</v>
      </c>
      <c r="L53" s="159"/>
      <c r="M53" s="159"/>
    </row>
    <row r="54" spans="5:13" ht="48.75" customHeight="1" x14ac:dyDescent="0.25">
      <c r="F54" s="160">
        <f>COUNTIF(F35:F53,"X")</f>
        <v>13</v>
      </c>
      <c r="G54" s="160"/>
      <c r="H54" s="160">
        <f>COUNTIF(H35:H53,"X")</f>
        <v>10</v>
      </c>
      <c r="I54" s="160">
        <f>COUNTIF(I35:I53,"X")</f>
        <v>9</v>
      </c>
      <c r="J54" s="160">
        <f>COUNTIF(J35:J53,"X")</f>
        <v>9</v>
      </c>
      <c r="K54" s="160">
        <f>COUNTIF(K35:K53,"X")</f>
        <v>10</v>
      </c>
      <c r="L54" s="160">
        <f>COUNTIF(L35:L53,"X")</f>
        <v>0</v>
      </c>
      <c r="M54" s="159"/>
    </row>
    <row r="55" spans="5:13" ht="18.75" customHeight="1" x14ac:dyDescent="0.25">
      <c r="F55" s="449" t="str">
        <f>IF(F54&gt;=12,"Catastrófico",IF(F54&gt;=6,"Mayor","Moderado"))</f>
        <v>Catastrófico</v>
      </c>
      <c r="G55" s="449"/>
      <c r="H55" s="449" t="str">
        <f>IF(H54&gt;=12,"Catastrófico",IF(H54&gt;=6,"Mayor","Moderado"))</f>
        <v>Mayor</v>
      </c>
      <c r="I55" s="449"/>
      <c r="J55" s="449" t="str">
        <f>IF(J54&gt;=12,"Catastrófico",IF(J54&gt;=6,"Mayor","Moderado"))</f>
        <v>Mayor</v>
      </c>
      <c r="K55" s="449"/>
      <c r="L55" s="449" t="str">
        <f>IF(L54&gt;=12,"Catastrófico",IF(L54&gt;=6,"Mayor","Moderado"))</f>
        <v>Moderado</v>
      </c>
      <c r="M55" s="449"/>
    </row>
    <row r="56" spans="5:13" ht="18.75" customHeight="1" x14ac:dyDescent="0.25"/>
    <row r="57" spans="5:13" ht="18.75" customHeight="1" x14ac:dyDescent="0.25"/>
    <row r="58" spans="5:13" ht="18.75" customHeight="1" x14ac:dyDescent="0.25"/>
  </sheetData>
  <mergeCells count="11">
    <mergeCell ref="L33:M33"/>
    <mergeCell ref="F55:G55"/>
    <mergeCell ref="H55:I55"/>
    <mergeCell ref="J55:K55"/>
    <mergeCell ref="L55:M55"/>
    <mergeCell ref="B3:J3"/>
    <mergeCell ref="B22:D22"/>
    <mergeCell ref="E33:E34"/>
    <mergeCell ref="F33:G33"/>
    <mergeCell ref="H33:I33"/>
    <mergeCell ref="J33:K33"/>
  </mergeCells>
  <conditionalFormatting sqref="F55:G55">
    <cfRule type="containsText" dxfId="11" priority="10" operator="containsText" text="Catastrófico">
      <formula>NOT(ISERROR(SEARCH("Catastrófico",F55)))</formula>
    </cfRule>
    <cfRule type="containsText" dxfId="10" priority="11" operator="containsText" text="Mayor">
      <formula>NOT(ISERROR(SEARCH("Mayor",F55)))</formula>
    </cfRule>
    <cfRule type="containsText" dxfId="9" priority="12" operator="containsText" text="Moderado">
      <formula>NOT(ISERROR(SEARCH("Moderado",F55)))</formula>
    </cfRule>
  </conditionalFormatting>
  <conditionalFormatting sqref="H55:I55">
    <cfRule type="containsText" dxfId="8" priority="7" operator="containsText" text="Catastrófico">
      <formula>NOT(ISERROR(SEARCH("Catastrófico",H55)))</formula>
    </cfRule>
    <cfRule type="containsText" dxfId="7" priority="8" operator="containsText" text="Mayor">
      <formula>NOT(ISERROR(SEARCH("Mayor",H55)))</formula>
    </cfRule>
    <cfRule type="containsText" dxfId="6" priority="9" operator="containsText" text="Moderado">
      <formula>NOT(ISERROR(SEARCH("Moderado",H55)))</formula>
    </cfRule>
  </conditionalFormatting>
  <conditionalFormatting sqref="J55:K55">
    <cfRule type="containsText" dxfId="5" priority="4" operator="containsText" text="Catastrófico">
      <formula>NOT(ISERROR(SEARCH("Catastrófico",J55)))</formula>
    </cfRule>
    <cfRule type="containsText" dxfId="4" priority="5" operator="containsText" text="Mayor">
      <formula>NOT(ISERROR(SEARCH("Mayor",J55)))</formula>
    </cfRule>
    <cfRule type="containsText" dxfId="3" priority="6" operator="containsText" text="Moderado">
      <formula>NOT(ISERROR(SEARCH("Moderado",J55)))</formula>
    </cfRule>
  </conditionalFormatting>
  <conditionalFormatting sqref="L55:M55">
    <cfRule type="containsText" dxfId="2" priority="1" operator="containsText" text="Catastrófico">
      <formula>NOT(ISERROR(SEARCH("Catastrófico",L55)))</formula>
    </cfRule>
    <cfRule type="containsText" dxfId="1" priority="2" operator="containsText" text="Mayor">
      <formula>NOT(ISERROR(SEARCH("Mayor",L55)))</formula>
    </cfRule>
    <cfRule type="containsText" dxfId="0" priority="3" operator="containsText" text="Moderado">
      <formula>NOT(ISERROR(SEARCH("Moderado",L55)))</formula>
    </cfRule>
  </conditionalFormatting>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93413008963DB4B9A37808803AAB666" ma:contentTypeVersion="9" ma:contentTypeDescription="Crear nuevo documento." ma:contentTypeScope="" ma:versionID="bfcd483f231fa430cb0ce46ec2b9ff85">
  <xsd:schema xmlns:xsd="http://www.w3.org/2001/XMLSchema" xmlns:xs="http://www.w3.org/2001/XMLSchema" xmlns:p="http://schemas.microsoft.com/office/2006/metadata/properties" xmlns:ns3="43966e50-1f6e-4c6a-b14b-a4b175e90756" xmlns:ns4="c63905f3-b726-4883-af97-24b7200ebac5" targetNamespace="http://schemas.microsoft.com/office/2006/metadata/properties" ma:root="true" ma:fieldsID="60dcdf9b227e037a18cc54ac65d11878" ns3:_="" ns4:_="">
    <xsd:import namespace="43966e50-1f6e-4c6a-b14b-a4b175e90756"/>
    <xsd:import namespace="c63905f3-b726-4883-af97-24b7200ebac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966e50-1f6e-4c6a-b14b-a4b175e9075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3905f3-b726-4883-af97-24b7200ebac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48AD94-6F06-4E8D-8ED5-36BCC2A1C9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966e50-1f6e-4c6a-b14b-a4b175e90756"/>
    <ds:schemaRef ds:uri="c63905f3-b726-4883-af97-24b7200eba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EA9684-B050-4F7B-B613-DF9BE2E81236}">
  <ds:schemaRefs>
    <ds:schemaRef ds:uri="http://schemas.microsoft.com/sharepoint/v3/contenttype/forms"/>
  </ds:schemaRefs>
</ds:datastoreItem>
</file>

<file path=customXml/itemProps3.xml><?xml version="1.0" encoding="utf-8"?>
<ds:datastoreItem xmlns:ds="http://schemas.openxmlformats.org/officeDocument/2006/customXml" ds:itemID="{3D252D6E-148B-450A-B866-FEB389C7C83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3966e50-1f6e-4c6a-b14b-a4b175e90756"/>
    <ds:schemaRef ds:uri="http://purl.org/dc/elements/1.1/"/>
    <ds:schemaRef ds:uri="http://schemas.microsoft.com/office/2006/metadata/properties"/>
    <ds:schemaRef ds:uri="c63905f3-b726-4883-af97-24b7200eba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Intructivo</vt:lpstr>
      <vt:lpstr>Mapa final</vt:lpstr>
      <vt:lpstr>Seguimiento</vt:lpstr>
      <vt:lpstr>Matriz Calor Inherente</vt:lpstr>
      <vt:lpstr>Matriz Calor Residual</vt:lpstr>
      <vt:lpstr>Tabla probabilidad</vt:lpstr>
      <vt:lpstr>Tabla Impacto</vt:lpstr>
      <vt:lpstr>Tabla Valoración controles</vt:lpstr>
      <vt:lpstr>Criterios Riesgos de Corrupción</vt:lpstr>
      <vt:lpstr>Opciones Tratamiento</vt:lpstr>
      <vt:lpstr>Hoja1</vt:lpstr>
      <vt:lpstr>'Mapa final'!Área_de_impresión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Martha Lucila Castro Salazar</cp:lastModifiedBy>
  <cp:lastPrinted>2021-06-21T17:52:44Z</cp:lastPrinted>
  <dcterms:created xsi:type="dcterms:W3CDTF">2020-03-24T23:12:47Z</dcterms:created>
  <dcterms:modified xsi:type="dcterms:W3CDTF">2022-04-26T20:11:26Z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0x010100993413008963DB4B9A37808803AAB666</vt:lpwstr>
  </property>
</Properties>
</file>