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hidePivotFieldList="1" defaultThemeVersion="124226"/>
  <mc:AlternateContent xmlns:mc="http://schemas.openxmlformats.org/markup-compatibility/2006">
    <mc:Choice Requires="x15">
      <x15ac:absPath xmlns:x15ac="http://schemas.microsoft.com/office/spreadsheetml/2010/11/ac" url="C:\Users\alex.gomez\Desktop\"/>
    </mc:Choice>
  </mc:AlternateContent>
  <xr:revisionPtr revIDLastSave="0" documentId="13_ncr:1_{322F7F26-F9C4-49AA-B8A1-759ECCF01B73}" xr6:coauthVersionLast="47" xr6:coauthVersionMax="47" xr10:uidLastSave="{00000000-0000-0000-0000-000000000000}"/>
  <bookViews>
    <workbookView xWindow="-120" yWindow="-120" windowWidth="29040" windowHeight="15840" tabRatio="1000" activeTab="2" xr2:uid="{00000000-000D-0000-FFFF-FFFF00000000}"/>
  </bookViews>
  <sheets>
    <sheet name="Intructivo" sheetId="20" r:id="rId1"/>
    <sheet name="Hoja2" sheetId="23" state="hidden" r:id="rId2"/>
    <sheet name="Mapa final" sheetId="1" r:id="rId3"/>
    <sheet name="Hoja3" sheetId="24" state="hidden" r:id="rId4"/>
    <sheet name="Seguimiento" sheetId="22" r:id="rId5"/>
    <sheet name="Matriz Calor Inherente" sheetId="18" r:id="rId6"/>
    <sheet name="Matriz Calor Residual" sheetId="19" r:id="rId7"/>
    <sheet name="Tabla probabilidad" sheetId="12" r:id="rId8"/>
    <sheet name="Tabla Impacto" sheetId="13" r:id="rId9"/>
    <sheet name="Tabla Valoración controles" sheetId="15" r:id="rId10"/>
    <sheet name="Criterios Riesgos de Corrupción" sheetId="21" r:id="rId11"/>
    <sheet name="Opciones Tratamiento" sheetId="16" state="hidden" r:id="rId12"/>
    <sheet name="Hoja1" sheetId="11" state="hidden" r:id="rId13"/>
  </sheets>
  <definedNames>
    <definedName name="_xlnm._FilterDatabase" localSheetId="4" hidden="1">Seguimiento!$A$2:$Y$15</definedName>
    <definedName name="_xlnm.Print_Area" localSheetId="2">'Mapa final'!$A$1:$AJ$72</definedName>
  </definedNames>
  <calcPr calcId="191029"/>
  <pivotCaches>
    <pivotCache cacheId="0"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4" i="22" l="1"/>
  <c r="T14" i="22"/>
  <c r="C14" i="22"/>
  <c r="D9" i="22"/>
  <c r="A9" i="22"/>
  <c r="A3" i="22"/>
  <c r="D6" i="22"/>
  <c r="D5" i="22" l="1"/>
  <c r="D4" i="22" l="1"/>
  <c r="D3" i="22" l="1"/>
  <c r="D11" i="22"/>
  <c r="T4" i="22" l="1"/>
  <c r="U4" i="22"/>
  <c r="T5" i="22"/>
  <c r="U5" i="22"/>
  <c r="T6" i="22"/>
  <c r="U6" i="22"/>
  <c r="T7" i="22"/>
  <c r="U7" i="22"/>
  <c r="T8" i="22"/>
  <c r="U8" i="22"/>
  <c r="T9" i="22"/>
  <c r="U9" i="22"/>
  <c r="T11" i="22"/>
  <c r="U11" i="22"/>
  <c r="T12" i="22"/>
  <c r="U12" i="22"/>
  <c r="T13" i="22"/>
  <c r="U13" i="22"/>
  <c r="T15" i="22"/>
  <c r="U15" i="22"/>
  <c r="U3" i="22"/>
  <c r="T3" i="22"/>
  <c r="D15" i="22"/>
  <c r="A15" i="22"/>
  <c r="A14" i="22"/>
  <c r="A6" i="22"/>
  <c r="D14" i="22"/>
  <c r="D13" i="22"/>
  <c r="D12" i="22"/>
  <c r="D8" i="22"/>
  <c r="D7" i="22"/>
  <c r="R15" i="22"/>
  <c r="N15" i="22"/>
  <c r="O15" i="22" s="1"/>
  <c r="Q15" i="22" s="1"/>
  <c r="R14" i="22"/>
  <c r="N14" i="22"/>
  <c r="O14" i="22" s="1"/>
  <c r="Q14" i="22" s="1"/>
  <c r="R13" i="22"/>
  <c r="N13" i="22"/>
  <c r="O13" i="22" s="1"/>
  <c r="Q13" i="22" s="1"/>
  <c r="R12" i="22"/>
  <c r="N12" i="22"/>
  <c r="O12" i="22" s="1"/>
  <c r="Q12" i="22" s="1"/>
  <c r="R11" i="22"/>
  <c r="N11" i="22"/>
  <c r="O11" i="22" s="1"/>
  <c r="Q11" i="22" s="1"/>
  <c r="R9" i="22"/>
  <c r="N9" i="22"/>
  <c r="O9" i="22" s="1"/>
  <c r="Q9" i="22" s="1"/>
  <c r="R8" i="22"/>
  <c r="N8" i="22"/>
  <c r="O8" i="22" s="1"/>
  <c r="Q8" i="22" s="1"/>
  <c r="R7" i="22"/>
  <c r="N7" i="22"/>
  <c r="O7" i="22" s="1"/>
  <c r="Q7" i="22" s="1"/>
  <c r="R6" i="22"/>
  <c r="N6" i="22"/>
  <c r="O6" i="22" s="1"/>
  <c r="Q6" i="22" s="1"/>
  <c r="R5" i="22"/>
  <c r="N5" i="22"/>
  <c r="O5" i="22" s="1"/>
  <c r="Q5" i="22" s="1"/>
  <c r="R4" i="22"/>
  <c r="N4" i="22"/>
  <c r="O4" i="22" s="1"/>
  <c r="Q4" i="22" s="1"/>
  <c r="R3" i="22"/>
  <c r="N3" i="22"/>
  <c r="O3" i="22" s="1"/>
  <c r="Q3" i="22" s="1"/>
  <c r="L54" i="21"/>
  <c r="L55" i="21" s="1"/>
  <c r="J54" i="21"/>
  <c r="J55" i="21" s="1"/>
  <c r="H54" i="21"/>
  <c r="H55" i="21" s="1"/>
  <c r="F54" i="21"/>
  <c r="F55" i="21" s="1"/>
  <c r="T10" i="1"/>
  <c r="Q10" i="1"/>
  <c r="H10" i="1"/>
  <c r="I10" i="1" s="1"/>
  <c r="K62" i="1"/>
  <c r="K59" i="1"/>
  <c r="K57" i="1"/>
  <c r="K31" i="1"/>
  <c r="K69" i="1"/>
  <c r="K29" i="1"/>
  <c r="K49" i="1"/>
  <c r="K60" i="1"/>
  <c r="K54" i="1"/>
  <c r="K30" i="1"/>
  <c r="K38" i="1"/>
  <c r="K48" i="1"/>
  <c r="K27" i="1"/>
  <c r="K35" i="1"/>
  <c r="K63" i="1"/>
  <c r="K47" i="1"/>
  <c r="K56" i="1"/>
  <c r="K39" i="1"/>
  <c r="K24" i="1"/>
  <c r="K65" i="1"/>
  <c r="K50" i="1"/>
  <c r="K66" i="1"/>
  <c r="K37" i="1"/>
  <c r="K41" i="1"/>
  <c r="K55" i="1"/>
  <c r="K32" i="1"/>
  <c r="K26" i="1"/>
  <c r="K33" i="1"/>
  <c r="K42" i="1"/>
  <c r="K36" i="1"/>
  <c r="K67" i="1"/>
  <c r="K23" i="1"/>
  <c r="K68" i="1"/>
  <c r="K53" i="1"/>
  <c r="K43" i="1"/>
  <c r="K25" i="1"/>
  <c r="K51" i="1"/>
  <c r="K61" i="1"/>
  <c r="K44" i="1"/>
  <c r="K45" i="1"/>
  <c r="K18" i="1"/>
  <c r="K21" i="1"/>
  <c r="K20" i="1"/>
  <c r="K19" i="1"/>
  <c r="K17" i="1"/>
  <c r="F221" i="13" l="1"/>
  <c r="F211" i="13"/>
  <c r="F212" i="13"/>
  <c r="F213" i="13"/>
  <c r="F214" i="13"/>
  <c r="F215" i="13"/>
  <c r="F216" i="13"/>
  <c r="F217" i="13"/>
  <c r="F218" i="13"/>
  <c r="F219" i="13"/>
  <c r="F220" i="13"/>
  <c r="F210" i="13"/>
  <c r="K14" i="1"/>
  <c r="K11" i="1"/>
  <c r="K12" i="1"/>
  <c r="B221" i="13" a="1"/>
  <c r="K13"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66" i="1" l="1"/>
  <c r="AB59" i="1"/>
  <c r="AB58" i="1"/>
  <c r="AB41" i="1"/>
  <c r="AB40" i="1"/>
  <c r="AA40" i="1" s="1"/>
  <c r="AB53" i="1"/>
  <c r="AB52" i="1"/>
  <c r="AA52" i="1" s="1"/>
  <c r="AB47" i="1"/>
  <c r="AB46" i="1"/>
  <c r="AA46" i="1" s="1"/>
  <c r="AB35" i="1"/>
  <c r="J11" i="19" l="1"/>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A60" i="1"/>
  <c r="AB61" i="1"/>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R40" i="19" l="1"/>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6" i="1"/>
  <c r="AA26" i="1" s="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40" i="1" l="1"/>
  <c r="L40" i="1" s="1"/>
  <c r="K28" i="1"/>
  <c r="L28" i="1" s="1"/>
  <c r="K22" i="1"/>
  <c r="L22" i="1" s="1"/>
  <c r="K10" i="1"/>
  <c r="L10" i="1" s="1"/>
  <c r="K16" i="1"/>
  <c r="L16" i="1" s="1"/>
  <c r="K52" i="1"/>
  <c r="L52" i="1" s="1"/>
  <c r="K46" i="1"/>
  <c r="L46" i="1" s="1"/>
  <c r="K64" i="1"/>
  <c r="L64" i="1" s="1"/>
  <c r="K58" i="1"/>
  <c r="L58" i="1" s="1"/>
  <c r="K34" i="1"/>
  <c r="L34" i="1" s="1"/>
  <c r="M46" i="1" l="1"/>
  <c r="V18" i="18"/>
  <c r="J18" i="18"/>
  <c r="AH26" i="18"/>
  <c r="AB18" i="18"/>
  <c r="AH42" i="18"/>
  <c r="AB34" i="18"/>
  <c r="V26" i="18"/>
  <c r="AH34" i="18"/>
  <c r="V42" i="18"/>
  <c r="AH10" i="18"/>
  <c r="J10" i="18"/>
  <c r="P42" i="18"/>
  <c r="J42" i="18"/>
  <c r="N46" i="1"/>
  <c r="AB26" i="18"/>
  <c r="AB42" i="18"/>
  <c r="V10" i="18"/>
  <c r="P26" i="18"/>
  <c r="AB10" i="18"/>
  <c r="V34" i="18"/>
  <c r="P18" i="18"/>
  <c r="J34" i="18"/>
  <c r="AH18" i="18"/>
  <c r="P34" i="18"/>
  <c r="J26" i="18"/>
  <c r="P10" i="18"/>
  <c r="AJ26" i="18"/>
  <c r="L34" i="18"/>
  <c r="AJ10" i="18"/>
  <c r="AD10" i="18"/>
  <c r="X34" i="18"/>
  <c r="AD42" i="18"/>
  <c r="L42" i="18"/>
  <c r="AJ18" i="18"/>
  <c r="X10" i="18"/>
  <c r="X26" i="18"/>
  <c r="M52" i="1"/>
  <c r="X18" i="18"/>
  <c r="X42" i="18"/>
  <c r="AJ42" i="18"/>
  <c r="AJ34" i="18"/>
  <c r="AD18" i="18"/>
  <c r="L18" i="18"/>
  <c r="AD34" i="18"/>
  <c r="R42" i="18"/>
  <c r="R18" i="18"/>
  <c r="R26" i="18"/>
  <c r="L26" i="18"/>
  <c r="R34" i="18"/>
  <c r="AD26" i="18"/>
  <c r="L10" i="18"/>
  <c r="R10" i="18"/>
  <c r="N52" i="1"/>
  <c r="P14" i="18"/>
  <c r="P22" i="18"/>
  <c r="AH6" i="18"/>
  <c r="AB14" i="18"/>
  <c r="V22" i="18"/>
  <c r="V6" i="18"/>
  <c r="J30" i="18"/>
  <c r="AH14" i="18"/>
  <c r="J22" i="18"/>
  <c r="AH22" i="18"/>
  <c r="AB6" i="18"/>
  <c r="AB22" i="18"/>
  <c r="AB30" i="18"/>
  <c r="J6" i="18"/>
  <c r="AH38" i="18"/>
  <c r="V30" i="18"/>
  <c r="M10" i="1"/>
  <c r="AB10" i="1" s="1"/>
  <c r="V38" i="18"/>
  <c r="AH30" i="18"/>
  <c r="J14" i="18"/>
  <c r="P6" i="18"/>
  <c r="P38" i="18"/>
  <c r="N10" i="1"/>
  <c r="B3" i="22" s="1"/>
  <c r="AB38" i="18"/>
  <c r="V14" i="18"/>
  <c r="J38" i="18"/>
  <c r="P30" i="18"/>
  <c r="Z42" i="18"/>
  <c r="N34" i="18"/>
  <c r="Z26" i="18"/>
  <c r="N18" i="18"/>
  <c r="AF42" i="18"/>
  <c r="T18" i="18"/>
  <c r="M58" i="1"/>
  <c r="T26" i="18"/>
  <c r="Z18" i="18"/>
  <c r="AL42" i="18"/>
  <c r="N42" i="18"/>
  <c r="T34" i="18"/>
  <c r="N58" i="1"/>
  <c r="N10" i="18"/>
  <c r="AL26" i="18"/>
  <c r="AF26" i="18"/>
  <c r="AL34" i="18"/>
  <c r="N26" i="18"/>
  <c r="T42" i="18"/>
  <c r="AF18" i="18"/>
  <c r="AF10" i="18"/>
  <c r="Z10" i="18"/>
  <c r="T10" i="18"/>
  <c r="Z34" i="18"/>
  <c r="AL18" i="18"/>
  <c r="AF34" i="18"/>
  <c r="AL10" i="18"/>
  <c r="AF30" i="18"/>
  <c r="N6" i="18"/>
  <c r="AL38" i="18"/>
  <c r="AF14" i="18"/>
  <c r="Z22" i="18"/>
  <c r="N14" i="18"/>
  <c r="T38" i="18"/>
  <c r="Z14" i="18"/>
  <c r="N22" i="18"/>
  <c r="AL6" i="18"/>
  <c r="AL30" i="18"/>
  <c r="AL14" i="18"/>
  <c r="N30" i="18"/>
  <c r="Z6" i="18"/>
  <c r="AF6" i="18"/>
  <c r="N22" i="1"/>
  <c r="B9" i="22" s="1"/>
  <c r="AL22" i="18"/>
  <c r="M22" i="1"/>
  <c r="T30" i="18"/>
  <c r="AF38" i="18"/>
  <c r="T6" i="18"/>
  <c r="Z30" i="18"/>
  <c r="AF22" i="18"/>
  <c r="N38" i="18"/>
  <c r="Z38" i="18"/>
  <c r="T14" i="18"/>
  <c r="T22" i="18"/>
  <c r="AD38" i="18"/>
  <c r="X6" i="18"/>
  <c r="AD6" i="18"/>
  <c r="AJ22" i="18"/>
  <c r="M16" i="1"/>
  <c r="AB16" i="1" s="1"/>
  <c r="AA16" i="1" s="1"/>
  <c r="AD30" i="18"/>
  <c r="AJ30" i="18"/>
  <c r="X30" i="18"/>
  <c r="R38" i="18"/>
  <c r="X14" i="18"/>
  <c r="L30" i="18"/>
  <c r="L6" i="18"/>
  <c r="R6" i="18"/>
  <c r="AD14" i="18"/>
  <c r="R14" i="18"/>
  <c r="N16" i="1"/>
  <c r="B6" i="22" s="1"/>
  <c r="X38" i="18"/>
  <c r="AJ6" i="18"/>
  <c r="R30" i="18"/>
  <c r="L14" i="18"/>
  <c r="R22" i="18"/>
  <c r="AJ38" i="18"/>
  <c r="AD22" i="18"/>
  <c r="AJ14" i="18"/>
  <c r="L22" i="18"/>
  <c r="X22" i="18"/>
  <c r="L38" i="18"/>
  <c r="M34" i="1"/>
  <c r="AB34" i="1" s="1"/>
  <c r="AA34" i="1" s="1"/>
  <c r="AJ32" i="18"/>
  <c r="R24" i="18"/>
  <c r="L24" i="18"/>
  <c r="X16" i="18"/>
  <c r="R40" i="18"/>
  <c r="X24" i="18"/>
  <c r="AJ40" i="18"/>
  <c r="R8" i="18"/>
  <c r="X32" i="18"/>
  <c r="N34" i="1"/>
  <c r="B15" i="22" s="1"/>
  <c r="AJ16" i="18"/>
  <c r="AD16" i="18"/>
  <c r="AD40" i="18"/>
  <c r="AD32" i="18"/>
  <c r="AD8" i="18"/>
  <c r="L8" i="18"/>
  <c r="AJ8" i="18"/>
  <c r="L32" i="18"/>
  <c r="L16" i="18"/>
  <c r="X40" i="18"/>
  <c r="AJ24" i="18"/>
  <c r="R32" i="18"/>
  <c r="X8" i="18"/>
  <c r="AD24" i="18"/>
  <c r="L40" i="18"/>
  <c r="R16" i="18"/>
  <c r="M64" i="1"/>
  <c r="AB64" i="1" s="1"/>
  <c r="AA64" i="1" s="1"/>
  <c r="V12" i="18"/>
  <c r="P44" i="18"/>
  <c r="J44" i="18"/>
  <c r="P20" i="18"/>
  <c r="AB20" i="18"/>
  <c r="AB28" i="18"/>
  <c r="P28" i="18"/>
  <c r="V36" i="18"/>
  <c r="AB36" i="18"/>
  <c r="AH28" i="18"/>
  <c r="AB44" i="18"/>
  <c r="P12" i="18"/>
  <c r="J36" i="18"/>
  <c r="AH12" i="18"/>
  <c r="V28" i="18"/>
  <c r="AB12" i="18"/>
  <c r="J12" i="18"/>
  <c r="V44" i="18"/>
  <c r="AH20" i="18"/>
  <c r="AH44" i="18"/>
  <c r="J20" i="18"/>
  <c r="N64" i="1"/>
  <c r="J28" i="18"/>
  <c r="AH36" i="18"/>
  <c r="P36" i="18"/>
  <c r="V20" i="18"/>
  <c r="P16" i="18"/>
  <c r="AB40" i="18"/>
  <c r="V16" i="18"/>
  <c r="AB8" i="18"/>
  <c r="J8" i="18"/>
  <c r="AH32" i="18"/>
  <c r="J24" i="18"/>
  <c r="V24" i="18"/>
  <c r="AH40" i="18"/>
  <c r="V8" i="18"/>
  <c r="P32" i="18"/>
  <c r="V40" i="18"/>
  <c r="P8" i="18"/>
  <c r="P40" i="18"/>
  <c r="N28" i="1"/>
  <c r="B14" i="22" s="1"/>
  <c r="M28" i="1"/>
  <c r="AB28" i="1" s="1"/>
  <c r="AA28" i="1" s="1"/>
  <c r="AH24" i="18"/>
  <c r="AB32" i="18"/>
  <c r="J40" i="18"/>
  <c r="AH8" i="18"/>
  <c r="AH16" i="18"/>
  <c r="AB16" i="18"/>
  <c r="J32" i="18"/>
  <c r="V32" i="18"/>
  <c r="J16" i="18"/>
  <c r="AB24" i="18"/>
  <c r="P24" i="18"/>
  <c r="AL40" i="18"/>
  <c r="T32" i="18"/>
  <c r="T24" i="18"/>
  <c r="T40" i="18"/>
  <c r="T8" i="18"/>
  <c r="AL24" i="18"/>
  <c r="N8" i="18"/>
  <c r="N40" i="18"/>
  <c r="N16" i="18"/>
  <c r="AF8" i="18"/>
  <c r="AF24" i="18"/>
  <c r="T16" i="18"/>
  <c r="Z16" i="18"/>
  <c r="AF16" i="18"/>
  <c r="N40" i="1"/>
  <c r="M40" i="1"/>
  <c r="Z8" i="18"/>
  <c r="N24" i="18"/>
  <c r="AF40" i="18"/>
  <c r="AL16" i="18"/>
  <c r="Z40" i="18"/>
  <c r="N32" i="18"/>
  <c r="Z32" i="18"/>
  <c r="AF32" i="18"/>
  <c r="AL32" i="18"/>
  <c r="AL8" i="18"/>
  <c r="Z24" i="18"/>
  <c r="J40" i="19" l="1"/>
  <c r="V20" i="19"/>
  <c r="J50" i="19"/>
  <c r="P50" i="19"/>
  <c r="J10" i="19"/>
  <c r="V10" i="19"/>
  <c r="V40" i="19"/>
  <c r="V30" i="19"/>
  <c r="AH10" i="19"/>
  <c r="AB40" i="19"/>
  <c r="AB10" i="19"/>
  <c r="AB20" i="19"/>
  <c r="P20" i="19"/>
  <c r="AB30" i="19"/>
  <c r="AH40" i="19"/>
  <c r="AH20" i="19"/>
  <c r="P10" i="19"/>
  <c r="P30" i="19"/>
  <c r="AH30" i="19"/>
  <c r="AH50" i="19"/>
  <c r="J20" i="19"/>
  <c r="J30" i="19"/>
  <c r="AB50" i="19"/>
  <c r="V50" i="19"/>
  <c r="AC34" i="1"/>
  <c r="C15" i="22" s="1"/>
  <c r="P40" i="19"/>
  <c r="AB23" i="1"/>
  <c r="AB22" i="1"/>
  <c r="AA10" i="1"/>
  <c r="AB11" i="1"/>
  <c r="AB17" i="1"/>
  <c r="V27" i="19"/>
  <c r="J37" i="19"/>
  <c r="P27" i="19"/>
  <c r="AB17" i="19"/>
  <c r="AB47" i="19"/>
  <c r="J17" i="19"/>
  <c r="AH47" i="19"/>
  <c r="J47" i="19"/>
  <c r="V47" i="19"/>
  <c r="P37" i="19"/>
  <c r="AH7" i="19"/>
  <c r="AC16" i="1"/>
  <c r="AB7" i="19"/>
  <c r="J7" i="19"/>
  <c r="P47" i="19"/>
  <c r="AB37" i="19"/>
  <c r="P17" i="19"/>
  <c r="V37" i="19"/>
  <c r="AB27" i="19"/>
  <c r="J27" i="19"/>
  <c r="V17" i="19"/>
  <c r="AH17" i="19"/>
  <c r="V7" i="19"/>
  <c r="P7" i="19"/>
  <c r="AH37" i="19"/>
  <c r="AH27" i="19"/>
  <c r="J39" i="19"/>
  <c r="V39" i="19"/>
  <c r="P29" i="19"/>
  <c r="V49" i="19"/>
  <c r="J9" i="19"/>
  <c r="AH49" i="19"/>
  <c r="AH9" i="19"/>
  <c r="AB29" i="19"/>
  <c r="P39" i="19"/>
  <c r="P49" i="19"/>
  <c r="AC28" i="1"/>
  <c r="AB9" i="19"/>
  <c r="V29" i="19"/>
  <c r="AB19" i="19"/>
  <c r="AB39" i="19"/>
  <c r="V9" i="19"/>
  <c r="AB49" i="19"/>
  <c r="AH39" i="19"/>
  <c r="V19" i="19"/>
  <c r="J29" i="19"/>
  <c r="AH19" i="19"/>
  <c r="P9" i="19"/>
  <c r="J19" i="19"/>
  <c r="J49" i="19"/>
  <c r="AH29" i="19"/>
  <c r="P19" i="19"/>
  <c r="AH45" i="19"/>
  <c r="AH55" i="19"/>
  <c r="V55" i="19"/>
  <c r="AB25" i="19"/>
  <c r="AH25" i="19"/>
  <c r="AB35" i="19"/>
  <c r="P45" i="19"/>
  <c r="P25" i="19"/>
  <c r="AH15" i="19"/>
  <c r="V15" i="19"/>
  <c r="J15" i="19"/>
  <c r="P35" i="19"/>
  <c r="AB55" i="19"/>
  <c r="J25" i="19"/>
  <c r="AB15" i="19"/>
  <c r="P55" i="19"/>
  <c r="V25" i="19"/>
  <c r="J45" i="19"/>
  <c r="V35" i="19"/>
  <c r="J35" i="19"/>
  <c r="AB45" i="19"/>
  <c r="AH35" i="19"/>
  <c r="AC64" i="1"/>
  <c r="P15" i="19"/>
  <c r="V45" i="19"/>
  <c r="J55" i="19"/>
  <c r="AA17" i="1" l="1"/>
  <c r="AB18" i="1"/>
  <c r="AA18" i="1" s="1"/>
  <c r="AA23" i="1"/>
  <c r="AB24" i="1"/>
  <c r="AB16" i="19"/>
  <c r="AH46" i="19"/>
  <c r="V6" i="19"/>
  <c r="AC10" i="1"/>
  <c r="V36" i="19"/>
  <c r="J6" i="19"/>
  <c r="P36" i="19"/>
  <c r="AB36" i="19"/>
  <c r="V26" i="19"/>
  <c r="P46" i="19"/>
  <c r="AH6" i="19"/>
  <c r="J36" i="19"/>
  <c r="AH16" i="19"/>
  <c r="V16" i="19"/>
  <c r="AH26" i="19"/>
  <c r="AB46" i="19"/>
  <c r="J46" i="19"/>
  <c r="P16" i="19"/>
  <c r="AB6" i="19"/>
  <c r="AH36" i="19"/>
  <c r="AB26" i="19"/>
  <c r="V46" i="19"/>
  <c r="J26" i="19"/>
  <c r="J16" i="19"/>
  <c r="P6" i="19"/>
  <c r="P26" i="19"/>
  <c r="AA22" i="1"/>
  <c r="AB29" i="1"/>
  <c r="AA29" i="1" s="1"/>
  <c r="W37" i="19"/>
  <c r="AI17" i="19"/>
  <c r="AC37" i="19"/>
  <c r="W47" i="19"/>
  <c r="K7" i="19"/>
  <c r="W27" i="19"/>
  <c r="AC17" i="19"/>
  <c r="Q7" i="19"/>
  <c r="AC47" i="19"/>
  <c r="AI7" i="19"/>
  <c r="K47" i="19"/>
  <c r="AI37" i="19"/>
  <c r="Q37" i="19"/>
  <c r="Q17" i="19"/>
  <c r="W17" i="19"/>
  <c r="AI47" i="19"/>
  <c r="AC17" i="1"/>
  <c r="C6" i="22" s="1"/>
  <c r="AI27" i="19"/>
  <c r="Q27" i="19"/>
  <c r="Q47" i="19"/>
  <c r="AC27" i="19"/>
  <c r="K37" i="19"/>
  <c r="K27" i="19"/>
  <c r="W7" i="19"/>
  <c r="AC7" i="19"/>
  <c r="K17" i="19"/>
  <c r="AB12" i="1"/>
  <c r="AA11" i="1"/>
  <c r="W28" i="19"/>
  <c r="K8" i="19"/>
  <c r="Q8" i="19"/>
  <c r="K28" i="19"/>
  <c r="AC23" i="1"/>
  <c r="C9" i="22" s="1"/>
  <c r="K18" i="19"/>
  <c r="W8" i="19"/>
  <c r="AI18" i="19"/>
  <c r="AC48" i="19"/>
  <c r="AI48" i="19"/>
  <c r="Q18" i="19"/>
  <c r="W38" i="19"/>
  <c r="W18" i="19"/>
  <c r="W48" i="19"/>
  <c r="AC38" i="19"/>
  <c r="AC8" i="19"/>
  <c r="K38" i="19"/>
  <c r="Q48" i="19"/>
  <c r="AI38" i="19"/>
  <c r="AC28" i="19"/>
  <c r="K48" i="19"/>
  <c r="AC18" i="19"/>
  <c r="AI28" i="19"/>
  <c r="AI8" i="19"/>
  <c r="Q38" i="19"/>
  <c r="Q28" i="19"/>
  <c r="AA24" i="1" l="1"/>
  <c r="AB25" i="1"/>
  <c r="AA25" i="1" s="1"/>
  <c r="AD27" i="19"/>
  <c r="AD17" i="19"/>
  <c r="X7" i="19"/>
  <c r="R27" i="19"/>
  <c r="AJ47" i="19"/>
  <c r="X37" i="19"/>
  <c r="L27" i="19"/>
  <c r="AD7" i="19"/>
  <c r="AJ7" i="19"/>
  <c r="L37" i="19"/>
  <c r="X47" i="19"/>
  <c r="X27" i="19"/>
  <c r="L47" i="19"/>
  <c r="AC18" i="1"/>
  <c r="AJ17" i="19"/>
  <c r="AD37" i="19"/>
  <c r="AD47" i="19"/>
  <c r="AJ37" i="19"/>
  <c r="R17" i="19"/>
  <c r="L7" i="19"/>
  <c r="R7" i="19"/>
  <c r="R37" i="19"/>
  <c r="R47" i="19"/>
  <c r="L17" i="19"/>
  <c r="X17" i="19"/>
  <c r="AJ27" i="19"/>
  <c r="AD38" i="19"/>
  <c r="L38" i="19"/>
  <c r="X48" i="19"/>
  <c r="R8" i="19"/>
  <c r="AJ38" i="19"/>
  <c r="R38" i="19"/>
  <c r="AD48" i="19"/>
  <c r="AC24" i="1"/>
  <c r="R28" i="19"/>
  <c r="X38" i="19"/>
  <c r="L48" i="19"/>
  <c r="AD28" i="19"/>
  <c r="X8" i="19"/>
  <c r="R48" i="19"/>
  <c r="AD8" i="19"/>
  <c r="AJ28" i="19"/>
  <c r="L18" i="19"/>
  <c r="AJ8" i="19"/>
  <c r="AJ48" i="19"/>
  <c r="L28" i="19"/>
  <c r="L8" i="19"/>
  <c r="R18" i="19"/>
  <c r="X18" i="19"/>
  <c r="X28" i="19"/>
  <c r="AD18" i="19"/>
  <c r="AJ18" i="19"/>
  <c r="W29" i="19"/>
  <c r="AC9" i="19"/>
  <c r="K9" i="19"/>
  <c r="AC29" i="19"/>
  <c r="K49" i="19"/>
  <c r="AC19" i="19"/>
  <c r="K29" i="19"/>
  <c r="Q19" i="19"/>
  <c r="K39" i="19"/>
  <c r="Q39" i="19"/>
  <c r="Q9" i="19"/>
  <c r="AI49" i="19"/>
  <c r="AI9" i="19"/>
  <c r="W19" i="19"/>
  <c r="K19" i="19"/>
  <c r="W9" i="19"/>
  <c r="Q29" i="19"/>
  <c r="AI39" i="19"/>
  <c r="W39" i="19"/>
  <c r="Q49" i="19"/>
  <c r="AC49" i="19"/>
  <c r="AC39" i="19"/>
  <c r="W49" i="19"/>
  <c r="AC29" i="1"/>
  <c r="AI19" i="19"/>
  <c r="AI29" i="19"/>
  <c r="W26" i="19"/>
  <c r="Q6" i="19"/>
  <c r="AC26" i="19"/>
  <c r="K16" i="19"/>
  <c r="K6" i="19"/>
  <c r="K46" i="19"/>
  <c r="AI26" i="19"/>
  <c r="Q36" i="19"/>
  <c r="Q26" i="19"/>
  <c r="AC11" i="1"/>
  <c r="Q46" i="19"/>
  <c r="AC36" i="19"/>
  <c r="Q16" i="19"/>
  <c r="AI36" i="19"/>
  <c r="AI16" i="19"/>
  <c r="K36" i="19"/>
  <c r="AC46" i="19"/>
  <c r="W36" i="19"/>
  <c r="K26" i="19"/>
  <c r="AC16" i="19"/>
  <c r="W46" i="19"/>
  <c r="AI6" i="19"/>
  <c r="W16" i="19"/>
  <c r="AI46" i="19"/>
  <c r="AC6" i="19"/>
  <c r="W6" i="19"/>
  <c r="AB48" i="19"/>
  <c r="AH28" i="19"/>
  <c r="AH18" i="19"/>
  <c r="P8" i="19"/>
  <c r="AH8" i="19"/>
  <c r="AH48" i="19"/>
  <c r="J38" i="19"/>
  <c r="AH38" i="19"/>
  <c r="AB38" i="19"/>
  <c r="J48" i="19"/>
  <c r="P28" i="19"/>
  <c r="AC22" i="1"/>
  <c r="J28" i="19"/>
  <c r="P48" i="19"/>
  <c r="AB8" i="19"/>
  <c r="J18" i="19"/>
  <c r="V38" i="19"/>
  <c r="V48" i="19"/>
  <c r="P18" i="19"/>
  <c r="V28" i="19"/>
  <c r="J8" i="19"/>
  <c r="AB28" i="19"/>
  <c r="V8" i="19"/>
  <c r="V18" i="19"/>
  <c r="P38" i="19"/>
  <c r="AB18" i="19"/>
  <c r="AB13" i="1"/>
  <c r="AA12" i="1"/>
  <c r="M48" i="19" l="1"/>
  <c r="M38" i="19"/>
  <c r="AK28" i="19"/>
  <c r="Y8" i="19"/>
  <c r="Y28" i="19"/>
  <c r="AK8" i="19"/>
  <c r="AC25" i="1"/>
  <c r="S48" i="19"/>
  <c r="AE18" i="19"/>
  <c r="S28" i="19"/>
  <c r="M28" i="19"/>
  <c r="S38" i="19"/>
  <c r="Y38" i="19"/>
  <c r="AE28" i="19"/>
  <c r="AE8" i="19"/>
  <c r="AK48" i="19"/>
  <c r="Y48" i="19"/>
  <c r="AK38" i="19"/>
  <c r="AE48" i="19"/>
  <c r="S8" i="19"/>
  <c r="AE38" i="19"/>
  <c r="AK18" i="19"/>
  <c r="M8" i="19"/>
  <c r="M18" i="19"/>
  <c r="Y18" i="19"/>
  <c r="S18" i="19"/>
  <c r="L46" i="19"/>
  <c r="AD36" i="19"/>
  <c r="X46" i="19"/>
  <c r="L26" i="19"/>
  <c r="AC12" i="1"/>
  <c r="C3" i="22" s="1"/>
  <c r="AJ46" i="19"/>
  <c r="X6" i="19"/>
  <c r="R46" i="19"/>
  <c r="X26" i="19"/>
  <c r="R16" i="19"/>
  <c r="X16" i="19"/>
  <c r="AD16" i="19"/>
  <c r="AJ26" i="19"/>
  <c r="L6" i="19"/>
  <c r="AD46" i="19"/>
  <c r="R36" i="19"/>
  <c r="AD26" i="19"/>
  <c r="AJ36" i="19"/>
  <c r="AJ16" i="19"/>
  <c r="L36" i="19"/>
  <c r="X36" i="19"/>
  <c r="L16" i="19"/>
  <c r="R26" i="19"/>
  <c r="R6" i="19"/>
  <c r="AD6" i="19"/>
  <c r="AJ6" i="19"/>
  <c r="AA13" i="1"/>
  <c r="AB14" i="1"/>
  <c r="AA14" i="1" l="1"/>
  <c r="AB15" i="1"/>
  <c r="AA15" i="1" s="1"/>
  <c r="Y16" i="19"/>
  <c r="M26" i="19"/>
  <c r="S16" i="19"/>
  <c r="Y26" i="19"/>
  <c r="AK46" i="19"/>
  <c r="S46" i="19"/>
  <c r="Y6" i="19"/>
  <c r="AK6" i="19"/>
  <c r="M16" i="19"/>
  <c r="S6" i="19"/>
  <c r="M6" i="19"/>
  <c r="Y46" i="19"/>
  <c r="AE36" i="19"/>
  <c r="M36" i="19"/>
  <c r="AK26" i="19"/>
  <c r="AC13" i="1"/>
  <c r="S36" i="19"/>
  <c r="AE26" i="19"/>
  <c r="AK36" i="19"/>
  <c r="Y36" i="19"/>
  <c r="AE16" i="19"/>
  <c r="S26" i="19"/>
  <c r="AE6" i="19"/>
  <c r="AE46" i="19"/>
  <c r="AK16" i="19"/>
  <c r="M46" i="19"/>
  <c r="AM16" i="19" l="1"/>
  <c r="AG6" i="19"/>
  <c r="O46" i="19"/>
  <c r="AG36" i="19"/>
  <c r="AM46" i="19"/>
  <c r="U6" i="19"/>
  <c r="AA46" i="19"/>
  <c r="AA26" i="19"/>
  <c r="O26" i="19"/>
  <c r="U16" i="19"/>
  <c r="AA6" i="19"/>
  <c r="U36" i="19"/>
  <c r="AG46" i="19"/>
  <c r="AM26" i="19"/>
  <c r="AM6" i="19"/>
  <c r="AM36" i="19"/>
  <c r="AG16" i="19"/>
  <c r="AA16" i="19"/>
  <c r="U46" i="19"/>
  <c r="O6" i="19"/>
  <c r="AC15" i="1"/>
  <c r="O36" i="19"/>
  <c r="U26" i="19"/>
  <c r="AG26" i="19"/>
  <c r="AA36" i="19"/>
  <c r="O16" i="19"/>
  <c r="N46" i="19"/>
  <c r="T26" i="19"/>
  <c r="N26" i="19"/>
  <c r="T36" i="19"/>
  <c r="T16" i="19"/>
  <c r="AC14" i="1"/>
  <c r="Z26" i="19"/>
  <c r="Z46" i="19"/>
  <c r="Z16" i="19"/>
  <c r="AF16" i="19"/>
  <c r="AL36" i="19"/>
  <c r="Z36" i="19"/>
  <c r="N16" i="19"/>
  <c r="AF26" i="19"/>
  <c r="N36" i="19"/>
  <c r="AF6" i="19"/>
  <c r="AF36" i="19"/>
  <c r="AL16" i="19"/>
  <c r="AL6" i="19"/>
  <c r="AF46" i="19"/>
  <c r="AL26" i="19"/>
  <c r="N6" i="19"/>
  <c r="T6" i="19"/>
  <c r="Z6" i="19"/>
  <c r="AL46" i="19"/>
  <c r="T4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P2" authorId="0" shapeId="0" xr:uid="{00000000-0006-0000-0400-000001000000}">
      <text>
        <r>
          <rPr>
            <b/>
            <sz val="9"/>
            <color indexed="81"/>
            <rFont val="Tahoma"/>
            <family val="2"/>
          </rPr>
          <t>Autor:</t>
        </r>
        <r>
          <rPr>
            <sz val="9"/>
            <color indexed="81"/>
            <rFont val="Tahoma"/>
            <family val="2"/>
          </rPr>
          <t xml:space="preserve">
Fuerte= El control  se ejecuta de manera consistente por parte del responsable
Moderado=El control se ejecuta algunas veces por parte del responsable
Débil=El control  no se ejecuta por parte del responsable</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<sst xmlns="http://schemas.openxmlformats.org/spreadsheetml/2006/main" count="531" uniqueCount="308">
  <si>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</si>
  <si>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</si>
  <si>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</si>
  <si>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</si>
  <si>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</si>
  <si>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</si>
  <si>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</si>
  <si>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</si>
  <si>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</si>
  <si>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</si>
  <si>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</si>
  <si>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</si>
  <si>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</si>
  <si>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</si>
  <si>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</si>
  <si>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</si>
  <si>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</si>
  <si>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</si>
  <si>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</si>
  <si>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</si>
  <si>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</si>
  <si>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</si>
  <si>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</si>
  <si>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</si>
  <si>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</si>
  <si>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</si>
  <si>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</si>
  <si>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</si>
  <si>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</si>
  <si>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</si>
  <si>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</si>
  <si>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</si>
  <si>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</si>
  <si>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</si>
  <si>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</si>
  <si>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</si>
  <si>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</si>
  <si>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</si>
  <si>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</si>
  <si>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</si>
  <si>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</si>
  <si>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</si>
  <si>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</si>
  <si>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</si>
  <si>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</si>
  <si>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</si>
  <si>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</si>
  <si>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</si>
  <si>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</si>
  <si>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</si>
  <si>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</si>
  <si>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</si>
  <si>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</si>
  <si>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</si>
  <si>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</si>
  <si>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</si>
  <si>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</si>
  <si>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</si>
  <si>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</si>
  <si>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</si>
  <si>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RIESGO</t>
  </si>
  <si>
    <t xml:space="preserve">CONTROLES </t>
  </si>
  <si>
    <t>Posibilidad de incumplimiento en la presentación de los informes de seguimiento de  Segunda Línea de Defensa de planes, proyectos y otros reportes de la UNP por demoras en el seguimiento y reporte por parte de los procesos.</t>
  </si>
  <si>
    <t>Profesional del Grupo de Planeación Institucional y Gestión de la Información designados, generan alertas a través de memorando y correo electrónico para el envio de los seguimientos de planes de primera linea de defensa.</t>
  </si>
  <si>
    <t>El coordinador del Grupo de Planeación Institucional y Gestión de la Información revisa los informes de seguimientos a los planes de segunda linea de defensa para aprobación del Jefe de la OAPI</t>
  </si>
  <si>
    <t xml:space="preserve">Posibilidad de incumplimiento en el seguimiento y reporte de los proyectos de inversión de la entidad. </t>
  </si>
  <si>
    <t>Profesional del Grupo de Planeación Institucional y Gestión de la Información designado, revisa los proyectos en la plataforma del DNP  que presentan incumplimiento y genera alertas.</t>
  </si>
  <si>
    <t>Profesional del Grupo de Planeación Institucional y Gestión de la Información designado, genera las alertas a través de memorando y/o correo electrónico a los lideres de proceso por incumplimientos en el avance de la meta establecida en cada uno de los proyectos.</t>
  </si>
  <si>
    <t>Profesional del Grupo de Planeación Institucional y Gestión de la Información designado,solicita mediante correo elecdtrónico el informe resumen ejecutivo del proyecto de inversión.</t>
  </si>
  <si>
    <t>Profesional del Grupo de Planeación Institucional y Gestión de la Información designado, reporta en la plataforma del DNP el avance del mes y la corrección de las alertas remitido por los lideres proceso.</t>
  </si>
  <si>
    <t>Posibilidad de viabilizar recursos sin disponibilidad presupuestal</t>
  </si>
  <si>
    <t xml:space="preserve">Posibilidad de disponer de déficit presupuestal debido a que las dependencias no planifican adecuadamente sus necesidades presupuestales por debilidades del conocimiento en la planificación presupuestal y una inadecuada gestión del tiempo por parte de las dependencias para realizar una planificación rigurosa  </t>
  </si>
  <si>
    <t>El enlace MIPG SIG asignado al proceso de la Direccion valida de forma permanente mediante alertas o comunicaciones internas a los responsables de la entrega de los insumos para el reporte de los indicadores de acuerdo a su periodicidad de reporte.</t>
  </si>
  <si>
    <t>Profesionales del Grupo de Planeación Institucional y Gestión de la Información designados generan alertas a través de memorando y correo electrónico para la presentación de los reportes de los informes de seguimiento de los planes, programas, proyectos y reporte de indicadores en plataformas externas.</t>
  </si>
  <si>
    <t>El lider del proceso de Direccion valida de forma permanente meiante alertas a través de memorando y correo electrónico para la presentación de los reportes de los informes de seguimiento de los planes, programas, proyectos y reporte en plataformas internas.</t>
  </si>
  <si>
    <t>Posibilidad de asignacion indebida de medidas de proteccion por tramites de emergencia.</t>
  </si>
  <si>
    <t>Posibilidad del uso, pérdida o apropiación indebida de información sensible de las Bases de Datos que maneja la Oficina Asesora de Planeación por falta de control en el acceso a la información y dolo intencionado por parte del funcionario y/o contratista que maneja la base de datos</t>
  </si>
  <si>
    <t xml:space="preserve">Formato Mapa Riesgos </t>
  </si>
  <si>
    <t>Proceso:</t>
  </si>
  <si>
    <t>Direccionamiento Estratégico y Planeación</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</si>
  <si>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</si>
  <si>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</si>
  <si>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</si>
  <si>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</si>
  <si>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</si>
  <si>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</si>
  <si>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</si>
  <si>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</si>
  <si>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</si>
  <si>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</si>
  <si>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</si>
  <si>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</si>
  <si>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</si>
  <si>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</si>
  <si>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</si>
  <si>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</si>
  <si>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</si>
  <si>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</si>
  <si>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</si>
  <si>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</si>
  <si>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</si>
  <si>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</si>
  <si>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</si>
  <si>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</si>
  <si>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</si>
  <si>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</si>
  <si>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</si>
  <si>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</si>
  <si>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</si>
  <si>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</si>
  <si>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Reputacional</t>
  </si>
  <si>
    <t>Demoras o falta de aplicación de los lineamientos de los diferentes responsables de proceso para el reporte y seguimiento de los mismos</t>
  </si>
  <si>
    <t>1. Demora en los reportes sobre la gestión de planes, programas y proyectos por parte de los procesos de la entidad.
2. No aplicación de los lineamientos y directrices para el seguimiento y medición de la gestión y desempeño institucional. (DEP-MA-01 Manual Gestión de Indicadores MIPG SIG).
3. Excepciones realizadas para el reporte de los indicadores solicitados por los procesos</t>
  </si>
  <si>
    <t>Ejecucion y Administracion de procesos</t>
  </si>
  <si>
    <t xml:space="preserve">     El riesgo afecta la imagen de la entidad con algunos usuarios de relevancia frente al logro de los objetivos</t>
  </si>
  <si>
    <t>Profesional del Grupo de Planeación Institucional y Gestión de la Información designados, generan alertas trimestrales y quincenales a través de memorando y correo electrónico para el envio de los seguimientos de planes de primera linea de defensa.</t>
  </si>
  <si>
    <t>Preventivo</t>
  </si>
  <si>
    <t>Manual</t>
  </si>
  <si>
    <t>Sin Documentar</t>
  </si>
  <si>
    <t>Continua</t>
  </si>
  <si>
    <t>Con Registro</t>
  </si>
  <si>
    <t>Reducir (mitigar)</t>
  </si>
  <si>
    <t>El coordinador del Grupo de Planeación Institucional y Gestión de la Información revisa los informes de seguimientos a los planes de manera trimestral de segunda linea de defensa para aprobación del Jefe de la OAPI.</t>
  </si>
  <si>
    <t>Aceptar</t>
  </si>
  <si>
    <t>Débil planificación en cuanto a las necesidades presupuestales por parte de las diferentes dependencias</t>
  </si>
  <si>
    <t xml:space="preserve">1. Falta de conocimiento en la planificación presupuestal por parte de las dependencias
2. Inadecuada gestión del tiempo por parte de las dependencias para realizar una planificación rigurosa  </t>
  </si>
  <si>
    <t>Posibilidad de incumplimiento que el anteproyecto de presupuesto no incluya las necesidades presupuestales reales por falta de información de los procesos, lo que ocasionaría un desequilibrio presupuestal en la entidad.</t>
  </si>
  <si>
    <t>El servidor público y/o contratista genera anualmente comunicación interna dirigida a los procesos solicitando las necesidades presupuestales para la siguiente vigencia.</t>
  </si>
  <si>
    <t>Documentado</t>
  </si>
  <si>
    <t>El servidor público y/o contratista asignado, valida anualmente en mesas de trabajo con los procesos el ejercicio presupuestal remitido a la OAPI, con el fin de verificar e incluir en el anteproyecto de presupuesto las necesidades de cada área.</t>
  </si>
  <si>
    <t>Detectivo</t>
  </si>
  <si>
    <t>El jefe de la Oficina Asesora de Planeacion presenta anualmente ante el Comité Institucional de Gestión y Desempeño, el anteproyecto de presupuesto para la aprobación y visto bueno por parte de los lideres de proceso.</t>
  </si>
  <si>
    <t>Económico</t>
  </si>
  <si>
    <t>Falta de adecuación de los proyectos de inversión las necesidades de la entidad</t>
  </si>
  <si>
    <t>1. Falta de articulación en la planeación de las necesidades presupuestales por parte de la gerencia de proyecto
2. Falta de articulación en la identificación de los productos propuestos.</t>
  </si>
  <si>
    <t>Posibilidad de ser sancionados por la contraloria y el DNP por el incumplimiento de los objetivos propuestos paara la poblacion objeto de cada proyecto debido a la falta seguimiento y reporte de los proyectos de inversión de la entidad.</t>
  </si>
  <si>
    <t xml:space="preserve">     Entre 100 y 500 SMLMV </t>
  </si>
  <si>
    <t xml:space="preserve">Profesional del Grupo de Planeación Institucional y Gestión de la Información designado, revisa los proyectos de manera mensual en la plataforma del DNP  que presentan incumplimiento y genera alertas. </t>
  </si>
  <si>
    <t>Profesional del Grupo de Planeación Institucional y Gestión de la Información designado, genera las alertas a través de memorando y/o correo electrónico cada vez que se presenten incumplimientos a los lideres de procesos, en el avance de la meta establecida en cada uno de los proyectos.</t>
  </si>
  <si>
    <t>Profesional del Grupo de Planeación Institucional y Gestión de la Información designado,solicita de manera mensual mediante correo electrónico el informe resumen ejecutivo del proyecto de inversión.</t>
  </si>
  <si>
    <t>Fraude Interno</t>
  </si>
  <si>
    <t xml:space="preserve">     El riesgo afecta la imagen de la entidad a nivel nacional, con efecto publicitarios sostenible a nivel país</t>
  </si>
  <si>
    <t>Incumplimiento a los parámetros establecidos para la gestión de Rendición de Cuentas</t>
  </si>
  <si>
    <t>1. No aplicación de los lineamientos y directrices establecidas en el procedimiento de rendición de cuentas publicado en la intranet con el código DES-PR-01/V1.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</si>
  <si>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Posibilidad de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</si>
  <si>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bimensual al cumplimiento de las actividades definidas para el ejercicio rendición de cuentas en el Plan Anticorrupción y Atención al Ciudadano.</t>
  </si>
  <si>
    <t>Programar reuniones bimensuales para el seguimiento de las acciones definidas para el componente de rendición de cuentas del Plan Anticorrupción y Atención al Ciudadano.</t>
  </si>
  <si>
    <t xml:space="preserve">enlace MIPG-SIG de la Dirección General </t>
  </si>
  <si>
    <t>20/02/2023
20/04/2023
30/06/2023</t>
  </si>
  <si>
    <t xml:space="preserve"> 20/04/2023
30/06/2023
30/08/2023</t>
  </si>
  <si>
    <t>Actas de mesas de trabajo</t>
  </si>
  <si>
    <t>En curso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</si>
  <si>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</si>
  <si>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</si>
  <si>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RIESGOS</t>
  </si>
  <si>
    <t>CONTROLES</t>
  </si>
  <si>
    <t>MONITOREO 1a LÍNEA DE DEFENSA</t>
  </si>
  <si>
    <t>EVALUACIÓN DE CONTROLES -  3a LÍNEA DE DEFENSA</t>
  </si>
  <si>
    <t>PLAN DE ACCIÓN TRATAMIENTO DE RIESGOS</t>
  </si>
  <si>
    <t>SEGUIMIENTO PLAN DE ACCIÓN TRATAMIENTO DE RIESGOS 1a LÍNEA DE DEFENSA</t>
  </si>
  <si>
    <t>SEGUIMIENTO PLAN DE ACCIÓN TRATAMIENTO DE RIESGOS 2a LÍNEA DE DEFENSA</t>
  </si>
  <si>
    <t>Riesgo</t>
  </si>
  <si>
    <t>Nivel Inherente</t>
  </si>
  <si>
    <t>Nivel Residual</t>
  </si>
  <si>
    <t>Controles</t>
  </si>
  <si>
    <t>Descripción Monitoreo Control</t>
  </si>
  <si>
    <t>Asignación de Responsable</t>
  </si>
  <si>
    <t>Segregación de Autoridad</t>
  </si>
  <si>
    <t>Periodicidad</t>
  </si>
  <si>
    <t>Propósito</t>
  </si>
  <si>
    <t xml:space="preserve"> Cómo se realiza la actividad de control</t>
  </si>
  <si>
    <t>Qué pasa con las observaciones o desviaciones</t>
  </si>
  <si>
    <t>Evidencia de la ejecución del control</t>
  </si>
  <si>
    <t>CALIFICACIÓN DISEÑO DEL CONTROL</t>
  </si>
  <si>
    <t>CALIFICACIÓN DE LA EJECUCIÓN DEL CONTROL</t>
  </si>
  <si>
    <t>SOLIDEZ INDIVIDUAL DEL CONTROL</t>
  </si>
  <si>
    <t>REQUIERE ACCIONES PARA FORTALECER EL CONTROL</t>
  </si>
  <si>
    <t>RECOMENDACIONES</t>
  </si>
  <si>
    <t>Descripción Seguimiento Plan Acción</t>
  </si>
  <si>
    <t>ESTADO DE CUMPLIMIENTO</t>
  </si>
  <si>
    <t>OBSERVACIONES</t>
  </si>
  <si>
    <t>Matriz de Calor Inherente</t>
  </si>
  <si>
    <t>Probabilidad</t>
  </si>
  <si>
    <t>Muy Alta
100%</t>
  </si>
  <si>
    <t>Extremo</t>
  </si>
  <si>
    <t>Alta
80%</t>
  </si>
  <si>
    <t>Alto</t>
  </si>
  <si>
    <t>Posibilidad de incorrecta destinación de los recursos de inversión que genera la no viabilización del proyecto debido a que no estén adecuados a las necesidades de la entidad, por falta de articulación en la planeación de las necesidades presupuestales por parte de la gerencia de proyecto, así como la identificación de los productos propuestos.</t>
  </si>
  <si>
    <t>Moderado</t>
  </si>
  <si>
    <t>Baja
40%</t>
  </si>
  <si>
    <t>Bajo</t>
  </si>
  <si>
    <t>Muy Baja
20%</t>
  </si>
  <si>
    <t>Leve
20%</t>
  </si>
  <si>
    <t>Menor
40%</t>
  </si>
  <si>
    <t>Moderado
60%</t>
  </si>
  <si>
    <t>Mayor
80%</t>
  </si>
  <si>
    <t>Catastrófico
100%</t>
  </si>
  <si>
    <t xml:space="preserve"> Matriz de Calor Residual</t>
  </si>
  <si>
    <t>Media
60%</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</si>
  <si>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</si>
  <si>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</si>
  <si>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</si>
  <si>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</si>
  <si>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</si>
  <si>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</si>
  <si>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</si>
  <si>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</si>
  <si>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</si>
  <si>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</si>
  <si>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</si>
  <si>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</si>
  <si>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</si>
  <si>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</si>
  <si>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</si>
  <si>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</si>
  <si>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</si>
  <si>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</si>
  <si>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</si>
  <si>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</si>
  <si>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</si>
  <si>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</si>
  <si>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</si>
  <si>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</si>
  <si>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</si>
  <si>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</si>
  <si>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</si>
  <si>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</si>
  <si>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</si>
  <si>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</si>
  <si>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</si>
  <si>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</si>
  <si>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</si>
  <si>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</si>
  <si>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</si>
  <si>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</si>
  <si>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</si>
  <si>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</si>
  <si>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</si>
  <si>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</si>
  <si>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</si>
  <si>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Mayor a 500 SMLMV </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</si>
  <si>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</si>
  <si>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</si>
  <si>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</si>
  <si>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</si>
  <si>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</si>
  <si>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</si>
  <si>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</si>
  <si>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</si>
  <si>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</si>
  <si>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</si>
  <si>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</si>
  <si>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</si>
  <si>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</si>
  <si>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</si>
  <si>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</si>
  <si>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</si>
  <si>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</si>
  <si>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 xml:space="preserve">Controles que son ejecutados por una persona., tiene implícito el error humano. </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</si>
  <si>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</si>
  <si>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</si>
  <si>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</si>
  <si>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</si>
  <si>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</si>
  <si>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</si>
  <si>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</si>
  <si>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</si>
  <si>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</si>
  <si>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</si>
  <si>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</si>
  <si>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DEFINICIÓN E IDENTIFICACIÓN DE RIESGOS DE CORRUPCIÓN</t>
  </si>
  <si>
    <t>Con el fin de facilitar la identificación de riesgos de corrupción y evitar que se presenten confusiones entre un riesgo de gestión y uno de corrupción, se sugiere la utilización de la matriz de definición de riesgo de corrupción porque incorpora cada uno de los componentes de su definición.
Si en la descripción del riesgo, las casillas son contestadas todas afirmativamente, se trata de un riesgo de corrupción, así:</t>
  </si>
  <si>
    <t>Determinación de Probabilidad</t>
  </si>
  <si>
    <t>Determinación de Impacto</t>
  </si>
  <si>
    <t>N°</t>
  </si>
  <si>
    <t>RIESGO 1</t>
  </si>
  <si>
    <t>RIESGO 2</t>
  </si>
  <si>
    <t>RIESGO 3</t>
  </si>
  <si>
    <t>RIESGO 4</t>
  </si>
  <si>
    <t>Si</t>
  </si>
  <si>
    <t>No</t>
  </si>
  <si>
    <t>Evitar</t>
  </si>
  <si>
    <t>Reducir (compartir)</t>
  </si>
  <si>
    <t>Económico y Reputacional</t>
  </si>
  <si>
    <t>Plan de accion (solo para la opción reducir)</t>
  </si>
  <si>
    <t>Finalizado</t>
  </si>
  <si>
    <t>Daños Activos Fisicos</t>
  </si>
  <si>
    <t>Fallas Tecnologicas</t>
  </si>
  <si>
    <t>Fraude Externo</t>
  </si>
  <si>
    <t>Relaciones Laborales</t>
  </si>
  <si>
    <t>Usuarios, productos y practicas , organizacionales</t>
  </si>
  <si>
    <t>Registro Sustancial</t>
  </si>
  <si>
    <t>Registro Material</t>
  </si>
  <si>
    <t>Sin registro</t>
  </si>
  <si>
    <t>Reducir</t>
  </si>
  <si>
    <t>X</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</si>
  <si>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</si>
  <si>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Elaborar un documento que describa los lineamientos, responsabilidades y actividades frente a la desagregación del presupuesto de la entidad</t>
  </si>
  <si>
    <t>Coordinador(a) del Grupo de Planeación Institucional y Gestión de la Información o a quien este(a) designe</t>
  </si>
  <si>
    <t>01/09/2023
31/12/2023</t>
  </si>
  <si>
    <t>Inexistencia de normatividad que reglamente la asignación y desagregación del presupuesto de la entidad</t>
  </si>
  <si>
    <t>Apropiación indebida de la asignación y desagregación del presupuesto de la entidad</t>
  </si>
  <si>
    <t>1/10/2023
01/01/2024</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</si>
  <si>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</si>
  <si>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Documento que describa los lineamientos, responsabilidades y actividades frente a la desagregación del presupuesto de la entidad</t>
  </si>
  <si>
    <t>Jefe Oficina Asesora de Planeación e Información comunica en el Comité Institucional de Gestión y Desempeño, a los responsables de procesos (Línea Estratégica y/o Primera Línea de Defensa), el compromiso con respecto a la revisión, validación y aprobación oportuna de los indicadores de gestión en la herramienta tecnológica designada, el reporte de  los informes de gestión (cerca a la frecuencia del reporte), los seguimientos de los planes, programas, proyectos  de la entidad y reporte de indicadores en plataformas externas.</t>
  </si>
  <si>
    <t>Orientar estratégicamente a la Unidad Nacional de Protección -UNP- a través de la definición de lineamientos generales, políticas, estrategias, instrumentos y del modelo de operación, armonizando los planes, programas y proyectos de carácter estratégico para dar cumplimiento a la misión, visión, objetivos institucionales, sectoriales y metas de gobierno.</t>
  </si>
  <si>
    <t>Inicia con la definición de lineamientos e instrumentos para la formulación del contexto organizacional, plataforma estratégica, planes, programas y proyectos, y termina con la toma de acciones correctivas y oportunidades de mejora. El proceso es liderado por la Dirección General y la Oficina Asesora de Planeación e Información, y es de aplicación para toda la entidad en todas sus instancias y niveles.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</si>
</sst>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1"/>
      <color theme="1"/>
      <name val="Calibri"/>
      <family val="2"/>
      <scheme val="minor"/>
    </font>
    <font>
      <b/>
      <sz val="16"/>
      <color theme="1"/>
      <name val="Arial Narrow"/>
      <family val="2"/>
    </font>
    <font>
      <sz val="16"/>
      <name val="Arial"/>
      <family val="2"/>
    </font>
    <font>
      <b/>
      <sz val="16"/>
      <color rgb="FF000000"/>
      <name val="Arial Narrow"/>
      <family val="2"/>
    </font>
    <font>
      <sz val="16"/>
      <color rgb="FFFFFFFF"/>
      <name val="Arial Narrow"/>
      <family val="2"/>
    </font>
    <font>
      <b/>
      <sz val="16"/>
      <color theme="1"/>
      <name val="Calibri"/>
      <family val="2"/>
      <scheme val="minor"/>
    </font>
    <font>
      <b/>
      <sz val="10"/>
      <name val="Arial"/>
      <family val="2"/>
    </font>
    <font>
      <b/>
      <sz val="9"/>
      <color indexed="81"/>
      <name val="Tahoma"/>
      <family val="2"/>
    </font>
    <font>
      <sz val="9"/>
      <color indexed="81"/>
      <name val="Tahoma"/>
      <family val="2"/>
    </font>
    <font>
      <u/>
      <sz val="11"/>
      <color theme="10"/>
      <name val="Calibri"/>
      <family val="2"/>
      <scheme val="minor"/>
    </font>
    <font>
      <sz val="11"/>
      <color rgb="FFFF0000"/>
      <name val="Arial Narrow"/>
      <family val="2"/>
    </font>
  </fonts>
  <fills count="2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43FF98"/>
        <bgColor indexed="64"/>
      </patternFill>
    </fill>
    <fill>
      <patternFill patternType="solid">
        <fgColor rgb="FFFEF7CE"/>
        <bgColor indexed="64"/>
      </patternFill>
    </fill>
    <fill>
      <patternFill patternType="solid">
        <fgColor theme="8" tint="0.59999389629810485"/>
        <bgColor indexed="64"/>
      </patternFill>
    </fill>
    <fill>
      <patternFill patternType="solid">
        <fgColor theme="7" tint="0.79998168889431442"/>
        <bgColor indexed="64"/>
      </patternFill>
    </fill>
  </fills>
  <borders count="8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9" fontId="15" fillId="0" borderId="0" applyFont="0" applyFill="0" applyBorder="0" applyAlignment="0" applyProtection="0"/>
    <xf numFmtId="0" fontId="48" fillId="0" borderId="0"/>
    <xf numFmtId="0" fontId="49" fillId="0" borderId="0"/>
    <xf numFmtId="0" fontId="5" fillId="0" borderId="0"/>
    <xf numFmtId="0" fontId="68" fillId="0" borderId="0" applyNumberFormat="0" applyFill="0" applyBorder="0" applyAlignment="0" applyProtection="0"/>
  </cellStyleXfs>
  <cellXfs count="47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164" fontId="1" fillId="9" borderId="2" xfId="1" applyNumberFormat="1" applyFont="1" applyFill="1" applyBorder="1" applyAlignment="1">
      <alignment horizontal="center"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14" fontId="1" fillId="0" borderId="2" xfId="0" applyNumberFormat="1" applyFont="1" applyBorder="1" applyAlignment="1" applyProtection="1">
      <alignment horizontal="center" vertical="center" wrapText="1"/>
      <protection locked="0"/>
    </xf>
    <xf numFmtId="0" fontId="59" fillId="0" borderId="0" xfId="0" applyFont="1"/>
    <xf numFmtId="0" fontId="0" fillId="0" borderId="0" xfId="0" applyAlignment="1">
      <alignment horizontal="center"/>
    </xf>
    <xf numFmtId="0" fontId="60" fillId="0" borderId="0" xfId="0" applyFont="1" applyAlignment="1">
      <alignment horizontal="center" vertical="center"/>
    </xf>
    <xf numFmtId="0" fontId="17" fillId="3" borderId="0" xfId="0" applyFont="1" applyFill="1"/>
    <xf numFmtId="0" fontId="61" fillId="0" borderId="0" xfId="0" applyFont="1" applyAlignment="1">
      <alignment horizontal="center" vertical="center" wrapText="1"/>
    </xf>
    <xf numFmtId="0" fontId="62" fillId="6" borderId="0" xfId="0" applyFont="1" applyFill="1" applyAlignment="1">
      <alignment horizontal="center" vertical="center" wrapText="1" readingOrder="1"/>
    </xf>
    <xf numFmtId="0" fontId="13" fillId="5" borderId="11" xfId="0" applyFont="1" applyFill="1" applyBorder="1" applyAlignment="1">
      <alignment horizontal="center" vertical="center" wrapText="1" readingOrder="1"/>
    </xf>
    <xf numFmtId="0" fontId="13" fillId="0" borderId="11" xfId="0" applyFont="1" applyBorder="1" applyAlignment="1">
      <alignment horizontal="justify" vertical="center" wrapText="1" readingOrder="1"/>
    </xf>
    <xf numFmtId="9" fontId="13" fillId="0" borderId="11" xfId="0" applyNumberFormat="1" applyFont="1" applyBorder="1" applyAlignment="1">
      <alignment horizontal="center" vertical="center" wrapText="1" readingOrder="1"/>
    </xf>
    <xf numFmtId="9" fontId="13" fillId="0" borderId="0" xfId="0" applyNumberFormat="1" applyFont="1" applyAlignment="1">
      <alignment horizontal="center" vertical="center" wrapText="1" readingOrder="1"/>
    </xf>
    <xf numFmtId="0" fontId="13" fillId="7" borderId="1" xfId="0" applyFont="1" applyFill="1" applyBorder="1" applyAlignment="1">
      <alignment horizontal="center" vertical="center" wrapText="1" readingOrder="1"/>
    </xf>
    <xf numFmtId="0" fontId="13" fillId="0" borderId="1" xfId="0" applyFont="1" applyBorder="1" applyAlignment="1">
      <alignment horizontal="justify" vertical="center" wrapText="1" readingOrder="1"/>
    </xf>
    <xf numFmtId="9" fontId="13" fillId="0" borderId="1" xfId="0" applyNumberFormat="1" applyFont="1" applyBorder="1" applyAlignment="1">
      <alignment horizontal="center" vertical="center" wrapText="1" readingOrder="1"/>
    </xf>
    <xf numFmtId="0" fontId="13" fillId="4" borderId="1" xfId="0" applyFont="1" applyFill="1" applyBorder="1" applyAlignment="1">
      <alignment horizontal="center" vertical="center" wrapText="1" readingOrder="1"/>
    </xf>
    <xf numFmtId="0" fontId="13" fillId="8" borderId="1" xfId="0" applyFont="1" applyFill="1" applyBorder="1" applyAlignment="1">
      <alignment horizontal="center" vertical="center" wrapText="1" readingOrder="1"/>
    </xf>
    <xf numFmtId="0" fontId="63" fillId="9" borderId="1" xfId="0" applyFont="1" applyFill="1" applyBorder="1" applyAlignment="1">
      <alignment horizontal="center" vertical="center" wrapText="1" readingOrder="1"/>
    </xf>
    <xf numFmtId="0" fontId="59" fillId="0" borderId="33" xfId="0" applyFont="1" applyBorder="1" applyAlignment="1">
      <alignment horizontal="center"/>
    </xf>
    <xf numFmtId="0" fontId="59" fillId="0" borderId="33" xfId="0" applyFont="1" applyBorder="1" applyAlignment="1">
      <alignment horizontal="center" vertical="center"/>
    </xf>
    <xf numFmtId="0" fontId="0" fillId="0" borderId="33" xfId="0" applyBorder="1" applyAlignment="1">
      <alignment horizontal="center"/>
    </xf>
    <xf numFmtId="0" fontId="64" fillId="0" borderId="33" xfId="0" applyFont="1" applyBorder="1" applyAlignment="1">
      <alignment horizontal="center" vertical="center"/>
    </xf>
    <xf numFmtId="0" fontId="59" fillId="0" borderId="33" xfId="0" applyFont="1" applyBorder="1" applyAlignment="1">
      <alignment horizontal="center" vertical="center" wrapText="1"/>
    </xf>
    <xf numFmtId="0" fontId="0" fillId="0" borderId="0" xfId="0" applyAlignment="1">
      <alignment vertical="center" wrapText="1"/>
    </xf>
    <xf numFmtId="0" fontId="65" fillId="19" borderId="33" xfId="0" applyFont="1" applyFill="1" applyBorder="1" applyAlignment="1">
      <alignment horizontal="center" vertical="center" wrapText="1"/>
    </xf>
    <xf numFmtId="0" fontId="65" fillId="16" borderId="33" xfId="0" applyFont="1" applyFill="1" applyBorder="1" applyAlignment="1">
      <alignment horizontal="center" vertical="center" wrapText="1"/>
    </xf>
    <xf numFmtId="0" fontId="65" fillId="17" borderId="33" xfId="0" applyFont="1" applyFill="1" applyBorder="1" applyAlignment="1">
      <alignment horizontal="center" vertical="center" wrapText="1"/>
    </xf>
    <xf numFmtId="0" fontId="65" fillId="18" borderId="33" xfId="0" applyFont="1" applyFill="1" applyBorder="1" applyAlignment="1">
      <alignment horizontal="center" vertical="center" wrapText="1"/>
    </xf>
    <xf numFmtId="0" fontId="0" fillId="0" borderId="33" xfId="0" applyBorder="1" applyAlignment="1">
      <alignment horizontal="center" vertical="center" wrapText="1"/>
    </xf>
    <xf numFmtId="0" fontId="0" fillId="0" borderId="33" xfId="0" applyBorder="1" applyAlignment="1">
      <alignment horizontal="center" vertical="center"/>
    </xf>
    <xf numFmtId="1" fontId="65" fillId="0" borderId="33" xfId="0" applyNumberFormat="1" applyFont="1" applyBorder="1" applyAlignment="1">
      <alignment horizontal="left" vertical="center" wrapText="1"/>
    </xf>
    <xf numFmtId="0" fontId="48" fillId="0" borderId="33" xfId="0" applyFont="1" applyBorder="1" applyAlignment="1" applyProtection="1">
      <alignment horizontal="center" vertical="center" wrapText="1"/>
      <protection locked="0"/>
    </xf>
    <xf numFmtId="0" fontId="48" fillId="0" borderId="33" xfId="0" applyFont="1" applyBorder="1" applyAlignment="1" applyProtection="1">
      <alignment horizontal="left" vertical="center" wrapText="1"/>
      <protection locked="0"/>
    </xf>
    <xf numFmtId="14" fontId="0" fillId="0" borderId="33" xfId="0" applyNumberFormat="1" applyBorder="1" applyAlignment="1">
      <alignment horizontal="center" vertical="center" wrapText="1"/>
    </xf>
    <xf numFmtId="0" fontId="0" fillId="0" borderId="33" xfId="0" applyBorder="1" applyAlignment="1">
      <alignment horizontal="left" vertical="center"/>
    </xf>
    <xf numFmtId="0" fontId="0" fillId="0" borderId="0" xfId="0" applyAlignment="1">
      <alignment horizontal="left" vertical="center"/>
    </xf>
    <xf numFmtId="0" fontId="0" fillId="0" borderId="33" xfId="0" applyBorder="1"/>
    <xf numFmtId="0" fontId="0" fillId="0" borderId="78" xfId="0" applyBorder="1" applyAlignment="1">
      <alignment horizontal="center" vertical="center"/>
    </xf>
    <xf numFmtId="0" fontId="59" fillId="0" borderId="0" xfId="0" applyFont="1" applyAlignment="1">
      <alignment horizontal="center"/>
    </xf>
    <xf numFmtId="0" fontId="6" fillId="13" borderId="2" xfId="0" applyFont="1" applyFill="1" applyBorder="1" applyAlignment="1" applyProtection="1">
      <alignment horizontal="justify" vertical="center" wrapText="1"/>
      <protection locked="0"/>
    </xf>
    <xf numFmtId="0" fontId="2" fillId="0" borderId="4" xfId="0" applyFont="1" applyBorder="1" applyAlignment="1" applyProtection="1">
      <alignment vertical="center" wrapText="1"/>
      <protection locked="0"/>
    </xf>
    <xf numFmtId="0" fontId="0" fillId="0" borderId="0" xfId="0" applyAlignment="1">
      <alignment wrapText="1"/>
    </xf>
    <xf numFmtId="0" fontId="2" fillId="9" borderId="5" xfId="0" applyFont="1" applyFill="1" applyBorder="1" applyAlignment="1" applyProtection="1">
      <alignment vertical="center" wrapText="1"/>
      <protection locked="0"/>
    </xf>
    <xf numFmtId="0" fontId="2" fillId="0" borderId="8" xfId="0" applyFont="1" applyBorder="1" applyAlignment="1" applyProtection="1">
      <alignment horizontal="justify" vertical="center" wrapText="1"/>
      <protection locked="0"/>
    </xf>
    <xf numFmtId="0" fontId="0" fillId="0" borderId="33" xfId="0" applyBorder="1" applyAlignment="1">
      <alignment horizontal="left" vertical="center" wrapText="1"/>
    </xf>
    <xf numFmtId="0" fontId="0" fillId="3" borderId="33" xfId="0" applyFill="1" applyBorder="1" applyAlignment="1">
      <alignment horizontal="left" vertical="center" wrapText="1"/>
    </xf>
    <xf numFmtId="0" fontId="68" fillId="0" borderId="33" xfId="5" applyFill="1" applyBorder="1" applyAlignment="1">
      <alignment horizontal="center" vertical="center" wrapText="1"/>
    </xf>
    <xf numFmtId="0" fontId="15" fillId="0" borderId="33" xfId="5" applyFont="1" applyFill="1" applyBorder="1" applyAlignment="1">
      <alignment horizontal="center" vertical="center" wrapText="1"/>
    </xf>
    <xf numFmtId="0" fontId="0" fillId="0" borderId="76" xfId="0" applyBorder="1" applyAlignment="1">
      <alignment horizontal="left" vertical="center" wrapText="1"/>
    </xf>
    <xf numFmtId="0" fontId="15" fillId="0" borderId="33" xfId="5" applyFont="1" applyFill="1" applyBorder="1" applyAlignment="1">
      <alignment horizontal="left" vertical="center" wrapText="1"/>
    </xf>
    <xf numFmtId="0" fontId="68" fillId="0" borderId="34" xfId="5" applyFill="1" applyBorder="1" applyAlignment="1">
      <alignment horizontal="center" vertical="center" wrapText="1"/>
    </xf>
    <xf numFmtId="0" fontId="0" fillId="0" borderId="33" xfId="0" applyBorder="1" applyAlignment="1">
      <alignment horizontal="left" vertical="center" wrapText="1"/>
    </xf>
    <xf numFmtId="0" fontId="0" fillId="0" borderId="33" xfId="0" applyBorder="1" applyAlignment="1">
      <alignment horizontal="center"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69" fillId="0" borderId="4" xfId="0" applyFont="1" applyBorder="1" applyAlignment="1" applyProtection="1">
      <alignment horizontal="center" vertical="center" wrapText="1"/>
      <protection locked="0"/>
    </xf>
    <xf numFmtId="0" fontId="69" fillId="0" borderId="8" xfId="0" applyFont="1" applyBorder="1" applyAlignment="1" applyProtection="1">
      <alignment horizontal="center" vertical="center" wrapText="1"/>
      <protection locked="0"/>
    </xf>
    <xf numFmtId="0" fontId="69" fillId="0" borderId="5" xfId="0"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0" fillId="0" borderId="75" xfId="0" applyBorder="1" applyAlignment="1">
      <alignment horizontal="center"/>
    </xf>
    <xf numFmtId="0" fontId="0" fillId="0" borderId="34" xfId="0" applyBorder="1" applyAlignment="1">
      <alignment horizontal="center"/>
    </xf>
    <xf numFmtId="0" fontId="0" fillId="0" borderId="75" xfId="0" applyBorder="1" applyAlignment="1">
      <alignment horizontal="center" vertical="center" wrapText="1"/>
    </xf>
    <xf numFmtId="0" fontId="0" fillId="0" borderId="34" xfId="0" applyBorder="1" applyAlignment="1">
      <alignment horizontal="center" vertical="center" wrapText="1"/>
    </xf>
    <xf numFmtId="14" fontId="0" fillId="0" borderId="75" xfId="0" applyNumberFormat="1" applyBorder="1" applyAlignment="1">
      <alignment horizontal="center" vertical="center" wrapText="1"/>
    </xf>
    <xf numFmtId="14" fontId="0" fillId="0" borderId="34" xfId="0" applyNumberFormat="1" applyBorder="1" applyAlignment="1">
      <alignment horizontal="center" vertical="center" wrapText="1"/>
    </xf>
    <xf numFmtId="0" fontId="48" fillId="0" borderId="75" xfId="0" applyFont="1" applyBorder="1" applyAlignment="1" applyProtection="1">
      <alignment horizontal="center" vertical="center" wrapText="1"/>
      <protection locked="0"/>
    </xf>
    <xf numFmtId="0" fontId="48" fillId="0" borderId="34" xfId="0" applyFont="1" applyBorder="1" applyAlignment="1" applyProtection="1">
      <alignment horizontal="center" vertical="center" wrapText="1"/>
      <protection locked="0"/>
    </xf>
    <xf numFmtId="0" fontId="0" fillId="0" borderId="75" xfId="0" applyBorder="1" applyAlignment="1">
      <alignment horizontal="center" vertical="center"/>
    </xf>
    <xf numFmtId="0" fontId="0" fillId="0" borderId="34" xfId="0" applyBorder="1" applyAlignment="1">
      <alignment horizontal="center" vertical="center"/>
    </xf>
    <xf numFmtId="1" fontId="65" fillId="0" borderId="75" xfId="0" applyNumberFormat="1" applyFont="1" applyBorder="1" applyAlignment="1">
      <alignment horizontal="center" vertical="center" wrapText="1"/>
    </xf>
    <xf numFmtId="1" fontId="65" fillId="0" borderId="34" xfId="0" applyNumberFormat="1" applyFont="1" applyBorder="1" applyAlignment="1">
      <alignment horizontal="center" vertical="center" wrapText="1"/>
    </xf>
    <xf numFmtId="0" fontId="0" fillId="0" borderId="75" xfId="0" applyBorder="1" applyAlignment="1">
      <alignment horizontal="left" vertical="center" wrapText="1"/>
    </xf>
    <xf numFmtId="0" fontId="0" fillId="0" borderId="79" xfId="0" applyBorder="1" applyAlignment="1">
      <alignment horizontal="left" vertical="center" wrapText="1"/>
    </xf>
    <xf numFmtId="0" fontId="0" fillId="0" borderId="79" xfId="0" applyBorder="1" applyAlignment="1">
      <alignment horizontal="center" vertical="center" wrapText="1"/>
    </xf>
    <xf numFmtId="0" fontId="0" fillId="0" borderId="34" xfId="0" applyBorder="1" applyAlignment="1">
      <alignment horizontal="left" vertical="center" wrapText="1"/>
    </xf>
    <xf numFmtId="0" fontId="15" fillId="0" borderId="75" xfId="5" applyFont="1" applyFill="1" applyBorder="1" applyAlignment="1">
      <alignment horizontal="center" vertical="center" wrapText="1"/>
    </xf>
    <xf numFmtId="0" fontId="15" fillId="0" borderId="34" xfId="5" applyFont="1" applyFill="1" applyBorder="1" applyAlignment="1">
      <alignment horizontal="center" vertical="center" wrapText="1"/>
    </xf>
    <xf numFmtId="0" fontId="59" fillId="18" borderId="33" xfId="0" applyFont="1" applyFill="1" applyBorder="1" applyAlignment="1">
      <alignment horizontal="center" vertical="center" wrapText="1"/>
    </xf>
    <xf numFmtId="0" fontId="59" fillId="0" borderId="33" xfId="0" applyFont="1" applyBorder="1" applyAlignment="1">
      <alignment horizontal="center" vertical="center" wrapText="1"/>
    </xf>
    <xf numFmtId="0" fontId="59" fillId="16" borderId="33" xfId="0" applyFont="1" applyFill="1" applyBorder="1" applyAlignment="1">
      <alignment horizontal="center" vertical="center" wrapText="1"/>
    </xf>
    <xf numFmtId="0" fontId="59" fillId="17" borderId="76" xfId="0" applyFont="1" applyFill="1" applyBorder="1" applyAlignment="1">
      <alignment horizontal="center" vertical="center" wrapText="1"/>
    </xf>
    <xf numFmtId="0" fontId="59" fillId="17" borderId="77" xfId="0" applyFont="1" applyFill="1" applyBorder="1" applyAlignment="1">
      <alignment horizontal="center" vertical="center" wrapText="1"/>
    </xf>
    <xf numFmtId="0" fontId="59" fillId="17" borderId="78" xfId="0" applyFont="1" applyFill="1" applyBorder="1" applyAlignment="1">
      <alignment horizontal="center" vertical="center" wrapText="1"/>
    </xf>
    <xf numFmtId="0" fontId="0" fillId="0" borderId="33" xfId="0" applyBorder="1" applyAlignment="1">
      <alignment horizontal="left" vertical="center" wrapText="1"/>
    </xf>
    <xf numFmtId="0" fontId="0" fillId="0" borderId="33" xfId="0" applyBorder="1" applyAlignment="1">
      <alignment horizontal="center"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0" fillId="0" borderId="0" xfId="0" applyAlignment="1">
      <alignment horizontal="left" vertical="center" wrapText="1"/>
    </xf>
    <xf numFmtId="0" fontId="60" fillId="0" borderId="0" xfId="0" applyFont="1" applyAlignment="1">
      <alignment horizontal="center" vertical="center"/>
    </xf>
    <xf numFmtId="0" fontId="59" fillId="0" borderId="75" xfId="0" applyFont="1" applyBorder="1" applyAlignment="1">
      <alignment horizontal="center" vertical="center"/>
    </xf>
    <xf numFmtId="0" fontId="59" fillId="0" borderId="34" xfId="0" applyFont="1" applyBorder="1" applyAlignment="1">
      <alignment horizontal="center" vertical="center"/>
    </xf>
    <xf numFmtId="0" fontId="59" fillId="0" borderId="33" xfId="0" applyFont="1" applyBorder="1" applyAlignment="1">
      <alignment horizontal="center"/>
    </xf>
    <xf numFmtId="0" fontId="59" fillId="0" borderId="33" xfId="0" applyFont="1" applyBorder="1" applyAlignment="1">
      <alignment horizontal="center" vertical="center"/>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116">
    <dxf>
      <fill>
        <patternFill>
          <bgColor rgb="FFFFFF99"/>
        </patternFill>
      </fill>
    </dxf>
    <dxf>
      <fill>
        <patternFill>
          <bgColor rgb="FFFFC000"/>
        </patternFill>
      </fill>
    </dxf>
    <dxf>
      <font>
        <color theme="0"/>
      </font>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theme="0"/>
      </font>
      <fill>
        <patternFill>
          <fgColor auto="1"/>
          <bgColor rgb="FFC00000"/>
        </patternFill>
      </fill>
    </dxf>
    <dxf>
      <fill>
        <patternFill>
          <fgColor auto="1"/>
          <bgColor rgb="FFE26B0A"/>
        </patternFill>
      </fill>
    </dxf>
    <dxf>
      <fill>
        <patternFill>
          <fgColor rgb="FFFFFF00"/>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eetMetadata" Target="metadata.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685801</xdr:colOff>
      <xdr:row>3</xdr:row>
      <xdr:rowOff>47626</xdr:rowOff>
    </xdr:from>
    <xdr:to>
      <xdr:col>4</xdr:col>
      <xdr:colOff>200026</xdr:colOff>
      <xdr:row>17</xdr:row>
      <xdr:rowOff>175462</xdr:rowOff>
    </xdr:to>
    <xdr:pic>
      <xdr:nvPicPr>
        <xdr:cNvPr id="2" name="Imagen 1">
          <a:extLst>
            <a:ext uri="{FF2B5EF4-FFF2-40B4-BE49-F238E27FC236}">
              <a16:creationId xmlns:a16="http://schemas.microsoft.com/office/drawing/2014/main" id="{FD995868-B709-4328-8327-6D5B0029AE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1" y="1400176"/>
          <a:ext cx="4705350" cy="2794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xdr:colOff>
      <xdr:row>31</xdr:row>
      <xdr:rowOff>133350</xdr:rowOff>
    </xdr:from>
    <xdr:to>
      <xdr:col>3</xdr:col>
      <xdr:colOff>1019174</xdr:colOff>
      <xdr:row>56</xdr:row>
      <xdr:rowOff>205987</xdr:rowOff>
    </xdr:to>
    <xdr:pic>
      <xdr:nvPicPr>
        <xdr:cNvPr id="3" name="Imagen 2">
          <a:extLst>
            <a:ext uri="{FF2B5EF4-FFF2-40B4-BE49-F238E27FC236}">
              <a16:creationId xmlns:a16="http://schemas.microsoft.com/office/drawing/2014/main" id="{4B06637F-8953-4A4B-ADAE-7B5391072D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3" y="9163050"/>
          <a:ext cx="5076821" cy="633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6" dataDxfId="5">
  <autoFilter ref="B209:C219" xr:uid="{00000000-0009-0000-0100-000001000000}"/>
  <tableColumns count="2">
    <tableColumn id="1" xr3:uid="{00000000-0010-0000-0000-000001000000}" name="Criterios" dataDxfId="4"/>
    <tableColumn id="2" xr3:uid="{00000000-0010-0000-0000-000002000000}" name="Subcriterios" dataDxfId="3"/>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50" zoomScaleNormal="150" workbookViewId="0">
      <selection activeCell="E25" sqref="E25:F25"/>
    </sheetView>
  </sheetViews>
  <sheetFormatPr baseColWidth="10" defaultColWidth="11.42578125" defaultRowHeight="15" x14ac:dyDescent="0.25"/>
  <cols>
    <col min="1" max="1" width="2.85546875" style="97" customWidth="1"/>
    <col min="2" max="3" width="24.7109375" style="97" customWidth="1"/>
    <col min="4" max="4" width="16" style="97" customWidth="1"/>
    <col min="5" max="5" width="24.7109375" style="97" customWidth="1"/>
    <col min="6" max="6" width="27.7109375" style="97" customWidth="1"/>
    <col min="7" max="8" width="24.7109375" style="97" customWidth="1"/>
    <col min="9" max="16384" width="11.42578125" style="97"/>
  </cols>
  <sheetData>
    <row r="1" spans="2:8" ht="15.75" thickBot="1" x14ac:dyDescent="0.3"/>
    <row r="2" spans="2:8" ht="18" x14ac:dyDescent="0.25">
      <c r="B2" s="189" t="s">
        <v>0</v>
      </c>
      <c r="C2" s="190"/>
      <c r="D2" s="190"/>
      <c r="E2" s="190"/>
      <c r="F2" s="190"/>
      <c r="G2" s="190"/>
      <c r="H2" s="191"/>
    </row>
    <row r="3" spans="2:8" x14ac:dyDescent="0.25">
      <c r="B3" s="98"/>
      <c r="C3" s="99"/>
      <c r="D3" s="99"/>
      <c r="E3" s="99"/>
      <c r="F3" s="99"/>
      <c r="G3" s="99"/>
      <c r="H3" s="100"/>
    </row>
    <row r="4" spans="2:8" ht="63" customHeight="1" x14ac:dyDescent="0.25">
      <c r="B4" s="192" t="s">
        <v>1</v>
      </c>
      <c r="C4" s="193"/>
      <c r="D4" s="193"/>
      <c r="E4" s="193"/>
      <c r="F4" s="193"/>
      <c r="G4" s="193"/>
      <c r="H4" s="194"/>
    </row>
    <row r="5" spans="2:8" ht="63" customHeight="1" x14ac:dyDescent="0.25">
      <c r="B5" s="195"/>
      <c r="C5" s="196"/>
      <c r="D5" s="196"/>
      <c r="E5" s="196"/>
      <c r="F5" s="196"/>
      <c r="G5" s="196"/>
      <c r="H5" s="197"/>
    </row>
    <row r="6" spans="2:8" ht="16.5" x14ac:dyDescent="0.25">
      <c r="B6" s="198" t="s">
        <v>2</v>
      </c>
      <c r="C6" s="199"/>
      <c r="D6" s="199"/>
      <c r="E6" s="199"/>
      <c r="F6" s="199"/>
      <c r="G6" s="199"/>
      <c r="H6" s="200"/>
    </row>
    <row r="7" spans="2:8" ht="95.25" customHeight="1" x14ac:dyDescent="0.25">
      <c r="B7" s="208" t="s">
        <v>3</v>
      </c>
      <c r="C7" s="209"/>
      <c r="D7" s="209"/>
      <c r="E7" s="209"/>
      <c r="F7" s="209"/>
      <c r="G7" s="209"/>
      <c r="H7" s="210"/>
    </row>
    <row r="8" spans="2:8" ht="16.5" x14ac:dyDescent="0.25">
      <c r="B8" s="134"/>
      <c r="C8" s="135"/>
      <c r="D8" s="135"/>
      <c r="E8" s="135"/>
      <c r="F8" s="135"/>
      <c r="G8" s="135"/>
      <c r="H8" s="136"/>
    </row>
    <row r="9" spans="2:8" ht="16.5" customHeight="1" x14ac:dyDescent="0.25">
      <c r="B9" s="201" t="s">
        <v>4</v>
      </c>
      <c r="C9" s="202"/>
      <c r="D9" s="202"/>
      <c r="E9" s="202"/>
      <c r="F9" s="202"/>
      <c r="G9" s="202"/>
      <c r="H9" s="203"/>
    </row>
    <row r="10" spans="2:8" ht="44.25" customHeight="1" x14ac:dyDescent="0.25">
      <c r="B10" s="201"/>
      <c r="C10" s="202"/>
      <c r="D10" s="202"/>
      <c r="E10" s="202"/>
      <c r="F10" s="202"/>
      <c r="G10" s="202"/>
      <c r="H10" s="203"/>
    </row>
    <row r="11" spans="2:8" ht="15.75" thickBot="1" x14ac:dyDescent="0.3">
      <c r="B11" s="123"/>
      <c r="C11" s="126"/>
      <c r="D11" s="131"/>
      <c r="E11" s="132"/>
      <c r="F11" s="132"/>
      <c r="G11" s="133"/>
      <c r="H11" s="127"/>
    </row>
    <row r="12" spans="2:8" ht="15.75" thickTop="1" x14ac:dyDescent="0.25">
      <c r="B12" s="123"/>
      <c r="C12" s="204" t="s">
        <v>5</v>
      </c>
      <c r="D12" s="205"/>
      <c r="E12" s="206" t="s">
        <v>6</v>
      </c>
      <c r="F12" s="207"/>
      <c r="G12" s="126"/>
      <c r="H12" s="127"/>
    </row>
    <row r="13" spans="2:8" ht="35.25" customHeight="1" x14ac:dyDescent="0.25">
      <c r="B13" s="123"/>
      <c r="C13" s="211" t="s">
        <v>7</v>
      </c>
      <c r="D13" s="212"/>
      <c r="E13" s="213" t="s">
        <v>8</v>
      </c>
      <c r="F13" s="214"/>
      <c r="G13" s="126"/>
      <c r="H13" s="127"/>
    </row>
    <row r="14" spans="2:8" ht="17.25" customHeight="1" x14ac:dyDescent="0.25">
      <c r="B14" s="123"/>
      <c r="C14" s="211" t="s">
        <v>9</v>
      </c>
      <c r="D14" s="212"/>
      <c r="E14" s="213" t="s">
        <v>10</v>
      </c>
      <c r="F14" s="214"/>
      <c r="G14" s="126"/>
      <c r="H14" s="127"/>
    </row>
    <row r="15" spans="2:8" ht="19.5" customHeight="1" x14ac:dyDescent="0.25">
      <c r="B15" s="123"/>
      <c r="C15" s="211" t="s">
        <v>11</v>
      </c>
      <c r="D15" s="212"/>
      <c r="E15" s="213" t="s">
        <v>12</v>
      </c>
      <c r="F15" s="214"/>
      <c r="G15" s="126"/>
      <c r="H15" s="127"/>
    </row>
    <row r="16" spans="2:8" ht="69.75" customHeight="1" x14ac:dyDescent="0.25">
      <c r="B16" s="123"/>
      <c r="C16" s="211" t="s">
        <v>13</v>
      </c>
      <c r="D16" s="212"/>
      <c r="E16" s="213" t="s">
        <v>14</v>
      </c>
      <c r="F16" s="214"/>
      <c r="G16" s="126"/>
      <c r="H16" s="127"/>
    </row>
    <row r="17" spans="2:8" ht="34.5" customHeight="1" x14ac:dyDescent="0.25">
      <c r="B17" s="123"/>
      <c r="C17" s="215" t="s">
        <v>15</v>
      </c>
      <c r="D17" s="216"/>
      <c r="E17" s="217" t="s">
        <v>16</v>
      </c>
      <c r="F17" s="218"/>
      <c r="G17" s="126"/>
      <c r="H17" s="127"/>
    </row>
    <row r="18" spans="2:8" ht="27.75" customHeight="1" x14ac:dyDescent="0.25">
      <c r="B18" s="123"/>
      <c r="C18" s="215" t="s">
        <v>17</v>
      </c>
      <c r="D18" s="216"/>
      <c r="E18" s="217" t="s">
        <v>18</v>
      </c>
      <c r="F18" s="218"/>
      <c r="G18" s="126"/>
      <c r="H18" s="127"/>
    </row>
    <row r="19" spans="2:8" ht="28.5" customHeight="1" x14ac:dyDescent="0.25">
      <c r="B19" s="123"/>
      <c r="C19" s="215" t="s">
        <v>19</v>
      </c>
      <c r="D19" s="216"/>
      <c r="E19" s="217" t="s">
        <v>20</v>
      </c>
      <c r="F19" s="218"/>
      <c r="G19" s="126"/>
      <c r="H19" s="127"/>
    </row>
    <row r="20" spans="2:8" ht="72.75" customHeight="1" x14ac:dyDescent="0.25">
      <c r="B20" s="123"/>
      <c r="C20" s="215" t="s">
        <v>21</v>
      </c>
      <c r="D20" s="216"/>
      <c r="E20" s="217" t="s">
        <v>22</v>
      </c>
      <c r="F20" s="218"/>
      <c r="G20" s="126"/>
      <c r="H20" s="127"/>
    </row>
    <row r="21" spans="2:8" ht="64.5" customHeight="1" x14ac:dyDescent="0.25">
      <c r="B21" s="123"/>
      <c r="C21" s="215" t="s">
        <v>23</v>
      </c>
      <c r="D21" s="216"/>
      <c r="E21" s="217" t="s">
        <v>24</v>
      </c>
      <c r="F21" s="218"/>
      <c r="G21" s="126"/>
      <c r="H21" s="127"/>
    </row>
    <row r="22" spans="2:8" ht="71.25" customHeight="1" x14ac:dyDescent="0.25">
      <c r="B22" s="123"/>
      <c r="C22" s="215" t="s">
        <v>25</v>
      </c>
      <c r="D22" s="216"/>
      <c r="E22" s="217" t="s">
        <v>26</v>
      </c>
      <c r="F22" s="218"/>
      <c r="G22" s="126"/>
      <c r="H22" s="127"/>
    </row>
    <row r="23" spans="2:8" ht="55.5" customHeight="1" x14ac:dyDescent="0.25">
      <c r="B23" s="123"/>
      <c r="C23" s="222" t="s">
        <v>27</v>
      </c>
      <c r="D23" s="223"/>
      <c r="E23" s="217" t="s">
        <v>28</v>
      </c>
      <c r="F23" s="218"/>
      <c r="G23" s="126"/>
      <c r="H23" s="127"/>
    </row>
    <row r="24" spans="2:8" ht="42" customHeight="1" x14ac:dyDescent="0.25">
      <c r="B24" s="123"/>
      <c r="C24" s="222" t="s">
        <v>29</v>
      </c>
      <c r="D24" s="223"/>
      <c r="E24" s="217" t="s">
        <v>30</v>
      </c>
      <c r="F24" s="218"/>
      <c r="G24" s="126"/>
      <c r="H24" s="127"/>
    </row>
    <row r="25" spans="2:8" ht="59.25" customHeight="1" x14ac:dyDescent="0.25">
      <c r="B25" s="123"/>
      <c r="C25" s="222" t="s">
        <v>31</v>
      </c>
      <c r="D25" s="223"/>
      <c r="E25" s="217" t="s">
        <v>32</v>
      </c>
      <c r="F25" s="218"/>
      <c r="G25" s="126"/>
      <c r="H25" s="127"/>
    </row>
    <row r="26" spans="2:8" ht="23.25" customHeight="1" x14ac:dyDescent="0.25">
      <c r="B26" s="123"/>
      <c r="C26" s="222" t="s">
        <v>33</v>
      </c>
      <c r="D26" s="223"/>
      <c r="E26" s="217" t="s">
        <v>34</v>
      </c>
      <c r="F26" s="218"/>
      <c r="G26" s="126"/>
      <c r="H26" s="127"/>
    </row>
    <row r="27" spans="2:8" ht="30.75" customHeight="1" x14ac:dyDescent="0.25">
      <c r="B27" s="123"/>
      <c r="C27" s="222" t="s">
        <v>35</v>
      </c>
      <c r="D27" s="223"/>
      <c r="E27" s="217" t="s">
        <v>36</v>
      </c>
      <c r="F27" s="218"/>
      <c r="G27" s="126"/>
      <c r="H27" s="127"/>
    </row>
    <row r="28" spans="2:8" ht="35.25" customHeight="1" x14ac:dyDescent="0.25">
      <c r="B28" s="123"/>
      <c r="C28" s="222" t="s">
        <v>37</v>
      </c>
      <c r="D28" s="223"/>
      <c r="E28" s="217" t="s">
        <v>38</v>
      </c>
      <c r="F28" s="218"/>
      <c r="G28" s="126"/>
      <c r="H28" s="127"/>
    </row>
    <row r="29" spans="2:8" ht="33" customHeight="1" x14ac:dyDescent="0.25">
      <c r="B29" s="123"/>
      <c r="C29" s="222" t="s">
        <v>37</v>
      </c>
      <c r="D29" s="223"/>
      <c r="E29" s="217" t="s">
        <v>38</v>
      </c>
      <c r="F29" s="218"/>
      <c r="G29" s="126"/>
      <c r="H29" s="127"/>
    </row>
    <row r="30" spans="2:8" ht="30" customHeight="1" x14ac:dyDescent="0.25">
      <c r="B30" s="123"/>
      <c r="C30" s="222" t="s">
        <v>39</v>
      </c>
      <c r="D30" s="223"/>
      <c r="E30" s="217" t="s">
        <v>40</v>
      </c>
      <c r="F30" s="218"/>
      <c r="G30" s="126"/>
      <c r="H30" s="127"/>
    </row>
    <row r="31" spans="2:8" ht="35.25" customHeight="1" x14ac:dyDescent="0.25">
      <c r="B31" s="123"/>
      <c r="C31" s="222" t="s">
        <v>41</v>
      </c>
      <c r="D31" s="223"/>
      <c r="E31" s="217" t="s">
        <v>42</v>
      </c>
      <c r="F31" s="218"/>
      <c r="G31" s="126"/>
      <c r="H31" s="127"/>
    </row>
    <row r="32" spans="2:8" ht="31.5" customHeight="1" x14ac:dyDescent="0.25">
      <c r="B32" s="123"/>
      <c r="C32" s="222" t="s">
        <v>43</v>
      </c>
      <c r="D32" s="223"/>
      <c r="E32" s="217" t="s">
        <v>44</v>
      </c>
      <c r="F32" s="218"/>
      <c r="G32" s="126"/>
      <c r="H32" s="127"/>
    </row>
    <row r="33" spans="2:8" ht="35.25" customHeight="1" x14ac:dyDescent="0.25">
      <c r="B33" s="123"/>
      <c r="C33" s="222" t="s">
        <v>45</v>
      </c>
      <c r="D33" s="223"/>
      <c r="E33" s="217" t="s">
        <v>46</v>
      </c>
      <c r="F33" s="218"/>
      <c r="G33" s="126"/>
      <c r="H33" s="127"/>
    </row>
    <row r="34" spans="2:8" ht="59.25" customHeight="1" x14ac:dyDescent="0.25">
      <c r="B34" s="123"/>
      <c r="C34" s="222" t="s">
        <v>47</v>
      </c>
      <c r="D34" s="223"/>
      <c r="E34" s="217" t="s">
        <v>48</v>
      </c>
      <c r="F34" s="218"/>
      <c r="G34" s="126"/>
      <c r="H34" s="127"/>
    </row>
    <row r="35" spans="2:8" ht="29.25" customHeight="1" x14ac:dyDescent="0.25">
      <c r="B35" s="123"/>
      <c r="C35" s="222" t="s">
        <v>49</v>
      </c>
      <c r="D35" s="223"/>
      <c r="E35" s="217" t="s">
        <v>50</v>
      </c>
      <c r="F35" s="218"/>
      <c r="G35" s="126"/>
      <c r="H35" s="127"/>
    </row>
    <row r="36" spans="2:8" ht="82.5" customHeight="1" x14ac:dyDescent="0.25">
      <c r="B36" s="123"/>
      <c r="C36" s="222" t="s">
        <v>51</v>
      </c>
      <c r="D36" s="223"/>
      <c r="E36" s="217" t="s">
        <v>52</v>
      </c>
      <c r="F36" s="218"/>
      <c r="G36" s="126"/>
      <c r="H36" s="127"/>
    </row>
    <row r="37" spans="2:8" ht="46.5" customHeight="1" x14ac:dyDescent="0.25">
      <c r="B37" s="123"/>
      <c r="C37" s="222" t="s">
        <v>53</v>
      </c>
      <c r="D37" s="223"/>
      <c r="E37" s="217" t="s">
        <v>54</v>
      </c>
      <c r="F37" s="218"/>
      <c r="G37" s="126"/>
      <c r="H37" s="127"/>
    </row>
    <row r="38" spans="2:8" ht="6.75" customHeight="1" thickBot="1" x14ac:dyDescent="0.3">
      <c r="B38" s="123"/>
      <c r="C38" s="224"/>
      <c r="D38" s="225"/>
      <c r="E38" s="226"/>
      <c r="F38" s="227"/>
      <c r="G38" s="126"/>
      <c r="H38" s="127"/>
    </row>
    <row r="39" spans="2:8" ht="15.75" thickTop="1" x14ac:dyDescent="0.25">
      <c r="B39" s="123"/>
      <c r="C39" s="124"/>
      <c r="D39" s="124"/>
      <c r="E39" s="125"/>
      <c r="F39" s="125"/>
      <c r="G39" s="126"/>
      <c r="H39" s="127"/>
    </row>
    <row r="40" spans="2:8" ht="21" customHeight="1" x14ac:dyDescent="0.25">
      <c r="B40" s="219" t="s">
        <v>55</v>
      </c>
      <c r="C40" s="220"/>
      <c r="D40" s="220"/>
      <c r="E40" s="220"/>
      <c r="F40" s="220"/>
      <c r="G40" s="220"/>
      <c r="H40" s="221"/>
    </row>
    <row r="41" spans="2:8" ht="20.25" customHeight="1" x14ac:dyDescent="0.25">
      <c r="B41" s="219" t="s">
        <v>56</v>
      </c>
      <c r="C41" s="220"/>
      <c r="D41" s="220"/>
      <c r="E41" s="220"/>
      <c r="F41" s="220"/>
      <c r="G41" s="220"/>
      <c r="H41" s="221"/>
    </row>
    <row r="42" spans="2:8" ht="20.25" customHeight="1" x14ac:dyDescent="0.25">
      <c r="B42" s="219" t="s">
        <v>57</v>
      </c>
      <c r="C42" s="220"/>
      <c r="D42" s="220"/>
      <c r="E42" s="220"/>
      <c r="F42" s="220"/>
      <c r="G42" s="220"/>
      <c r="H42" s="221"/>
    </row>
    <row r="43" spans="2:8" ht="20.25" customHeight="1" x14ac:dyDescent="0.25">
      <c r="B43" s="219" t="s">
        <v>58</v>
      </c>
      <c r="C43" s="220"/>
      <c r="D43" s="220"/>
      <c r="E43" s="220"/>
      <c r="F43" s="220"/>
      <c r="G43" s="220"/>
      <c r="H43" s="221"/>
    </row>
    <row r="44" spans="2:8" x14ac:dyDescent="0.25">
      <c r="B44" s="219" t="s">
        <v>59</v>
      </c>
      <c r="C44" s="220"/>
      <c r="D44" s="220"/>
      <c r="E44" s="220"/>
      <c r="F44" s="220"/>
      <c r="G44" s="220"/>
      <c r="H44" s="221"/>
    </row>
    <row r="45" spans="2:8" ht="15.75" thickBot="1" x14ac:dyDescent="0.3">
      <c r="B45" s="128"/>
      <c r="C45" s="129"/>
      <c r="D45" s="129"/>
      <c r="E45" s="129"/>
      <c r="F45" s="129"/>
      <c r="G45" s="129"/>
      <c r="H45" s="130"/>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4" zoomScaleNormal="100" workbookViewId="0">
      <selection activeCell="H9" sqref="H9"/>
    </sheetView>
  </sheetViews>
  <sheetFormatPr baseColWidth="10" defaultColWidth="14.28515625" defaultRowHeight="12.75" x14ac:dyDescent="0.2"/>
  <cols>
    <col min="1" max="2" width="14.28515625" style="102"/>
    <col min="3" max="3" width="17" style="102" customWidth="1"/>
    <col min="4" max="4" width="14.28515625" style="102"/>
    <col min="5" max="5" width="46" style="102" customWidth="1"/>
    <col min="6" max="16384" width="14.28515625" style="102"/>
  </cols>
  <sheetData>
    <row r="1" spans="2:6" ht="24" customHeight="1" thickBot="1" x14ac:dyDescent="0.25">
      <c r="B1" s="453" t="s">
        <v>247</v>
      </c>
      <c r="C1" s="454"/>
      <c r="D1" s="454"/>
      <c r="E1" s="454"/>
      <c r="F1" s="455"/>
    </row>
    <row r="2" spans="2:6" ht="16.5" thickBot="1" x14ac:dyDescent="0.3">
      <c r="B2" s="103"/>
      <c r="C2" s="103"/>
      <c r="D2" s="103"/>
      <c r="E2" s="103"/>
      <c r="F2" s="103"/>
    </row>
    <row r="3" spans="2:6" ht="16.5" thickBot="1" x14ac:dyDescent="0.25">
      <c r="B3" s="457" t="s">
        <v>248</v>
      </c>
      <c r="C3" s="458"/>
      <c r="D3" s="458"/>
      <c r="E3" s="115" t="s">
        <v>249</v>
      </c>
      <c r="F3" s="116" t="s">
        <v>250</v>
      </c>
    </row>
    <row r="4" spans="2:6" ht="31.5" x14ac:dyDescent="0.2">
      <c r="B4" s="459" t="s">
        <v>251</v>
      </c>
      <c r="C4" s="461" t="s">
        <v>104</v>
      </c>
      <c r="D4" s="104" t="s">
        <v>116</v>
      </c>
      <c r="E4" s="105" t="s">
        <v>252</v>
      </c>
      <c r="F4" s="106">
        <v>0.25</v>
      </c>
    </row>
    <row r="5" spans="2:6" ht="47.25" x14ac:dyDescent="0.2">
      <c r="B5" s="460"/>
      <c r="C5" s="462"/>
      <c r="D5" s="107" t="s">
        <v>130</v>
      </c>
      <c r="E5" s="108" t="s">
        <v>253</v>
      </c>
      <c r="F5" s="109">
        <v>0.15</v>
      </c>
    </row>
    <row r="6" spans="2:6" ht="47.25" x14ac:dyDescent="0.2">
      <c r="B6" s="460"/>
      <c r="C6" s="462"/>
      <c r="D6" s="107" t="s">
        <v>254</v>
      </c>
      <c r="E6" s="108" t="s">
        <v>255</v>
      </c>
      <c r="F6" s="109">
        <v>0.1</v>
      </c>
    </row>
    <row r="7" spans="2:6" ht="63" x14ac:dyDescent="0.2">
      <c r="B7" s="460"/>
      <c r="C7" s="462" t="s">
        <v>105</v>
      </c>
      <c r="D7" s="107" t="s">
        <v>256</v>
      </c>
      <c r="E7" s="108" t="s">
        <v>257</v>
      </c>
      <c r="F7" s="109">
        <v>0.25</v>
      </c>
    </row>
    <row r="8" spans="2:6" ht="31.5" x14ac:dyDescent="0.2">
      <c r="B8" s="460"/>
      <c r="C8" s="462"/>
      <c r="D8" s="107" t="s">
        <v>117</v>
      </c>
      <c r="E8" s="108" t="s">
        <v>258</v>
      </c>
      <c r="F8" s="109">
        <v>0.15</v>
      </c>
    </row>
    <row r="9" spans="2:6" ht="47.25" x14ac:dyDescent="0.2">
      <c r="B9" s="460" t="s">
        <v>259</v>
      </c>
      <c r="C9" s="462" t="s">
        <v>107</v>
      </c>
      <c r="D9" s="107" t="s">
        <v>128</v>
      </c>
      <c r="E9" s="108" t="s">
        <v>260</v>
      </c>
      <c r="F9" s="110" t="s">
        <v>261</v>
      </c>
    </row>
    <row r="10" spans="2:6" ht="63" x14ac:dyDescent="0.2">
      <c r="B10" s="460"/>
      <c r="C10" s="462"/>
      <c r="D10" s="107" t="s">
        <v>118</v>
      </c>
      <c r="E10" s="108" t="s">
        <v>262</v>
      </c>
      <c r="F10" s="110" t="s">
        <v>261</v>
      </c>
    </row>
    <row r="11" spans="2:6" ht="47.25" x14ac:dyDescent="0.2">
      <c r="B11" s="460"/>
      <c r="C11" s="462" t="s">
        <v>108</v>
      </c>
      <c r="D11" s="107" t="s">
        <v>119</v>
      </c>
      <c r="E11" s="108" t="s">
        <v>263</v>
      </c>
      <c r="F11" s="110" t="s">
        <v>261</v>
      </c>
    </row>
    <row r="12" spans="2:6" ht="47.25" x14ac:dyDescent="0.2">
      <c r="B12" s="460"/>
      <c r="C12" s="462"/>
      <c r="D12" s="107" t="s">
        <v>264</v>
      </c>
      <c r="E12" s="108" t="s">
        <v>265</v>
      </c>
      <c r="F12" s="110" t="s">
        <v>261</v>
      </c>
    </row>
    <row r="13" spans="2:6" ht="31.5" x14ac:dyDescent="0.2">
      <c r="B13" s="460"/>
      <c r="C13" s="462" t="s">
        <v>109</v>
      </c>
      <c r="D13" s="107" t="s">
        <v>120</v>
      </c>
      <c r="E13" s="108" t="s">
        <v>266</v>
      </c>
      <c r="F13" s="110" t="s">
        <v>261</v>
      </c>
    </row>
    <row r="14" spans="2:6" ht="32.25" thickBot="1" x14ac:dyDescent="0.25">
      <c r="B14" s="463"/>
      <c r="C14" s="464"/>
      <c r="D14" s="111" t="s">
        <v>267</v>
      </c>
      <c r="E14" s="112" t="s">
        <v>268</v>
      </c>
      <c r="F14" s="113" t="s">
        <v>261</v>
      </c>
    </row>
    <row r="15" spans="2:6" ht="49.5" customHeight="1" x14ac:dyDescent="0.2">
      <c r="B15" s="456" t="s">
        <v>269</v>
      </c>
      <c r="C15" s="456"/>
      <c r="D15" s="456"/>
      <c r="E15" s="456"/>
      <c r="F15" s="456"/>
    </row>
    <row r="16" spans="2:6" ht="27" customHeight="1" x14ac:dyDescent="0.25">
      <c r="B16" s="11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499984740745262"/>
  </sheetPr>
  <dimension ref="B2:M58"/>
  <sheetViews>
    <sheetView topLeftCell="B35" zoomScale="110" zoomScaleNormal="110" workbookViewId="0">
      <selection activeCell="N53" sqref="N53"/>
    </sheetView>
  </sheetViews>
  <sheetFormatPr baseColWidth="10" defaultColWidth="11.42578125" defaultRowHeight="15" x14ac:dyDescent="0.25"/>
  <cols>
    <col min="2" max="2" width="15.85546875" customWidth="1"/>
    <col min="3" max="3" width="45" customWidth="1"/>
    <col min="4" max="4" width="17" customWidth="1"/>
    <col min="5" max="5" width="4.140625" customWidth="1"/>
    <col min="6" max="13" width="8.28515625" style="139" customWidth="1"/>
  </cols>
  <sheetData>
    <row r="2" spans="2:13" x14ac:dyDescent="0.25">
      <c r="B2" s="138" t="s">
        <v>270</v>
      </c>
    </row>
    <row r="3" spans="2:13" ht="76.5" customHeight="1" x14ac:dyDescent="0.25">
      <c r="B3" s="465" t="s">
        <v>271</v>
      </c>
      <c r="C3" s="465"/>
      <c r="D3" s="465"/>
      <c r="E3" s="465"/>
      <c r="F3" s="465"/>
      <c r="G3" s="465"/>
      <c r="H3" s="465"/>
      <c r="I3" s="465"/>
      <c r="J3" s="465"/>
      <c r="K3"/>
      <c r="L3"/>
      <c r="M3"/>
    </row>
    <row r="20" spans="2:5" x14ac:dyDescent="0.25">
      <c r="B20" s="138" t="s">
        <v>272</v>
      </c>
    </row>
    <row r="22" spans="2:5" ht="20.25" x14ac:dyDescent="0.25">
      <c r="B22" s="466" t="s">
        <v>199</v>
      </c>
      <c r="C22" s="466"/>
      <c r="D22" s="466"/>
      <c r="E22" s="140"/>
    </row>
    <row r="23" spans="2:5" ht="21" x14ac:dyDescent="0.35">
      <c r="B23" s="141"/>
      <c r="C23" s="141"/>
      <c r="D23" s="141"/>
      <c r="E23" s="141"/>
    </row>
    <row r="24" spans="2:5" ht="20.25" x14ac:dyDescent="0.25">
      <c r="B24" s="142"/>
      <c r="C24" s="143" t="s">
        <v>200</v>
      </c>
      <c r="D24" s="143" t="s">
        <v>182</v>
      </c>
      <c r="E24" s="143"/>
    </row>
    <row r="25" spans="2:5" ht="60.75" x14ac:dyDescent="0.25">
      <c r="B25" s="144" t="s">
        <v>201</v>
      </c>
      <c r="C25" s="145" t="s">
        <v>202</v>
      </c>
      <c r="D25" s="146">
        <v>0.2</v>
      </c>
      <c r="E25" s="147"/>
    </row>
    <row r="26" spans="2:5" ht="40.5" x14ac:dyDescent="0.25">
      <c r="B26" s="148" t="s">
        <v>203</v>
      </c>
      <c r="C26" s="149" t="s">
        <v>204</v>
      </c>
      <c r="D26" s="150">
        <v>0.4</v>
      </c>
      <c r="E26" s="147"/>
    </row>
    <row r="27" spans="2:5" ht="40.5" x14ac:dyDescent="0.25">
      <c r="B27" s="151" t="s">
        <v>205</v>
      </c>
      <c r="C27" s="149" t="s">
        <v>206</v>
      </c>
      <c r="D27" s="150">
        <v>0.6</v>
      </c>
      <c r="E27" s="147"/>
    </row>
    <row r="28" spans="2:5" ht="60.75" x14ac:dyDescent="0.25">
      <c r="B28" s="152" t="s">
        <v>207</v>
      </c>
      <c r="C28" s="149" t="s">
        <v>208</v>
      </c>
      <c r="D28" s="150">
        <v>0.8</v>
      </c>
      <c r="E28" s="147"/>
    </row>
    <row r="29" spans="2:5" ht="40.5" x14ac:dyDescent="0.25">
      <c r="B29" s="153" t="s">
        <v>209</v>
      </c>
      <c r="C29" s="149" t="s">
        <v>210</v>
      </c>
      <c r="D29" s="150">
        <v>1</v>
      </c>
      <c r="E29" s="147"/>
    </row>
    <row r="31" spans="2:5" x14ac:dyDescent="0.25">
      <c r="B31" s="138" t="s">
        <v>273</v>
      </c>
    </row>
    <row r="33" spans="5:13" x14ac:dyDescent="0.25">
      <c r="E33" s="467" t="s">
        <v>274</v>
      </c>
      <c r="F33" s="469" t="s">
        <v>275</v>
      </c>
      <c r="G33" s="469"/>
      <c r="H33" s="469" t="s">
        <v>276</v>
      </c>
      <c r="I33" s="469"/>
      <c r="J33" s="469" t="s">
        <v>277</v>
      </c>
      <c r="K33" s="469"/>
      <c r="L33" s="469" t="s">
        <v>278</v>
      </c>
      <c r="M33" s="469"/>
    </row>
    <row r="34" spans="5:13" x14ac:dyDescent="0.25">
      <c r="E34" s="468"/>
      <c r="F34" s="154" t="s">
        <v>279</v>
      </c>
      <c r="G34" s="154" t="s">
        <v>280</v>
      </c>
      <c r="H34" s="154" t="s">
        <v>279</v>
      </c>
      <c r="I34" s="154" t="s">
        <v>280</v>
      </c>
      <c r="J34" s="154" t="s">
        <v>279</v>
      </c>
      <c r="K34" s="154" t="s">
        <v>280</v>
      </c>
      <c r="L34" s="154" t="s">
        <v>279</v>
      </c>
      <c r="M34" s="154" t="s">
        <v>280</v>
      </c>
    </row>
    <row r="35" spans="5:13" ht="18.75" customHeight="1" x14ac:dyDescent="0.25">
      <c r="E35" s="155">
        <v>1</v>
      </c>
      <c r="F35" s="156"/>
      <c r="G35" s="156"/>
      <c r="H35" s="156"/>
      <c r="I35" s="156"/>
      <c r="J35" s="156"/>
      <c r="K35" s="156"/>
      <c r="L35" s="156" t="s">
        <v>295</v>
      </c>
      <c r="M35" s="156"/>
    </row>
    <row r="36" spans="5:13" ht="18.75" customHeight="1" x14ac:dyDescent="0.25">
      <c r="E36" s="155">
        <v>2</v>
      </c>
      <c r="F36" s="156"/>
      <c r="G36" s="156"/>
      <c r="H36" s="156"/>
      <c r="I36" s="156"/>
      <c r="J36" s="156"/>
      <c r="K36" s="156"/>
      <c r="L36" s="156"/>
      <c r="M36" s="156" t="s">
        <v>295</v>
      </c>
    </row>
    <row r="37" spans="5:13" ht="18.75" customHeight="1" x14ac:dyDescent="0.25">
      <c r="E37" s="155">
        <v>3</v>
      </c>
      <c r="F37" s="156"/>
      <c r="G37" s="156"/>
      <c r="H37" s="156"/>
      <c r="I37" s="156"/>
      <c r="J37" s="156"/>
      <c r="K37" s="156"/>
      <c r="L37" s="156" t="s">
        <v>295</v>
      </c>
      <c r="M37" s="156"/>
    </row>
    <row r="38" spans="5:13" ht="18.75" customHeight="1" x14ac:dyDescent="0.25">
      <c r="E38" s="155">
        <v>4</v>
      </c>
      <c r="F38" s="156"/>
      <c r="G38" s="156"/>
      <c r="H38" s="156"/>
      <c r="I38" s="156"/>
      <c r="J38" s="156"/>
      <c r="K38" s="156"/>
      <c r="L38" s="156" t="s">
        <v>295</v>
      </c>
      <c r="M38" s="156"/>
    </row>
    <row r="39" spans="5:13" ht="18.75" customHeight="1" x14ac:dyDescent="0.25">
      <c r="E39" s="155">
        <v>5</v>
      </c>
      <c r="F39" s="156"/>
      <c r="G39" s="156"/>
      <c r="H39" s="156"/>
      <c r="I39" s="156"/>
      <c r="J39" s="156"/>
      <c r="K39" s="156"/>
      <c r="L39" s="156" t="s">
        <v>295</v>
      </c>
      <c r="M39" s="156"/>
    </row>
    <row r="40" spans="5:13" ht="18.75" customHeight="1" x14ac:dyDescent="0.25">
      <c r="E40" s="155">
        <v>6</v>
      </c>
      <c r="F40" s="156"/>
      <c r="G40" s="156"/>
      <c r="H40" s="156"/>
      <c r="I40" s="156"/>
      <c r="J40" s="156"/>
      <c r="K40" s="156"/>
      <c r="L40" s="156" t="s">
        <v>295</v>
      </c>
      <c r="M40" s="156"/>
    </row>
    <row r="41" spans="5:13" ht="17.25" customHeight="1" x14ac:dyDescent="0.25">
      <c r="E41" s="155">
        <v>7</v>
      </c>
      <c r="F41" s="156"/>
      <c r="G41" s="156"/>
      <c r="H41" s="156"/>
      <c r="I41" s="156"/>
      <c r="J41" s="156"/>
      <c r="K41" s="156"/>
      <c r="L41" s="156" t="s">
        <v>295</v>
      </c>
      <c r="M41" s="156"/>
    </row>
    <row r="42" spans="5:13" ht="27.75" customHeight="1" x14ac:dyDescent="0.25">
      <c r="E42" s="155">
        <v>8</v>
      </c>
      <c r="F42" s="156"/>
      <c r="G42" s="156"/>
      <c r="H42" s="156"/>
      <c r="I42" s="156"/>
      <c r="J42" s="156"/>
      <c r="K42" s="156"/>
      <c r="L42" s="156" t="s">
        <v>295</v>
      </c>
      <c r="M42" s="156"/>
    </row>
    <row r="43" spans="5:13" ht="18.75" customHeight="1" x14ac:dyDescent="0.25">
      <c r="E43" s="155">
        <v>9</v>
      </c>
      <c r="F43" s="156"/>
      <c r="G43" s="156"/>
      <c r="H43" s="156"/>
      <c r="I43" s="156"/>
      <c r="J43" s="156"/>
      <c r="K43" s="156"/>
      <c r="L43" s="156"/>
      <c r="M43" s="156" t="s">
        <v>295</v>
      </c>
    </row>
    <row r="44" spans="5:13" ht="18.75" customHeight="1" x14ac:dyDescent="0.25">
      <c r="E44" s="155">
        <v>10</v>
      </c>
      <c r="F44" s="156"/>
      <c r="G44" s="156"/>
      <c r="H44" s="156"/>
      <c r="I44" s="156"/>
      <c r="J44" s="156"/>
      <c r="K44" s="156"/>
      <c r="L44" s="156" t="s">
        <v>295</v>
      </c>
      <c r="M44" s="156"/>
    </row>
    <row r="45" spans="5:13" ht="17.25" customHeight="1" x14ac:dyDescent="0.25">
      <c r="E45" s="155">
        <v>11</v>
      </c>
      <c r="F45" s="156"/>
      <c r="G45" s="156"/>
      <c r="H45" s="156"/>
      <c r="I45" s="156"/>
      <c r="J45" s="156"/>
      <c r="K45" s="156"/>
      <c r="L45" s="156" t="s">
        <v>295</v>
      </c>
      <c r="M45" s="156"/>
    </row>
    <row r="46" spans="5:13" ht="18.75" customHeight="1" x14ac:dyDescent="0.25">
      <c r="E46" s="155">
        <v>12</v>
      </c>
      <c r="F46" s="156"/>
      <c r="G46" s="156"/>
      <c r="H46" s="156"/>
      <c r="I46" s="156"/>
      <c r="J46" s="156"/>
      <c r="K46" s="156"/>
      <c r="L46" s="156" t="s">
        <v>295</v>
      </c>
      <c r="M46" s="156"/>
    </row>
    <row r="47" spans="5:13" ht="18.75" customHeight="1" x14ac:dyDescent="0.25">
      <c r="E47" s="155">
        <v>13</v>
      </c>
      <c r="F47" s="156"/>
      <c r="G47" s="156"/>
      <c r="H47" s="156"/>
      <c r="I47" s="156"/>
      <c r="J47" s="156"/>
      <c r="K47" s="156"/>
      <c r="L47" s="156" t="s">
        <v>295</v>
      </c>
      <c r="M47" s="156"/>
    </row>
    <row r="48" spans="5:13" ht="18.75" customHeight="1" x14ac:dyDescent="0.25">
      <c r="E48" s="155">
        <v>14</v>
      </c>
      <c r="F48" s="156"/>
      <c r="G48" s="156"/>
      <c r="H48" s="156"/>
      <c r="I48" s="156"/>
      <c r="J48" s="156"/>
      <c r="K48" s="156"/>
      <c r="L48" s="156" t="s">
        <v>295</v>
      </c>
      <c r="M48" s="156"/>
    </row>
    <row r="49" spans="5:13" ht="18.75" customHeight="1" x14ac:dyDescent="0.25">
      <c r="E49" s="155">
        <v>15</v>
      </c>
      <c r="F49" s="156"/>
      <c r="G49" s="156"/>
      <c r="H49" s="156"/>
      <c r="I49" s="156"/>
      <c r="J49" s="156"/>
      <c r="K49" s="156"/>
      <c r="L49" s="156" t="s">
        <v>295</v>
      </c>
      <c r="M49" s="156"/>
    </row>
    <row r="50" spans="5:13" ht="18" customHeight="1" x14ac:dyDescent="0.25">
      <c r="E50" s="155">
        <v>16</v>
      </c>
      <c r="F50" s="156"/>
      <c r="G50" s="156"/>
      <c r="H50" s="156"/>
      <c r="I50" s="156"/>
      <c r="J50" s="156"/>
      <c r="K50" s="156"/>
      <c r="L50" s="156" t="s">
        <v>295</v>
      </c>
      <c r="M50" s="156"/>
    </row>
    <row r="51" spans="5:13" ht="18.75" customHeight="1" x14ac:dyDescent="0.25">
      <c r="E51" s="155">
        <v>17</v>
      </c>
      <c r="F51" s="156"/>
      <c r="G51" s="156"/>
      <c r="H51" s="156"/>
      <c r="I51" s="156"/>
      <c r="J51" s="156"/>
      <c r="K51" s="156"/>
      <c r="L51" s="156" t="s">
        <v>295</v>
      </c>
      <c r="M51" s="156"/>
    </row>
    <row r="52" spans="5:13" ht="18.75" customHeight="1" x14ac:dyDescent="0.25">
      <c r="E52" s="155">
        <v>18</v>
      </c>
      <c r="F52" s="156"/>
      <c r="G52" s="156"/>
      <c r="H52" s="156"/>
      <c r="I52" s="156"/>
      <c r="J52" s="156"/>
      <c r="K52" s="156"/>
      <c r="L52" s="156" t="s">
        <v>295</v>
      </c>
      <c r="M52" s="156"/>
    </row>
    <row r="53" spans="5:13" ht="18.75" customHeight="1" x14ac:dyDescent="0.25">
      <c r="E53" s="155">
        <v>19</v>
      </c>
      <c r="F53" s="156"/>
      <c r="G53" s="156"/>
      <c r="H53" s="156"/>
      <c r="I53" s="156"/>
      <c r="J53" s="156"/>
      <c r="K53" s="156"/>
      <c r="L53" s="156"/>
      <c r="M53" s="156" t="s">
        <v>295</v>
      </c>
    </row>
    <row r="54" spans="5:13" ht="48.75" customHeight="1" x14ac:dyDescent="0.25">
      <c r="F54" s="157">
        <f>COUNTIF(F35:F53,"X")</f>
        <v>0</v>
      </c>
      <c r="G54" s="157"/>
      <c r="H54" s="157">
        <f>COUNTIF(H35:H53,"X")</f>
        <v>0</v>
      </c>
      <c r="I54" s="157"/>
      <c r="J54" s="157">
        <f>COUNTIF(J35:J53,"X")</f>
        <v>0</v>
      </c>
      <c r="K54" s="157"/>
      <c r="L54" s="157">
        <f>COUNTIF(L35:L53,"X")</f>
        <v>16</v>
      </c>
      <c r="M54" s="156"/>
    </row>
    <row r="55" spans="5:13" ht="18.75" customHeight="1" x14ac:dyDescent="0.25">
      <c r="F55" s="470" t="str">
        <f>IF(F54&gt;=12,"Catastrófico",IF(F54&gt;=6,"Mayor","Moderado"))</f>
        <v>Moderado</v>
      </c>
      <c r="G55" s="470"/>
      <c r="H55" s="470" t="str">
        <f>IF(H54&gt;=12,"Catastrófico",IF(H54&gt;=6,"Mayor","Moderado"))</f>
        <v>Moderado</v>
      </c>
      <c r="I55" s="470"/>
      <c r="J55" s="470" t="str">
        <f>IF(J54&gt;=12,"Catastrófico",IF(J54&gt;=6,"Mayor","Moderado"))</f>
        <v>Moderado</v>
      </c>
      <c r="K55" s="470"/>
      <c r="L55" s="470" t="str">
        <f>IF(L54&gt;=12,"Catastrófico",IF(L54&gt;=6,"Mayor","Moderado"))</f>
        <v>Catastrófico</v>
      </c>
      <c r="M55" s="470"/>
    </row>
    <row r="56" spans="5:13" ht="18.75" customHeight="1" x14ac:dyDescent="0.25"/>
    <row r="57" spans="5:13" ht="18.75" customHeight="1" x14ac:dyDescent="0.25"/>
    <row r="58" spans="5:13" ht="18.75" customHeight="1" x14ac:dyDescent="0.25"/>
  </sheetData>
  <mergeCells count="11">
    <mergeCell ref="L33:M33"/>
    <mergeCell ref="F55:G55"/>
    <mergeCell ref="H55:I55"/>
    <mergeCell ref="J55:K55"/>
    <mergeCell ref="L55:M55"/>
    <mergeCell ref="B3:J3"/>
    <mergeCell ref="B22:D22"/>
    <mergeCell ref="E33:E34"/>
    <mergeCell ref="F33:G33"/>
    <mergeCell ref="H33:I33"/>
    <mergeCell ref="J33:K33"/>
  </mergeCells>
  <conditionalFormatting sqref="F55:M55">
    <cfRule type="containsText" dxfId="2" priority="1" operator="containsText" text="Catastrófico">
      <formula>NOT(ISERROR(SEARCH("Catastrófico",F55)))</formula>
    </cfRule>
    <cfRule type="containsText" dxfId="1" priority="2" operator="containsText" text="Mayor">
      <formula>NOT(ISERROR(SEARCH("Mayor",F55)))</formula>
    </cfRule>
    <cfRule type="containsText" dxfId="0" priority="3" operator="containsText" text="Moderado">
      <formula>NOT(ISERROR(SEARCH("Moderado",F55)))</formula>
    </cfRule>
  </conditionalFormatting>
  <pageMargins left="0.7" right="0.7" top="0.75" bottom="0.75" header="0.3" footer="0.3"/>
  <pageSetup paperSize="9" orientation="portrait" verticalDpi="597"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123</v>
      </c>
      <c r="E2" t="s">
        <v>132</v>
      </c>
    </row>
    <row r="3" spans="2:5" x14ac:dyDescent="0.25">
      <c r="B3" t="s">
        <v>281</v>
      </c>
      <c r="E3" t="s">
        <v>110</v>
      </c>
    </row>
    <row r="4" spans="2:5" x14ac:dyDescent="0.25">
      <c r="B4" t="s">
        <v>282</v>
      </c>
      <c r="E4" t="s">
        <v>283</v>
      </c>
    </row>
    <row r="5" spans="2:5" x14ac:dyDescent="0.25">
      <c r="B5" t="s">
        <v>121</v>
      </c>
    </row>
    <row r="8" spans="2:5" x14ac:dyDescent="0.25">
      <c r="B8" t="s">
        <v>284</v>
      </c>
    </row>
    <row r="9" spans="2:5" x14ac:dyDescent="0.25">
      <c r="B9" t="s">
        <v>285</v>
      </c>
    </row>
    <row r="10" spans="2:5" x14ac:dyDescent="0.25">
      <c r="B10" t="s">
        <v>151</v>
      </c>
    </row>
    <row r="13" spans="2:5" x14ac:dyDescent="0.25">
      <c r="B13" t="s">
        <v>286</v>
      </c>
    </row>
    <row r="14" spans="2:5" x14ac:dyDescent="0.25">
      <c r="B14" t="s">
        <v>113</v>
      </c>
    </row>
    <row r="15" spans="2:5" x14ac:dyDescent="0.25">
      <c r="B15" t="s">
        <v>287</v>
      </c>
    </row>
    <row r="16" spans="2:5" x14ac:dyDescent="0.25">
      <c r="B16" t="s">
        <v>288</v>
      </c>
    </row>
    <row r="17" spans="2:2" x14ac:dyDescent="0.25">
      <c r="B17" t="s">
        <v>140</v>
      </c>
    </row>
    <row r="18" spans="2:2" x14ac:dyDescent="0.25">
      <c r="B18" t="s">
        <v>289</v>
      </c>
    </row>
    <row r="19" spans="2:2" x14ac:dyDescent="0.25">
      <c r="B19" t="s">
        <v>290</v>
      </c>
    </row>
  </sheetData>
  <sortState xmlns:xlrd2="http://schemas.microsoft.com/office/spreadsheetml/2017/richdata2" ref="B2:B5">
    <sortCondition ref="B2:B5"/>
  </sortState>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116</v>
      </c>
    </row>
    <row r="4" spans="1:1" x14ac:dyDescent="0.2">
      <c r="A4" s="10" t="s">
        <v>130</v>
      </c>
    </row>
    <row r="5" spans="1:1" x14ac:dyDescent="0.2">
      <c r="A5" s="10" t="s">
        <v>254</v>
      </c>
    </row>
    <row r="6" spans="1:1" x14ac:dyDescent="0.2">
      <c r="A6" s="10" t="s">
        <v>256</v>
      </c>
    </row>
    <row r="7" spans="1:1" x14ac:dyDescent="0.2">
      <c r="A7" s="10" t="s">
        <v>117</v>
      </c>
    </row>
    <row r="8" spans="1:1" x14ac:dyDescent="0.2">
      <c r="A8" s="10" t="s">
        <v>128</v>
      </c>
    </row>
    <row r="9" spans="1:1" x14ac:dyDescent="0.2">
      <c r="A9" s="10" t="s">
        <v>118</v>
      </c>
    </row>
    <row r="10" spans="1:1" x14ac:dyDescent="0.2">
      <c r="A10" s="10" t="s">
        <v>119</v>
      </c>
    </row>
    <row r="11" spans="1:1" x14ac:dyDescent="0.2">
      <c r="A11" s="10" t="s">
        <v>264</v>
      </c>
    </row>
    <row r="12" spans="1:1" x14ac:dyDescent="0.2">
      <c r="A12" s="10" t="s">
        <v>291</v>
      </c>
    </row>
    <row r="13" spans="1:1" x14ac:dyDescent="0.2">
      <c r="A13" s="10" t="s">
        <v>292</v>
      </c>
    </row>
    <row r="14" spans="1:1" x14ac:dyDescent="0.2">
      <c r="A14" s="10" t="s">
        <v>293</v>
      </c>
    </row>
    <row r="16" spans="1:1" x14ac:dyDescent="0.2">
      <c r="A16" s="10" t="s">
        <v>294</v>
      </c>
    </row>
    <row r="17" spans="1:1" x14ac:dyDescent="0.2">
      <c r="A17" s="10" t="s">
        <v>123</v>
      </c>
    </row>
    <row r="18" spans="1:1" x14ac:dyDescent="0.2">
      <c r="A18" s="10" t="s">
        <v>281</v>
      </c>
    </row>
    <row r="20" spans="1:1" x14ac:dyDescent="0.2">
      <c r="A20" s="10" t="s">
        <v>285</v>
      </c>
    </row>
    <row r="21" spans="1:1" x14ac:dyDescent="0.2">
      <c r="A21" s="10" t="s">
        <v>151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G28"/>
  <sheetViews>
    <sheetView topLeftCell="A10" zoomScale="130" zoomScaleNormal="130" workbookViewId="0">
      <selection activeCell="C11" sqref="C11:C16"/>
    </sheetView>
  </sheetViews>
  <sheetFormatPr baseColWidth="10" defaultColWidth="11.42578125" defaultRowHeight="15" x14ac:dyDescent="0.25"/>
  <cols>
    <col min="3" max="3" width="69.85546875" customWidth="1"/>
    <col min="4" max="4" width="42.5703125" customWidth="1"/>
    <col min="5" max="5" width="38.85546875" customWidth="1"/>
  </cols>
  <sheetData>
    <row r="1" spans="3:7" x14ac:dyDescent="0.25">
      <c r="C1" s="174" t="s">
        <v>60</v>
      </c>
      <c r="D1" s="174" t="s">
        <v>61</v>
      </c>
    </row>
    <row r="2" spans="3:7" ht="15" customHeight="1" x14ac:dyDescent="0.25">
      <c r="C2" s="176"/>
      <c r="D2" s="49"/>
    </row>
    <row r="3" spans="3:7" ht="51" x14ac:dyDescent="0.25">
      <c r="C3" s="229" t="s">
        <v>62</v>
      </c>
      <c r="D3" s="49" t="s">
        <v>63</v>
      </c>
    </row>
    <row r="4" spans="3:7" ht="147.75" customHeight="1" x14ac:dyDescent="0.25">
      <c r="C4" s="229"/>
      <c r="D4" s="49" t="s">
        <v>64</v>
      </c>
      <c r="E4" s="177"/>
    </row>
    <row r="5" spans="3:7" ht="51" x14ac:dyDescent="0.25">
      <c r="C5" s="229" t="s">
        <v>65</v>
      </c>
      <c r="D5" s="49" t="s">
        <v>66</v>
      </c>
    </row>
    <row r="6" spans="3:7" ht="63.75" x14ac:dyDescent="0.25">
      <c r="C6" s="229"/>
      <c r="D6" s="49" t="s">
        <v>67</v>
      </c>
      <c r="G6" s="49"/>
    </row>
    <row r="7" spans="3:7" ht="51" x14ac:dyDescent="0.25">
      <c r="C7" s="229"/>
      <c r="D7" s="49" t="s">
        <v>68</v>
      </c>
    </row>
    <row r="8" spans="3:7" ht="51" x14ac:dyDescent="0.25">
      <c r="C8" s="229"/>
      <c r="D8" s="49" t="s">
        <v>69</v>
      </c>
    </row>
    <row r="9" spans="3:7" ht="16.5" x14ac:dyDescent="0.25">
      <c r="C9" s="179"/>
    </row>
    <row r="10" spans="3:7" ht="16.5" x14ac:dyDescent="0.25">
      <c r="C10" s="178" t="s">
        <v>70</v>
      </c>
    </row>
    <row r="11" spans="3:7" ht="76.5" x14ac:dyDescent="0.25">
      <c r="C11" s="228" t="s">
        <v>71</v>
      </c>
      <c r="D11" s="175" t="s">
        <v>72</v>
      </c>
      <c r="E11" s="49" t="s">
        <v>73</v>
      </c>
    </row>
    <row r="12" spans="3:7" ht="63.75" x14ac:dyDescent="0.25">
      <c r="C12" s="229"/>
      <c r="D12" s="49" t="s">
        <v>74</v>
      </c>
    </row>
    <row r="13" spans="3:7" x14ac:dyDescent="0.25">
      <c r="C13" s="229"/>
    </row>
    <row r="14" spans="3:7" x14ac:dyDescent="0.25">
      <c r="C14" s="229"/>
    </row>
    <row r="15" spans="3:7" x14ac:dyDescent="0.25">
      <c r="C15" s="229"/>
    </row>
    <row r="16" spans="3:7" x14ac:dyDescent="0.25">
      <c r="C16" s="230"/>
    </row>
    <row r="17" spans="3:3" x14ac:dyDescent="0.25">
      <c r="C17" s="231" t="s">
        <v>75</v>
      </c>
    </row>
    <row r="18" spans="3:3" x14ac:dyDescent="0.25">
      <c r="C18" s="232"/>
    </row>
    <row r="19" spans="3:3" x14ac:dyDescent="0.25">
      <c r="C19" s="232"/>
    </row>
    <row r="20" spans="3:3" x14ac:dyDescent="0.25">
      <c r="C20" s="232"/>
    </row>
    <row r="21" spans="3:3" x14ac:dyDescent="0.25">
      <c r="C21" s="232"/>
    </row>
    <row r="22" spans="3:3" x14ac:dyDescent="0.25">
      <c r="C22" s="233"/>
    </row>
    <row r="23" spans="3:3" x14ac:dyDescent="0.25">
      <c r="C23" s="228" t="s">
        <v>76</v>
      </c>
    </row>
    <row r="24" spans="3:3" x14ac:dyDescent="0.25">
      <c r="C24" s="229"/>
    </row>
    <row r="25" spans="3:3" x14ac:dyDescent="0.25">
      <c r="C25" s="229"/>
    </row>
    <row r="26" spans="3:3" x14ac:dyDescent="0.25">
      <c r="C26" s="229"/>
    </row>
    <row r="27" spans="3:3" x14ac:dyDescent="0.25">
      <c r="C27" s="229"/>
    </row>
    <row r="28" spans="3:3" x14ac:dyDescent="0.25">
      <c r="C28" s="230"/>
    </row>
  </sheetData>
  <mergeCells count="5">
    <mergeCell ref="C11:C16"/>
    <mergeCell ref="C17:C22"/>
    <mergeCell ref="C23:C28"/>
    <mergeCell ref="C3:C4"/>
    <mergeCell ref="C5: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BP72"/>
  <sheetViews>
    <sheetView tabSelected="1" topLeftCell="A3" zoomScale="80" zoomScaleNormal="80" zoomScaleSheetLayoutView="40" workbookViewId="0">
      <pane ySplit="7" topLeftCell="A10" activePane="bottomLeft" state="frozen"/>
      <selection activeCell="A3" sqref="A3"/>
      <selection pane="bottomLeft" activeCell="A4" sqref="A4:B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78" t="s">
        <v>77</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80"/>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81"/>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3"/>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9"/>
      <c r="B3" s="30"/>
      <c r="C3" s="29"/>
      <c r="D3" s="29"/>
      <c r="E3" s="8"/>
      <c r="F3" s="2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56" t="s">
        <v>78</v>
      </c>
      <c r="B4" s="257"/>
      <c r="C4" s="272" t="s">
        <v>79</v>
      </c>
      <c r="D4" s="267"/>
      <c r="E4" s="267"/>
      <c r="F4" s="267"/>
      <c r="G4" s="267"/>
      <c r="H4" s="267"/>
      <c r="I4" s="267"/>
      <c r="J4" s="267"/>
      <c r="K4" s="267"/>
      <c r="L4" s="267"/>
      <c r="M4" s="267"/>
      <c r="N4" s="268"/>
      <c r="O4" s="273"/>
      <c r="P4" s="273"/>
      <c r="Q4" s="273"/>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56" t="s">
        <v>80</v>
      </c>
      <c r="B5" s="257"/>
      <c r="C5" s="266" t="s">
        <v>306</v>
      </c>
      <c r="D5" s="267"/>
      <c r="E5" s="267"/>
      <c r="F5" s="267"/>
      <c r="G5" s="267"/>
      <c r="H5" s="267"/>
      <c r="I5" s="267"/>
      <c r="J5" s="267"/>
      <c r="K5" s="267"/>
      <c r="L5" s="267"/>
      <c r="M5" s="267"/>
      <c r="N5" s="26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56" t="s">
        <v>81</v>
      </c>
      <c r="B6" s="257"/>
      <c r="C6" s="266" t="s">
        <v>307</v>
      </c>
      <c r="D6" s="269"/>
      <c r="E6" s="269"/>
      <c r="F6" s="269"/>
      <c r="G6" s="269"/>
      <c r="H6" s="269"/>
      <c r="I6" s="269"/>
      <c r="J6" s="269"/>
      <c r="K6" s="269"/>
      <c r="L6" s="269"/>
      <c r="M6" s="269"/>
      <c r="N6" s="27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84" t="s">
        <v>82</v>
      </c>
      <c r="B7" s="285"/>
      <c r="C7" s="285"/>
      <c r="D7" s="285"/>
      <c r="E7" s="285"/>
      <c r="F7" s="285"/>
      <c r="G7" s="286"/>
      <c r="H7" s="284" t="s">
        <v>83</v>
      </c>
      <c r="I7" s="285"/>
      <c r="J7" s="285"/>
      <c r="K7" s="285"/>
      <c r="L7" s="285"/>
      <c r="M7" s="285"/>
      <c r="N7" s="286"/>
      <c r="O7" s="284" t="s">
        <v>84</v>
      </c>
      <c r="P7" s="285"/>
      <c r="Q7" s="285"/>
      <c r="R7" s="285"/>
      <c r="S7" s="285"/>
      <c r="T7" s="285"/>
      <c r="U7" s="285"/>
      <c r="V7" s="285"/>
      <c r="W7" s="286"/>
      <c r="X7" s="284" t="s">
        <v>85</v>
      </c>
      <c r="Y7" s="285"/>
      <c r="Z7" s="285"/>
      <c r="AA7" s="285"/>
      <c r="AB7" s="285"/>
      <c r="AC7" s="285"/>
      <c r="AD7" s="286"/>
      <c r="AE7" s="284" t="s">
        <v>86</v>
      </c>
      <c r="AF7" s="285"/>
      <c r="AG7" s="285"/>
      <c r="AH7" s="285"/>
      <c r="AI7" s="285"/>
      <c r="AJ7" s="286"/>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58" t="s">
        <v>87</v>
      </c>
      <c r="B8" s="263" t="s">
        <v>15</v>
      </c>
      <c r="C8" s="261" t="s">
        <v>17</v>
      </c>
      <c r="D8" s="261" t="s">
        <v>19</v>
      </c>
      <c r="E8" s="262" t="s">
        <v>21</v>
      </c>
      <c r="F8" s="260" t="s">
        <v>23</v>
      </c>
      <c r="G8" s="261" t="s">
        <v>88</v>
      </c>
      <c r="H8" s="274" t="s">
        <v>89</v>
      </c>
      <c r="I8" s="275" t="s">
        <v>90</v>
      </c>
      <c r="J8" s="260" t="s">
        <v>91</v>
      </c>
      <c r="K8" s="260" t="s">
        <v>92</v>
      </c>
      <c r="L8" s="277" t="s">
        <v>93</v>
      </c>
      <c r="M8" s="275" t="s">
        <v>90</v>
      </c>
      <c r="N8" s="261" t="s">
        <v>29</v>
      </c>
      <c r="O8" s="264" t="s">
        <v>94</v>
      </c>
      <c r="P8" s="255" t="s">
        <v>31</v>
      </c>
      <c r="Q8" s="260" t="s">
        <v>33</v>
      </c>
      <c r="R8" s="255" t="s">
        <v>95</v>
      </c>
      <c r="S8" s="255"/>
      <c r="T8" s="255"/>
      <c r="U8" s="255"/>
      <c r="V8" s="255"/>
      <c r="W8" s="255"/>
      <c r="X8" s="271" t="s">
        <v>96</v>
      </c>
      <c r="Y8" s="271" t="s">
        <v>97</v>
      </c>
      <c r="Z8" s="271" t="s">
        <v>90</v>
      </c>
      <c r="AA8" s="271" t="s">
        <v>98</v>
      </c>
      <c r="AB8" s="271" t="s">
        <v>90</v>
      </c>
      <c r="AC8" s="271" t="s">
        <v>99</v>
      </c>
      <c r="AD8" s="264" t="s">
        <v>49</v>
      </c>
      <c r="AE8" s="255" t="s">
        <v>86</v>
      </c>
      <c r="AF8" s="255" t="s">
        <v>100</v>
      </c>
      <c r="AG8" s="255" t="s">
        <v>101</v>
      </c>
      <c r="AH8" s="255" t="s">
        <v>102</v>
      </c>
      <c r="AI8" s="255" t="s">
        <v>103</v>
      </c>
      <c r="AJ8" s="255" t="s">
        <v>53</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59"/>
      <c r="B9" s="263"/>
      <c r="C9" s="255"/>
      <c r="D9" s="255"/>
      <c r="E9" s="263"/>
      <c r="F9" s="261"/>
      <c r="G9" s="255"/>
      <c r="H9" s="261"/>
      <c r="I9" s="276"/>
      <c r="J9" s="261"/>
      <c r="K9" s="261"/>
      <c r="L9" s="276"/>
      <c r="M9" s="276"/>
      <c r="N9" s="255"/>
      <c r="O9" s="265"/>
      <c r="P9" s="255"/>
      <c r="Q9" s="261"/>
      <c r="R9" s="7" t="s">
        <v>104</v>
      </c>
      <c r="S9" s="7" t="s">
        <v>105</v>
      </c>
      <c r="T9" s="7" t="s">
        <v>106</v>
      </c>
      <c r="U9" s="7" t="s">
        <v>107</v>
      </c>
      <c r="V9" s="7" t="s">
        <v>108</v>
      </c>
      <c r="W9" s="7" t="s">
        <v>109</v>
      </c>
      <c r="X9" s="271"/>
      <c r="Y9" s="271"/>
      <c r="Z9" s="271"/>
      <c r="AA9" s="271"/>
      <c r="AB9" s="271"/>
      <c r="AC9" s="271"/>
      <c r="AD9" s="265"/>
      <c r="AE9" s="255"/>
      <c r="AF9" s="255"/>
      <c r="AG9" s="255"/>
      <c r="AH9" s="255"/>
      <c r="AI9" s="255"/>
      <c r="AJ9" s="255"/>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row>
    <row r="10" spans="1:68" s="3" customFormat="1" ht="167.25" customHeight="1" x14ac:dyDescent="0.25">
      <c r="A10" s="249">
        <v>1</v>
      </c>
      <c r="B10" s="240" t="s">
        <v>110</v>
      </c>
      <c r="C10" s="240" t="s">
        <v>111</v>
      </c>
      <c r="D10" s="240" t="s">
        <v>112</v>
      </c>
      <c r="E10" s="228" t="s">
        <v>62</v>
      </c>
      <c r="F10" s="240" t="s">
        <v>113</v>
      </c>
      <c r="G10" s="243">
        <v>4</v>
      </c>
      <c r="H10" s="246" t="str">
        <f>IF(G10&lt;=0,"",IF(G10&lt;=2,"Muy Baja",IF(G10&lt;=24,"Baja",IF(G10&lt;=500,"Media",IF(G10&lt;=5000,"Alta","Muy Alta")))))</f>
        <v>Baja</v>
      </c>
      <c r="I10" s="234">
        <f>IF(H10="","",IF(H10="Muy Baja",0.2,IF(H10="Baja",0.4,IF(H10="Media",0.6,IF(H10="Alta",0.8,IF(H10="Muy Alta",1,))))))</f>
        <v>0.4</v>
      </c>
      <c r="J10" s="252" t="s">
        <v>114</v>
      </c>
      <c r="K10" s="234" t="str">
        <f>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246" t="str">
        <f>IF(OR(K10='Tabla Impacto'!$C$11,K10='Tabla Impacto'!$D$11),"Leve",IF(OR(K10='Tabla Impacto'!$C$12,K10='Tabla Impacto'!$D$12),"Menor",IF(OR(K10='Tabla Impacto'!$C$13,K10='Tabla Impacto'!$D$13),"Moderado",IF(OR(K10='Tabla Impacto'!$C$14,K10='Tabla Impacto'!$D$14),"Mayor",IF(OR(K10='Tabla Impacto'!$C$15,K10='Tabla Impacto'!$D$15),"Catastrófico","")))))</f>
        <v>Moderado</v>
      </c>
      <c r="M10" s="234">
        <f>IF(L10="","",IF(L10="Leve",0.2,IF(L10="Menor",0.4,IF(L10="Moderado",0.6,IF(L10="Mayor",0.8,IF(L10="Catastrófico",1,))))))</f>
        <v>0.6</v>
      </c>
      <c r="N10" s="237"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6">
        <v>1</v>
      </c>
      <c r="P10" s="49" t="s">
        <v>115</v>
      </c>
      <c r="Q10" s="51" t="str">
        <f t="shared" ref="Q10:Q41" si="0">IF(OR(R10="Preventivo",R10="Detectivo"),"Probabilidad",IF(R10="Correctivo","Impacto",""))</f>
        <v>Probabilidad</v>
      </c>
      <c r="R10" s="52" t="s">
        <v>116</v>
      </c>
      <c r="S10" s="52" t="s">
        <v>117</v>
      </c>
      <c r="T10" s="53" t="str">
        <f t="shared" ref="T10:T41" si="1">IF(AND(R10="Preventivo",S10="Automático"),"50%",IF(AND(R10="Preventivo",S10="Manual"),"40%",IF(AND(R10="Detectivo",S10="Automático"),"40%",IF(AND(R10="Detectivo",S10="Manual"),"30%",IF(AND(R10="Correctivo",S10="Automático"),"35%",IF(AND(R10="Correctivo",S10="Manual"),"25%",""))))))</f>
        <v>40%</v>
      </c>
      <c r="U10" s="52" t="s">
        <v>118</v>
      </c>
      <c r="V10" s="52" t="s">
        <v>119</v>
      </c>
      <c r="W10" s="52" t="s">
        <v>120</v>
      </c>
      <c r="X10" s="24">
        <f>IFERROR(IF(Q10="Probabilidad",(I10-(+I10*T10)),IF(Q10="Impacto",I10,"")),"")</f>
        <v>0.24</v>
      </c>
      <c r="Y10" s="54" t="str">
        <f>IFERROR(IF(X10="","",IF(X10&lt;=0.2,"Muy Baja",IF(X10&lt;=0.4,"Baja",IF(X10&lt;=0.6,"Media",IF(X10&lt;=0.8,"Alta","Muy Alta"))))),"")</f>
        <v>Baja</v>
      </c>
      <c r="Z10" s="55">
        <f t="shared" ref="Z10:Z41" si="2">+X10</f>
        <v>0.24</v>
      </c>
      <c r="AA10" s="54" t="str">
        <f>IFERROR(IF(AB10="","",IF(AB10&lt;=0.2,"Leve",IF(AB10&lt;=0.4,"Menor",IF(AB10&lt;=0.6,"Moderado",IF(AB10&lt;=0.8,"Mayor","Catastrófico"))))),"")</f>
        <v>Moderado</v>
      </c>
      <c r="AB10" s="55">
        <f>IFERROR(IF(Q10="Impacto",(M10-(+M10*T10)),IF(Q10="Probabilidad",M10,"")),"")</f>
        <v>0.6</v>
      </c>
      <c r="AC10" s="56" t="str">
        <f t="shared" ref="AC10:AC41" si="3">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57" t="s">
        <v>121</v>
      </c>
      <c r="AE10" s="58"/>
      <c r="AF10" s="58"/>
      <c r="AG10" s="137"/>
      <c r="AH10" s="137"/>
      <c r="AI10" s="58"/>
      <c r="AJ10" s="48"/>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row>
    <row r="11" spans="1:68" ht="151.5" customHeight="1" x14ac:dyDescent="0.3">
      <c r="A11" s="250"/>
      <c r="B11" s="241"/>
      <c r="C11" s="241"/>
      <c r="D11" s="241"/>
      <c r="E11" s="229"/>
      <c r="F11" s="241"/>
      <c r="G11" s="244"/>
      <c r="H11" s="247"/>
      <c r="I11" s="235"/>
      <c r="J11" s="253"/>
      <c r="K11" s="235">
        <f>IF(NOT(ISERROR(MATCH(J11,_xlfn.ANCHORARRAY(E22),0))),I24&amp;"Por favor no seleccionar los criterios de impacto",J11)</f>
        <v>0</v>
      </c>
      <c r="L11" s="247"/>
      <c r="M11" s="235"/>
      <c r="N11" s="238"/>
      <c r="O11" s="6">
        <v>2</v>
      </c>
      <c r="P11" s="49" t="s">
        <v>122</v>
      </c>
      <c r="Q11" s="51" t="str">
        <f t="shared" si="0"/>
        <v>Probabilidad</v>
      </c>
      <c r="R11" s="52" t="s">
        <v>116</v>
      </c>
      <c r="S11" s="52" t="s">
        <v>117</v>
      </c>
      <c r="T11" s="53" t="str">
        <f t="shared" si="1"/>
        <v>40%</v>
      </c>
      <c r="U11" s="52" t="s">
        <v>118</v>
      </c>
      <c r="V11" s="52" t="s">
        <v>119</v>
      </c>
      <c r="W11" s="52" t="s">
        <v>120</v>
      </c>
      <c r="X11" s="24">
        <f>IFERROR(IF(AND(Q10="Probabilidad",Q11="Probabilidad"),(Z10-(+Z10*T11)),IF(Q11="Probabilidad",(I10-(+I10*T11)),IF(Q11="Impacto",Z10,""))),"")</f>
        <v>0.14399999999999999</v>
      </c>
      <c r="Y11" s="54" t="str">
        <f t="shared" ref="Y11:Y69" si="4">IFERROR(IF(X11="","",IF(X11&lt;=0.2,"Muy Baja",IF(X11&lt;=0.4,"Baja",IF(X11&lt;=0.6,"Media",IF(X11&lt;=0.8,"Alta","Muy Alta"))))),"")</f>
        <v>Muy Baja</v>
      </c>
      <c r="Z11" s="55">
        <f t="shared" si="2"/>
        <v>0.14399999999999999</v>
      </c>
      <c r="AA11" s="54" t="str">
        <f t="shared" ref="AA11:AA69" si="5">IFERROR(IF(AB11="","",IF(AB11&lt;=0.2,"Leve",IF(AB11&lt;=0.4,"Menor",IF(AB11&lt;=0.6,"Moderado",IF(AB11&lt;=0.8,"Mayor","Catastrófico"))))),"")</f>
        <v>Moderado</v>
      </c>
      <c r="AB11" s="55">
        <f>IFERROR(IF(AND(Q10="Impacto",Q11="Impacto"),(AB10-(+AB10*T11)),IF(Q11="Impacto",($M$10-(+$M$10*T11)),IF(Q11="Probabilidad",AB10,""))),"")</f>
        <v>0.6</v>
      </c>
      <c r="AC11" s="56" t="str">
        <f t="shared" si="3"/>
        <v>Moderado</v>
      </c>
      <c r="AD11" s="57" t="s">
        <v>123</v>
      </c>
      <c r="AE11" s="58"/>
      <c r="AF11" s="58"/>
      <c r="AG11" s="137"/>
      <c r="AH11" s="137"/>
      <c r="AI11" s="58"/>
      <c r="AJ11" s="4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50"/>
      <c r="B12" s="241"/>
      <c r="C12" s="241"/>
      <c r="D12" s="241"/>
      <c r="E12" s="229"/>
      <c r="F12" s="241"/>
      <c r="G12" s="244"/>
      <c r="H12" s="247"/>
      <c r="I12" s="235"/>
      <c r="J12" s="253"/>
      <c r="K12" s="235">
        <f>IF(NOT(ISERROR(MATCH(J12,_xlfn.ANCHORARRAY(E23),0))),I25&amp;"Por favor no seleccionar los criterios de impacto",J12)</f>
        <v>0</v>
      </c>
      <c r="L12" s="247"/>
      <c r="M12" s="235"/>
      <c r="N12" s="238"/>
      <c r="O12" s="6">
        <v>3</v>
      </c>
      <c r="P12" s="50" t="s">
        <v>305</v>
      </c>
      <c r="Q12" s="51" t="str">
        <f t="shared" si="0"/>
        <v>Probabilidad</v>
      </c>
      <c r="R12" s="52" t="s">
        <v>116</v>
      </c>
      <c r="S12" s="52" t="s">
        <v>117</v>
      </c>
      <c r="T12" s="53" t="str">
        <f t="shared" si="1"/>
        <v>40%</v>
      </c>
      <c r="U12" s="52" t="s">
        <v>118</v>
      </c>
      <c r="V12" s="52" t="s">
        <v>119</v>
      </c>
      <c r="W12" s="52" t="s">
        <v>120</v>
      </c>
      <c r="X12" s="24">
        <f>IFERROR(IF(AND(Q11="Probabilidad",Q12="Probabilidad"),(Z11-(+Z11*T12)),IF(AND(Q11="Impacto",Q12="Probabilidad"),(Z10-(+Z10*T12)),IF(Q12="Impacto",Z11,""))),"")</f>
        <v>8.6399999999999991E-2</v>
      </c>
      <c r="Y12" s="54" t="str">
        <f t="shared" si="4"/>
        <v>Muy Baja</v>
      </c>
      <c r="Z12" s="55">
        <f t="shared" si="2"/>
        <v>8.6399999999999991E-2</v>
      </c>
      <c r="AA12" s="54" t="str">
        <f t="shared" si="5"/>
        <v>Moderado</v>
      </c>
      <c r="AB12" s="55">
        <f>IFERROR(IF(AND(Q11="Impacto",Q12="Impacto"),(AB11-(+AB11*T12)),IF(AND(Q11="Probabilidad",Q12="Impacto"),(AB10-(+AB10*T12)),IF(Q12="Probabilidad",AB11,""))),"")</f>
        <v>0.6</v>
      </c>
      <c r="AC12" s="56" t="str">
        <f t="shared" si="3"/>
        <v>Moderado</v>
      </c>
      <c r="AD12" s="57" t="s">
        <v>123</v>
      </c>
      <c r="AE12" s="58"/>
      <c r="AF12" s="48"/>
      <c r="AG12" s="59"/>
      <c r="AH12" s="59"/>
      <c r="AI12" s="58"/>
      <c r="AJ12" s="4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50"/>
      <c r="B13" s="241"/>
      <c r="C13" s="241"/>
      <c r="D13" s="241"/>
      <c r="E13" s="229"/>
      <c r="F13" s="241"/>
      <c r="G13" s="244"/>
      <c r="H13" s="247"/>
      <c r="I13" s="235"/>
      <c r="J13" s="253"/>
      <c r="K13" s="235">
        <f>IF(NOT(ISERROR(MATCH(J13,_xlfn.ANCHORARRAY(E24),0))),I26&amp;"Por favor no seleccionar los criterios de impacto",J13)</f>
        <v>0</v>
      </c>
      <c r="L13" s="247"/>
      <c r="M13" s="235"/>
      <c r="N13" s="238"/>
      <c r="O13" s="6">
        <v>4</v>
      </c>
      <c r="P13" s="49"/>
      <c r="Q13" s="51" t="str">
        <f t="shared" si="0"/>
        <v/>
      </c>
      <c r="R13" s="52"/>
      <c r="S13" s="52"/>
      <c r="T13" s="53" t="str">
        <f t="shared" si="1"/>
        <v/>
      </c>
      <c r="U13" s="52"/>
      <c r="V13" s="52"/>
      <c r="W13" s="52"/>
      <c r="X13" s="24" t="str">
        <f>IFERROR(IF(AND(Q12="Probabilidad",Q13="Probabilidad"),(Z12-(+Z12*T13)),IF(AND(Q12="Impacto",Q13="Probabilidad"),(Z11-(+Z11*T13)),IF(Q13="Impacto",Z12,""))),"")</f>
        <v/>
      </c>
      <c r="Y13" s="54" t="str">
        <f t="shared" si="4"/>
        <v/>
      </c>
      <c r="Z13" s="55" t="str">
        <f t="shared" si="2"/>
        <v/>
      </c>
      <c r="AA13" s="54" t="str">
        <f t="shared" si="5"/>
        <v/>
      </c>
      <c r="AB13" s="55" t="str">
        <f>IFERROR(IF(AND(Q12="Impacto",Q13="Impacto"),(AB12-(+AB12*T13)),IF(AND(Q12="Probabilidad",Q13="Impacto"),(AB11-(+AB11*T13)),IF(Q13="Probabilidad",AB12,""))),"")</f>
        <v/>
      </c>
      <c r="AC13" s="56" t="str">
        <f t="shared" si="3"/>
        <v/>
      </c>
      <c r="AD13" s="57"/>
      <c r="AE13" s="58"/>
      <c r="AF13" s="48"/>
      <c r="AG13" s="59"/>
      <c r="AH13" s="59"/>
      <c r="AI13" s="58"/>
      <c r="AJ13" s="4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50"/>
      <c r="B14" s="241"/>
      <c r="C14" s="241"/>
      <c r="D14" s="241"/>
      <c r="E14" s="229"/>
      <c r="F14" s="241"/>
      <c r="G14" s="244"/>
      <c r="H14" s="247"/>
      <c r="I14" s="235"/>
      <c r="J14" s="253"/>
      <c r="K14" s="235">
        <f>IF(NOT(ISERROR(MATCH(J14,_xlfn.ANCHORARRAY(E25),0))),I27&amp;"Por favor no seleccionar los criterios de impacto",J14)</f>
        <v>0</v>
      </c>
      <c r="L14" s="247"/>
      <c r="M14" s="235"/>
      <c r="N14" s="238"/>
      <c r="O14" s="6">
        <v>5</v>
      </c>
      <c r="P14" s="49"/>
      <c r="Q14" s="51" t="str">
        <f t="shared" si="0"/>
        <v/>
      </c>
      <c r="R14" s="52"/>
      <c r="S14" s="52"/>
      <c r="T14" s="53" t="str">
        <f t="shared" si="1"/>
        <v/>
      </c>
      <c r="U14" s="52"/>
      <c r="V14" s="52"/>
      <c r="W14" s="52"/>
      <c r="X14" s="24" t="str">
        <f>IFERROR(IF(AND(Q13="Probabilidad",Q14="Probabilidad"),(Z13-(+Z13*T14)),IF(AND(Q13="Impacto",Q14="Probabilidad"),(Z12-(+Z12*T14)),IF(Q14="Impacto",Z13,""))),"")</f>
        <v/>
      </c>
      <c r="Y14" s="54" t="str">
        <f t="shared" si="4"/>
        <v/>
      </c>
      <c r="Z14" s="55" t="str">
        <f t="shared" si="2"/>
        <v/>
      </c>
      <c r="AA14" s="54" t="str">
        <f t="shared" si="5"/>
        <v/>
      </c>
      <c r="AB14" s="55" t="str">
        <f>IFERROR(IF(AND(Q13="Impacto",Q14="Impacto"),(AB13-(+AB13*T14)),IF(AND(Q13="Probabilidad",Q14="Impacto"),(AB12-(+AB12*T14)),IF(Q14="Probabilidad",AB13,""))),"")</f>
        <v/>
      </c>
      <c r="AC14" s="56" t="str">
        <f t="shared" si="3"/>
        <v/>
      </c>
      <c r="AD14" s="57"/>
      <c r="AE14" s="58"/>
      <c r="AF14" s="48"/>
      <c r="AG14" s="59"/>
      <c r="AH14" s="59"/>
      <c r="AI14" s="58"/>
      <c r="AJ14" s="4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51"/>
      <c r="B15" s="242"/>
      <c r="C15" s="242"/>
      <c r="D15" s="242"/>
      <c r="E15" s="230"/>
      <c r="F15" s="242"/>
      <c r="G15" s="245"/>
      <c r="H15" s="248"/>
      <c r="I15" s="236"/>
      <c r="J15" s="254"/>
      <c r="K15" s="236">
        <f>IF(NOT(ISERROR(MATCH(J15,_xlfn.ANCHORARRAY(E26),0))),I28&amp;"Por favor no seleccionar los criterios de impacto",J15)</f>
        <v>0</v>
      </c>
      <c r="L15" s="248"/>
      <c r="M15" s="236"/>
      <c r="N15" s="239"/>
      <c r="O15" s="6">
        <v>6</v>
      </c>
      <c r="P15" s="49"/>
      <c r="Q15" s="51" t="str">
        <f t="shared" si="0"/>
        <v/>
      </c>
      <c r="R15" s="52"/>
      <c r="S15" s="52"/>
      <c r="T15" s="53" t="str">
        <f t="shared" si="1"/>
        <v/>
      </c>
      <c r="U15" s="52"/>
      <c r="V15" s="52"/>
      <c r="W15" s="52"/>
      <c r="X15" s="24" t="str">
        <f>IFERROR(IF(AND(Q14="Probabilidad",Q15="Probabilidad"),(Z14-(+Z14*T15)),IF(AND(Q14="Impacto",Q15="Probabilidad"),(Z13-(+Z13*T15)),IF(Q15="Impacto",Z14,""))),"")</f>
        <v/>
      </c>
      <c r="Y15" s="54" t="str">
        <f t="shared" si="4"/>
        <v/>
      </c>
      <c r="Z15" s="55" t="str">
        <f t="shared" si="2"/>
        <v/>
      </c>
      <c r="AA15" s="54" t="str">
        <f t="shared" si="5"/>
        <v/>
      </c>
      <c r="AB15" s="55" t="str">
        <f>IFERROR(IF(AND(Q14="Impacto",Q15="Impacto"),(AB14-(+AB14*T15)),IF(AND(Q14="Probabilidad",Q15="Impacto"),(AB13-(+AB13*T15)),IF(Q15="Probabilidad",AB14,""))),"")</f>
        <v/>
      </c>
      <c r="AC15" s="56" t="str">
        <f t="shared" si="3"/>
        <v/>
      </c>
      <c r="AD15" s="57"/>
      <c r="AE15" s="58"/>
      <c r="AF15" s="48"/>
      <c r="AG15" s="59"/>
      <c r="AH15" s="59"/>
      <c r="AI15" s="58"/>
      <c r="AJ15" s="4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49">
        <v>2</v>
      </c>
      <c r="B16" s="240" t="s">
        <v>110</v>
      </c>
      <c r="C16" s="240" t="s">
        <v>124</v>
      </c>
      <c r="D16" s="240" t="s">
        <v>125</v>
      </c>
      <c r="E16" s="228" t="s">
        <v>126</v>
      </c>
      <c r="F16" s="240" t="s">
        <v>113</v>
      </c>
      <c r="G16" s="243">
        <v>3</v>
      </c>
      <c r="H16" s="246" t="str">
        <f>IF(G16&lt;=0,"",IF(G16&lt;=2,"Muy Baja",IF(G16&lt;=24,"Baja",IF(G16&lt;=500,"Media",IF(G16&lt;=5000,"Alta","Muy Alta")))))</f>
        <v>Baja</v>
      </c>
      <c r="I16" s="234">
        <f>IF(H16="","",IF(H16="Muy Baja",0.2,IF(H16="Baja",0.4,IF(H16="Media",0.6,IF(H16="Alta",0.8,IF(H16="Muy Alta",1,))))))</f>
        <v>0.4</v>
      </c>
      <c r="J16" s="252" t="s">
        <v>114</v>
      </c>
      <c r="K16" s="234" t="str">
        <f>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246" t="str">
        <f>IF(OR(K16='Tabla Impacto'!$C$11,K16='Tabla Impacto'!$D$11),"Leve",IF(OR(K16='Tabla Impacto'!$C$12,K16='Tabla Impacto'!$D$12),"Menor",IF(OR(K16='Tabla Impacto'!$C$13,K16='Tabla Impacto'!$D$13),"Moderado",IF(OR(K16='Tabla Impacto'!$C$14,K16='Tabla Impacto'!$D$14),"Mayor",IF(OR(K16='Tabla Impacto'!$C$15,K16='Tabla Impacto'!$D$15),"Catastrófico","")))))</f>
        <v>Moderado</v>
      </c>
      <c r="M16" s="234">
        <f>IF(L16="","",IF(L16="Leve",0.2,IF(L16="Menor",0.4,IF(L16="Moderado",0.6,IF(L16="Mayor",0.8,IF(L16="Catastrófico",1,))))))</f>
        <v>0.6</v>
      </c>
      <c r="N16" s="237"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6">
        <v>1</v>
      </c>
      <c r="P16" s="49" t="s">
        <v>127</v>
      </c>
      <c r="Q16" s="51" t="str">
        <f t="shared" si="0"/>
        <v>Probabilidad</v>
      </c>
      <c r="R16" s="52" t="s">
        <v>116</v>
      </c>
      <c r="S16" s="52" t="s">
        <v>117</v>
      </c>
      <c r="T16" s="53" t="str">
        <f t="shared" si="1"/>
        <v>40%</v>
      </c>
      <c r="U16" s="52" t="s">
        <v>128</v>
      </c>
      <c r="V16" s="52" t="s">
        <v>119</v>
      </c>
      <c r="W16" s="52" t="s">
        <v>120</v>
      </c>
      <c r="X16" s="24">
        <f>IFERROR(IF(Q16="Probabilidad",(I16-(+I16*T16)),IF(Q16="Impacto",I16,"")),"")</f>
        <v>0.24</v>
      </c>
      <c r="Y16" s="54" t="str">
        <f>IFERROR(IF(X16="","",IF(X16&lt;=0.2,"Muy Baja",IF(X16&lt;=0.4,"Baja",IF(X16&lt;=0.6,"Media",IF(X16&lt;=0.8,"Alta","Muy Alta"))))),"")</f>
        <v>Baja</v>
      </c>
      <c r="Z16" s="55">
        <f t="shared" si="2"/>
        <v>0.24</v>
      </c>
      <c r="AA16" s="54" t="str">
        <f>IFERROR(IF(AB16="","",IF(AB16&lt;=0.2,"Leve",IF(AB16&lt;=0.4,"Menor",IF(AB16&lt;=0.6,"Moderado",IF(AB16&lt;=0.8,"Mayor","Catastrófico"))))),"")</f>
        <v>Moderado</v>
      </c>
      <c r="AB16" s="55">
        <f>IFERROR(IF(Q16="Impacto",(M16-(+M16*T16)),IF(Q16="Probabilidad",M16,"")),"")</f>
        <v>0.6</v>
      </c>
      <c r="AC16" s="56" t="str">
        <f t="shared" si="3"/>
        <v>Moderado</v>
      </c>
      <c r="AD16" s="57" t="s">
        <v>121</v>
      </c>
      <c r="AE16" s="58"/>
      <c r="AF16" s="58"/>
      <c r="AG16" s="137"/>
      <c r="AH16" s="137"/>
      <c r="AI16" s="58"/>
      <c r="AJ16" s="4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50"/>
      <c r="B17" s="241"/>
      <c r="C17" s="241"/>
      <c r="D17" s="241"/>
      <c r="E17" s="229"/>
      <c r="F17" s="241"/>
      <c r="G17" s="244"/>
      <c r="H17" s="247"/>
      <c r="I17" s="235"/>
      <c r="J17" s="253"/>
      <c r="K17" s="235">
        <f>IF(NOT(ISERROR(MATCH(J17,_xlfn.ANCHORARRAY(E28),0))),I30&amp;"Por favor no seleccionar los criterios de impacto",J17)</f>
        <v>0</v>
      </c>
      <c r="L17" s="247"/>
      <c r="M17" s="235"/>
      <c r="N17" s="238"/>
      <c r="O17" s="6">
        <v>2</v>
      </c>
      <c r="P17" s="49" t="s">
        <v>129</v>
      </c>
      <c r="Q17" s="51" t="str">
        <f t="shared" si="0"/>
        <v>Probabilidad</v>
      </c>
      <c r="R17" s="52" t="s">
        <v>130</v>
      </c>
      <c r="S17" s="52" t="s">
        <v>117</v>
      </c>
      <c r="T17" s="53" t="str">
        <f t="shared" si="1"/>
        <v>30%</v>
      </c>
      <c r="U17" s="52" t="s">
        <v>128</v>
      </c>
      <c r="V17" s="52" t="s">
        <v>119</v>
      </c>
      <c r="W17" s="52" t="s">
        <v>120</v>
      </c>
      <c r="X17" s="24">
        <f>IFERROR(IF(AND(Q16="Probabilidad",Q17="Probabilidad"),(Z16-(+Z16*T17)),IF(Q17="Probabilidad",(I16-(+I16*T17)),IF(Q17="Impacto",Z16,""))),"")</f>
        <v>0.16799999999999998</v>
      </c>
      <c r="Y17" s="54" t="str">
        <f t="shared" si="4"/>
        <v>Muy Baja</v>
      </c>
      <c r="Z17" s="55">
        <f t="shared" si="2"/>
        <v>0.16799999999999998</v>
      </c>
      <c r="AA17" s="54" t="str">
        <f t="shared" si="5"/>
        <v>Moderado</v>
      </c>
      <c r="AB17" s="55">
        <f>IFERROR(IF(AND(Q16="Impacto",Q17="Impacto"),(AB10-(+AB10*T17)),IF(Q17="Impacto",($M$16-(+$M$16*T17)),IF(Q17="Probabilidad",AB10,""))),"")</f>
        <v>0.6</v>
      </c>
      <c r="AC17" s="56" t="str">
        <f t="shared" si="3"/>
        <v>Moderado</v>
      </c>
      <c r="AD17" s="57" t="s">
        <v>121</v>
      </c>
      <c r="AE17" s="58"/>
      <c r="AF17" s="58"/>
      <c r="AG17" s="137"/>
      <c r="AH17" s="137"/>
      <c r="AI17" s="58"/>
      <c r="AJ17" s="4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50"/>
      <c r="B18" s="241"/>
      <c r="C18" s="241"/>
      <c r="D18" s="241"/>
      <c r="E18" s="229"/>
      <c r="F18" s="241"/>
      <c r="G18" s="244"/>
      <c r="H18" s="247"/>
      <c r="I18" s="235"/>
      <c r="J18" s="253"/>
      <c r="K18" s="235">
        <f>IF(NOT(ISERROR(MATCH(J18,_xlfn.ANCHORARRAY(E29),0))),I31&amp;"Por favor no seleccionar los criterios de impacto",J18)</f>
        <v>0</v>
      </c>
      <c r="L18" s="247"/>
      <c r="M18" s="235"/>
      <c r="N18" s="238"/>
      <c r="O18" s="6">
        <v>3</v>
      </c>
      <c r="P18" s="50" t="s">
        <v>131</v>
      </c>
      <c r="Q18" s="51" t="str">
        <f t="shared" si="0"/>
        <v>Probabilidad</v>
      </c>
      <c r="R18" s="52" t="s">
        <v>116</v>
      </c>
      <c r="S18" s="52" t="s">
        <v>117</v>
      </c>
      <c r="T18" s="53" t="str">
        <f t="shared" si="1"/>
        <v>40%</v>
      </c>
      <c r="U18" s="52" t="s">
        <v>118</v>
      </c>
      <c r="V18" s="52" t="s">
        <v>119</v>
      </c>
      <c r="W18" s="52" t="s">
        <v>120</v>
      </c>
      <c r="X18" s="24">
        <f>IFERROR(IF(AND(Q17="Probabilidad",Q18="Probabilidad"),(Z17-(+Z17*T18)),IF(AND(Q17="Impacto",Q18="Probabilidad"),(Z16-(+Z16*T18)),IF(Q18="Impacto",Z17,""))),"")</f>
        <v>0.10079999999999999</v>
      </c>
      <c r="Y18" s="54" t="str">
        <f t="shared" si="4"/>
        <v>Muy Baja</v>
      </c>
      <c r="Z18" s="55">
        <f t="shared" si="2"/>
        <v>0.10079999999999999</v>
      </c>
      <c r="AA18" s="54" t="str">
        <f t="shared" si="5"/>
        <v>Moderado</v>
      </c>
      <c r="AB18" s="55">
        <f>IFERROR(IF(AND(Q17="Impacto",Q18="Impacto"),(AB17-(+AB17*T18)),IF(AND(Q17="Probabilidad",Q18="Impacto"),(AB16-(+AB16*T18)),IF(Q18="Probabilidad",AB17,""))),"")</f>
        <v>0.6</v>
      </c>
      <c r="AC18" s="56" t="str">
        <f t="shared" si="3"/>
        <v>Moderado</v>
      </c>
      <c r="AD18" s="57" t="s">
        <v>121</v>
      </c>
      <c r="AE18" s="58"/>
      <c r="AF18" s="48"/>
      <c r="AG18" s="59"/>
      <c r="AH18" s="59"/>
      <c r="AI18" s="58"/>
      <c r="AJ18" s="4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50"/>
      <c r="B19" s="241"/>
      <c r="C19" s="241"/>
      <c r="D19" s="241"/>
      <c r="E19" s="229"/>
      <c r="F19" s="241"/>
      <c r="G19" s="244"/>
      <c r="H19" s="247"/>
      <c r="I19" s="235"/>
      <c r="J19" s="253"/>
      <c r="K19" s="235">
        <f>IF(NOT(ISERROR(MATCH(J19,_xlfn.ANCHORARRAY(E30),0))),I32&amp;"Por favor no seleccionar los criterios de impacto",J19)</f>
        <v>0</v>
      </c>
      <c r="L19" s="247"/>
      <c r="M19" s="235"/>
      <c r="N19" s="238"/>
      <c r="O19" s="6">
        <v>4</v>
      </c>
      <c r="P19" s="49"/>
      <c r="Q19" s="51" t="str">
        <f t="shared" si="0"/>
        <v/>
      </c>
      <c r="R19" s="52"/>
      <c r="S19" s="52"/>
      <c r="T19" s="53" t="str">
        <f t="shared" si="1"/>
        <v/>
      </c>
      <c r="U19" s="52"/>
      <c r="V19" s="52"/>
      <c r="W19" s="52"/>
      <c r="X19" s="24" t="str">
        <f>IFERROR(IF(AND(Q18="Probabilidad",Q19="Probabilidad"),(Z18-(+Z18*T19)),IF(AND(Q18="Impacto",Q19="Probabilidad"),(Z17-(+Z17*T19)),IF(Q19="Impacto",Z18,""))),"")</f>
        <v/>
      </c>
      <c r="Y19" s="54" t="str">
        <f t="shared" si="4"/>
        <v/>
      </c>
      <c r="Z19" s="55" t="str">
        <f t="shared" si="2"/>
        <v/>
      </c>
      <c r="AA19" s="54" t="str">
        <f t="shared" si="5"/>
        <v/>
      </c>
      <c r="AB19" s="55" t="str">
        <f>IFERROR(IF(AND(Q18="Impacto",Q19="Impacto"),(AB18-(+AB18*T19)),IF(AND(Q18="Probabilidad",Q19="Impacto"),(AB17-(+AB17*T19)),IF(Q19="Probabilidad",AB18,""))),"")</f>
        <v/>
      </c>
      <c r="AC19" s="56" t="str">
        <f t="shared" si="3"/>
        <v/>
      </c>
      <c r="AD19" s="57"/>
      <c r="AE19" s="58"/>
      <c r="AF19" s="48"/>
      <c r="AG19" s="59"/>
      <c r="AH19" s="59"/>
      <c r="AI19" s="58"/>
      <c r="AJ19" s="4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50"/>
      <c r="B20" s="241"/>
      <c r="C20" s="241"/>
      <c r="D20" s="241"/>
      <c r="E20" s="229"/>
      <c r="F20" s="241"/>
      <c r="G20" s="244"/>
      <c r="H20" s="247"/>
      <c r="I20" s="235"/>
      <c r="J20" s="253"/>
      <c r="K20" s="235">
        <f>IF(NOT(ISERROR(MATCH(J20,_xlfn.ANCHORARRAY(E31),0))),I33&amp;"Por favor no seleccionar los criterios de impacto",J20)</f>
        <v>0</v>
      </c>
      <c r="L20" s="247"/>
      <c r="M20" s="235"/>
      <c r="N20" s="238"/>
      <c r="O20" s="6">
        <v>5</v>
      </c>
      <c r="P20" s="49"/>
      <c r="Q20" s="51" t="str">
        <f t="shared" si="0"/>
        <v/>
      </c>
      <c r="R20" s="52"/>
      <c r="S20" s="52"/>
      <c r="T20" s="53" t="str">
        <f t="shared" si="1"/>
        <v/>
      </c>
      <c r="U20" s="52"/>
      <c r="V20" s="52"/>
      <c r="W20" s="52"/>
      <c r="X20" s="24" t="str">
        <f>IFERROR(IF(AND(Q19="Probabilidad",Q20="Probabilidad"),(Z19-(+Z19*T20)),IF(AND(Q19="Impacto",Q20="Probabilidad"),(Z18-(+Z18*T20)),IF(Q20="Impacto",Z19,""))),"")</f>
        <v/>
      </c>
      <c r="Y20" s="54" t="str">
        <f t="shared" si="4"/>
        <v/>
      </c>
      <c r="Z20" s="55" t="str">
        <f t="shared" si="2"/>
        <v/>
      </c>
      <c r="AA20" s="54" t="str">
        <f t="shared" si="5"/>
        <v/>
      </c>
      <c r="AB20" s="55" t="str">
        <f>IFERROR(IF(AND(Q19="Impacto",Q20="Impacto"),(AB19-(+AB19*T20)),IF(AND(Q19="Probabilidad",Q20="Impacto"),(AB18-(+AB18*T20)),IF(Q20="Probabilidad",AB19,""))),"")</f>
        <v/>
      </c>
      <c r="AC20" s="56" t="str">
        <f t="shared" si="3"/>
        <v/>
      </c>
      <c r="AD20" s="57"/>
      <c r="AE20" s="58"/>
      <c r="AF20" s="48"/>
      <c r="AG20" s="59"/>
      <c r="AH20" s="59"/>
      <c r="AI20" s="58"/>
      <c r="AJ20" s="4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51"/>
      <c r="B21" s="242"/>
      <c r="C21" s="242"/>
      <c r="D21" s="242"/>
      <c r="E21" s="230"/>
      <c r="F21" s="242"/>
      <c r="G21" s="245"/>
      <c r="H21" s="248"/>
      <c r="I21" s="236"/>
      <c r="J21" s="254"/>
      <c r="K21" s="236">
        <f>IF(NOT(ISERROR(MATCH(J21,_xlfn.ANCHORARRAY(E32),0))),I34&amp;"Por favor no seleccionar los criterios de impacto",J21)</f>
        <v>0</v>
      </c>
      <c r="L21" s="248"/>
      <c r="M21" s="236"/>
      <c r="N21" s="239"/>
      <c r="O21" s="6">
        <v>6</v>
      </c>
      <c r="P21" s="49"/>
      <c r="Q21" s="51" t="str">
        <f t="shared" si="0"/>
        <v/>
      </c>
      <c r="R21" s="52"/>
      <c r="S21" s="52"/>
      <c r="T21" s="53" t="str">
        <f t="shared" si="1"/>
        <v/>
      </c>
      <c r="U21" s="52"/>
      <c r="V21" s="52"/>
      <c r="W21" s="52"/>
      <c r="X21" s="24" t="str">
        <f>IFERROR(IF(AND(Q20="Probabilidad",Q21="Probabilidad"),(Z20-(+Z20*T21)),IF(AND(Q20="Impacto",Q21="Probabilidad"),(Z19-(+Z19*T21)),IF(Q21="Impacto",Z20,""))),"")</f>
        <v/>
      </c>
      <c r="Y21" s="54" t="str">
        <f t="shared" si="4"/>
        <v/>
      </c>
      <c r="Z21" s="55" t="str">
        <f t="shared" si="2"/>
        <v/>
      </c>
      <c r="AA21" s="54" t="str">
        <f t="shared" si="5"/>
        <v/>
      </c>
      <c r="AB21" s="55" t="str">
        <f>IFERROR(IF(AND(Q20="Impacto",Q21="Impacto"),(AB20-(+AB20*T21)),IF(AND(Q20="Probabilidad",Q21="Impacto"),(AB19-(+AB19*T21)),IF(Q21="Probabilidad",AB20,""))),"")</f>
        <v/>
      </c>
      <c r="AC21" s="56" t="str">
        <f t="shared" si="3"/>
        <v/>
      </c>
      <c r="AD21" s="57"/>
      <c r="AE21" s="58"/>
      <c r="AF21" s="48"/>
      <c r="AG21" s="59"/>
      <c r="AH21" s="59"/>
      <c r="AI21" s="58"/>
      <c r="AJ21" s="4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49">
        <v>3</v>
      </c>
      <c r="B22" s="240" t="s">
        <v>132</v>
      </c>
      <c r="C22" s="240" t="s">
        <v>133</v>
      </c>
      <c r="D22" s="240" t="s">
        <v>134</v>
      </c>
      <c r="E22" s="228" t="s">
        <v>135</v>
      </c>
      <c r="F22" s="240" t="s">
        <v>113</v>
      </c>
      <c r="G22" s="243">
        <v>12</v>
      </c>
      <c r="H22" s="246" t="str">
        <f>IF(G22&lt;=0,"",IF(G22&lt;=2,"Muy Baja",IF(G22&lt;=24,"Baja",IF(G22&lt;=500,"Media",IF(G22&lt;=5000,"Alta","Muy Alta")))))</f>
        <v>Baja</v>
      </c>
      <c r="I22" s="234">
        <f>IF(H22="","",IF(H22="Muy Baja",0.2,IF(H22="Baja",0.4,IF(H22="Media",0.6,IF(H22="Alta",0.8,IF(H22="Muy Alta",1,))))))</f>
        <v>0.4</v>
      </c>
      <c r="J22" s="252" t="s">
        <v>136</v>
      </c>
      <c r="K22" s="234" t="str">
        <f>IF(NOT(ISERROR(MATCH(J22,'Tabla Impacto'!$B$221:$B$223,0))),'Tabla Impacto'!$F$223&amp;"Por favor no seleccionar los criterios de impacto(Afectación Económica o presupuestal y Pérdida Reputacional)",J22)</f>
        <v xml:space="preserve">     Entre 100 y 500 SMLMV </v>
      </c>
      <c r="L22" s="246" t="str">
        <f>IF(OR(K22='Tabla Impacto'!$C$11,K22='Tabla Impacto'!$D$11),"Leve",IF(OR(K22='Tabla Impacto'!$C$12,K22='Tabla Impacto'!$D$12),"Menor",IF(OR(K22='Tabla Impacto'!$C$13,K22='Tabla Impacto'!$D$13),"Moderado",IF(OR(K22='Tabla Impacto'!$C$14,K22='Tabla Impacto'!$D$14),"Mayor",IF(OR(K22='Tabla Impacto'!$C$15,K22='Tabla Impacto'!$D$15),"Catastrófico","")))))</f>
        <v>Mayor</v>
      </c>
      <c r="M22" s="234">
        <f>IF(L22="","",IF(L22="Leve",0.2,IF(L22="Menor",0.4,IF(L22="Moderado",0.6,IF(L22="Mayor",0.8,IF(L22="Catastrófico",1,))))))</f>
        <v>0.8</v>
      </c>
      <c r="N22" s="237"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6">
        <v>1</v>
      </c>
      <c r="P22" s="49" t="s">
        <v>137</v>
      </c>
      <c r="Q22" s="51" t="str">
        <f t="shared" si="0"/>
        <v>Probabilidad</v>
      </c>
      <c r="R22" s="52" t="s">
        <v>116</v>
      </c>
      <c r="S22" s="52" t="s">
        <v>117</v>
      </c>
      <c r="T22" s="53" t="str">
        <f t="shared" si="1"/>
        <v>40%</v>
      </c>
      <c r="U22" s="52" t="s">
        <v>118</v>
      </c>
      <c r="V22" s="52" t="s">
        <v>119</v>
      </c>
      <c r="W22" s="52" t="s">
        <v>120</v>
      </c>
      <c r="X22" s="24">
        <f>IFERROR(IF(Q22="Probabilidad",(I22-(+I22*T22)),IF(Q22="Impacto",I22,"")),"")</f>
        <v>0.24</v>
      </c>
      <c r="Y22" s="54" t="str">
        <f>IFERROR(IF(X22="","",IF(X22&lt;=0.2,"Muy Baja",IF(X22&lt;=0.4,"Baja",IF(X22&lt;=0.6,"Media",IF(X22&lt;=0.8,"Alta","Muy Alta"))))),"")</f>
        <v>Baja</v>
      </c>
      <c r="Z22" s="55">
        <f t="shared" si="2"/>
        <v>0.24</v>
      </c>
      <c r="AA22" s="54" t="str">
        <f>IFERROR(IF(AB22="","",IF(AB22&lt;=0.2,"Leve",IF(AB22&lt;=0.4,"Menor",IF(AB22&lt;=0.6,"Moderado",IF(AB22&lt;=0.8,"Mayor","Catastrófico"))))),"")</f>
        <v>Mayor</v>
      </c>
      <c r="AB22" s="55">
        <f>IFERROR(IF(Q22="Impacto",(M22-(+M22*T22)),IF(Q22="Probabilidad",M22,"")),"")</f>
        <v>0.8</v>
      </c>
      <c r="AC22" s="56" t="str">
        <f t="shared" si="3"/>
        <v>Alto</v>
      </c>
      <c r="AD22" s="57" t="s">
        <v>121</v>
      </c>
      <c r="AE22" s="58"/>
      <c r="AF22" s="58"/>
      <c r="AG22" s="59"/>
      <c r="AH22" s="59"/>
      <c r="AI22" s="58"/>
      <c r="AJ22" s="4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50"/>
      <c r="B23" s="241"/>
      <c r="C23" s="241"/>
      <c r="D23" s="241"/>
      <c r="E23" s="229"/>
      <c r="F23" s="241"/>
      <c r="G23" s="244"/>
      <c r="H23" s="247"/>
      <c r="I23" s="235"/>
      <c r="J23" s="253"/>
      <c r="K23" s="235">
        <f>IF(NOT(ISERROR(MATCH(J23,_xlfn.ANCHORARRAY(E34),0))),I36&amp;"Por favor no seleccionar los criterios de impacto",J23)</f>
        <v>0</v>
      </c>
      <c r="L23" s="247"/>
      <c r="M23" s="235"/>
      <c r="N23" s="238"/>
      <c r="O23" s="6">
        <v>2</v>
      </c>
      <c r="P23" s="49" t="s">
        <v>138</v>
      </c>
      <c r="Q23" s="51" t="str">
        <f t="shared" si="0"/>
        <v>Probabilidad</v>
      </c>
      <c r="R23" s="52" t="s">
        <v>116</v>
      </c>
      <c r="S23" s="52" t="s">
        <v>117</v>
      </c>
      <c r="T23" s="53" t="str">
        <f t="shared" si="1"/>
        <v>40%</v>
      </c>
      <c r="U23" s="52" t="s">
        <v>118</v>
      </c>
      <c r="V23" s="52" t="s">
        <v>119</v>
      </c>
      <c r="W23" s="52" t="s">
        <v>120</v>
      </c>
      <c r="X23" s="31">
        <f>IFERROR(IF(AND(Q22="Probabilidad",Q23="Probabilidad"),(Z22-(+Z22*T23)),IF(Q23="Probabilidad",(I22-(+I22*T23)),IF(Q23="Impacto",Z22,""))),"")</f>
        <v>0.14399999999999999</v>
      </c>
      <c r="Y23" s="54" t="str">
        <f t="shared" si="4"/>
        <v>Muy Baja</v>
      </c>
      <c r="Z23" s="55">
        <f t="shared" si="2"/>
        <v>0.14399999999999999</v>
      </c>
      <c r="AA23" s="54" t="str">
        <f t="shared" si="5"/>
        <v>Moderado</v>
      </c>
      <c r="AB23" s="55">
        <f>IFERROR(IF(AND(Q22="Impacto",Q23="Impacto"),(AB16-(+AB16*T23)),IF(Q23="Impacto",($M$22-(+$M$22*T23)),IF(Q23="Probabilidad",AB16,""))),"")</f>
        <v>0.6</v>
      </c>
      <c r="AC23" s="56" t="str">
        <f t="shared" si="3"/>
        <v>Moderado</v>
      </c>
      <c r="AD23" s="57" t="s">
        <v>121</v>
      </c>
      <c r="AE23" s="58"/>
      <c r="AF23" s="48"/>
      <c r="AG23" s="59"/>
      <c r="AH23" s="59"/>
      <c r="AI23" s="58"/>
      <c r="AJ23" s="4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50"/>
      <c r="B24" s="241"/>
      <c r="C24" s="241"/>
      <c r="D24" s="241"/>
      <c r="E24" s="229"/>
      <c r="F24" s="241"/>
      <c r="G24" s="244"/>
      <c r="H24" s="247"/>
      <c r="I24" s="235"/>
      <c r="J24" s="253"/>
      <c r="K24" s="235">
        <f>IF(NOT(ISERROR(MATCH(J24,_xlfn.ANCHORARRAY(E35),0))),I37&amp;"Por favor no seleccionar los criterios de impacto",J24)</f>
        <v>0</v>
      </c>
      <c r="L24" s="247"/>
      <c r="M24" s="235"/>
      <c r="N24" s="238"/>
      <c r="O24" s="6">
        <v>3</v>
      </c>
      <c r="P24" s="50" t="s">
        <v>139</v>
      </c>
      <c r="Q24" s="51" t="str">
        <f t="shared" si="0"/>
        <v>Probabilidad</v>
      </c>
      <c r="R24" s="52" t="s">
        <v>116</v>
      </c>
      <c r="S24" s="52" t="s">
        <v>117</v>
      </c>
      <c r="T24" s="53" t="str">
        <f t="shared" si="1"/>
        <v>40%</v>
      </c>
      <c r="U24" s="52" t="s">
        <v>118</v>
      </c>
      <c r="V24" s="52" t="s">
        <v>119</v>
      </c>
      <c r="W24" s="52" t="s">
        <v>120</v>
      </c>
      <c r="X24" s="24">
        <f>IFERROR(IF(AND(Q23="Probabilidad",Q24="Probabilidad"),(Z23-(+Z23*T24)),IF(AND(Q23="Impacto",Q24="Probabilidad"),(Z22-(+Z22*T24)),IF(Q24="Impacto",Z23,""))),"")</f>
        <v>8.6399999999999991E-2</v>
      </c>
      <c r="Y24" s="54" t="str">
        <f t="shared" si="4"/>
        <v>Muy Baja</v>
      </c>
      <c r="Z24" s="55">
        <f t="shared" si="2"/>
        <v>8.6399999999999991E-2</v>
      </c>
      <c r="AA24" s="54" t="str">
        <f t="shared" si="5"/>
        <v>Moderado</v>
      </c>
      <c r="AB24" s="55">
        <f>IFERROR(IF(AND(Q23="Impacto",Q24="Impacto"),(AB23-(+AB23*T24)),IF(AND(Q23="Probabilidad",Q24="Impacto"),(AB22-(+AB22*T24)),IF(Q24="Probabilidad",AB23,""))),"")</f>
        <v>0.6</v>
      </c>
      <c r="AC24" s="56" t="str">
        <f t="shared" si="3"/>
        <v>Moderado</v>
      </c>
      <c r="AD24" s="57" t="s">
        <v>121</v>
      </c>
      <c r="AE24" s="58"/>
      <c r="AF24" s="48"/>
      <c r="AG24" s="59"/>
      <c r="AH24" s="59"/>
      <c r="AI24" s="58"/>
      <c r="AJ24" s="4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50"/>
      <c r="B25" s="241"/>
      <c r="C25" s="241"/>
      <c r="D25" s="241"/>
      <c r="E25" s="229"/>
      <c r="F25" s="241"/>
      <c r="G25" s="244"/>
      <c r="H25" s="247"/>
      <c r="I25" s="235"/>
      <c r="J25" s="253"/>
      <c r="K25" s="235">
        <f>IF(NOT(ISERROR(MATCH(J25,_xlfn.ANCHORARRAY(E36),0))),I38&amp;"Por favor no seleccionar los criterios de impacto",J25)</f>
        <v>0</v>
      </c>
      <c r="L25" s="247"/>
      <c r="M25" s="235"/>
      <c r="N25" s="238"/>
      <c r="O25" s="6">
        <v>4</v>
      </c>
      <c r="P25" s="49" t="s">
        <v>69</v>
      </c>
      <c r="Q25" s="51" t="str">
        <f t="shared" si="0"/>
        <v>Probabilidad</v>
      </c>
      <c r="R25" s="52" t="s">
        <v>116</v>
      </c>
      <c r="S25" s="52" t="s">
        <v>117</v>
      </c>
      <c r="T25" s="53" t="str">
        <f t="shared" si="1"/>
        <v>40%</v>
      </c>
      <c r="U25" s="52" t="s">
        <v>118</v>
      </c>
      <c r="V25" s="52" t="s">
        <v>119</v>
      </c>
      <c r="W25" s="52" t="s">
        <v>120</v>
      </c>
      <c r="X25" s="24">
        <f>IFERROR(IF(AND(Q24="Probabilidad",Q25="Probabilidad"),(Z24-(+Z24*T25)),IF(AND(Q24="Impacto",Q25="Probabilidad"),(Z23-(+Z23*T25)),IF(Q25="Impacto",Z24,""))),"")</f>
        <v>5.183999999999999E-2</v>
      </c>
      <c r="Y25" s="54" t="str">
        <f t="shared" si="4"/>
        <v>Muy Baja</v>
      </c>
      <c r="Z25" s="55">
        <f t="shared" si="2"/>
        <v>5.183999999999999E-2</v>
      </c>
      <c r="AA25" s="54" t="str">
        <f t="shared" si="5"/>
        <v>Moderado</v>
      </c>
      <c r="AB25" s="55">
        <f>IFERROR(IF(AND(Q24="Impacto",Q25="Impacto"),(AB24-(+AB24*T25)),IF(AND(Q24="Probabilidad",Q25="Impacto"),(AB23-(+AB23*T25)),IF(Q25="Probabilidad",AB24,""))),"")</f>
        <v>0.6</v>
      </c>
      <c r="AC25" s="56" t="str">
        <f t="shared" si="3"/>
        <v>Moderado</v>
      </c>
      <c r="AD25" s="57" t="s">
        <v>121</v>
      </c>
      <c r="AE25" s="58"/>
      <c r="AF25" s="48"/>
      <c r="AG25" s="59"/>
      <c r="AH25" s="59"/>
      <c r="AI25" s="58"/>
      <c r="AJ25" s="4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50"/>
      <c r="B26" s="241"/>
      <c r="C26" s="241"/>
      <c r="D26" s="241"/>
      <c r="E26" s="229"/>
      <c r="F26" s="241"/>
      <c r="G26" s="244"/>
      <c r="H26" s="247"/>
      <c r="I26" s="235"/>
      <c r="J26" s="253"/>
      <c r="K26" s="235">
        <f>IF(NOT(ISERROR(MATCH(J26,_xlfn.ANCHORARRAY(E37),0))),I39&amp;"Por favor no seleccionar los criterios de impacto",J26)</f>
        <v>0</v>
      </c>
      <c r="L26" s="247"/>
      <c r="M26" s="235"/>
      <c r="N26" s="238"/>
      <c r="O26" s="6">
        <v>5</v>
      </c>
      <c r="P26" s="49"/>
      <c r="Q26" s="51" t="str">
        <f t="shared" si="0"/>
        <v/>
      </c>
      <c r="R26" s="52"/>
      <c r="S26" s="52"/>
      <c r="T26" s="53" t="str">
        <f t="shared" si="1"/>
        <v/>
      </c>
      <c r="U26" s="52"/>
      <c r="V26" s="52"/>
      <c r="W26" s="52"/>
      <c r="X26" s="24" t="str">
        <f>IFERROR(IF(AND(Q25="Probabilidad",Q26="Probabilidad"),(Z25-(+Z25*T26)),IF(AND(Q25="Impacto",Q26="Probabilidad"),(Z24-(+Z24*T26)),IF(Q26="Impacto",Z25,""))),"")</f>
        <v/>
      </c>
      <c r="Y26" s="54" t="str">
        <f t="shared" si="4"/>
        <v/>
      </c>
      <c r="Z26" s="55" t="str">
        <f t="shared" si="2"/>
        <v/>
      </c>
      <c r="AA26" s="54" t="str">
        <f t="shared" si="5"/>
        <v/>
      </c>
      <c r="AB26" s="55" t="str">
        <f>IFERROR(IF(AND(Q25="Impacto",Q26="Impacto"),(AB25-(+AB25*T26)),IF(AND(Q25="Probabilidad",Q26="Impacto"),(AB24-(+AB24*T26)),IF(Q26="Probabilidad",AB25,""))),"")</f>
        <v/>
      </c>
      <c r="AC26" s="56" t="str">
        <f t="shared" si="3"/>
        <v/>
      </c>
      <c r="AD26" s="57"/>
      <c r="AE26" s="58"/>
      <c r="AF26" s="48"/>
      <c r="AG26" s="59"/>
      <c r="AH26" s="59"/>
      <c r="AI26" s="58"/>
      <c r="AJ26" s="4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51"/>
      <c r="B27" s="242"/>
      <c r="C27" s="242"/>
      <c r="D27" s="242"/>
      <c r="E27" s="230"/>
      <c r="F27" s="242"/>
      <c r="G27" s="245"/>
      <c r="H27" s="248"/>
      <c r="I27" s="236"/>
      <c r="J27" s="254"/>
      <c r="K27" s="236">
        <f>IF(NOT(ISERROR(MATCH(J27,_xlfn.ANCHORARRAY(E38),0))),I40&amp;"Por favor no seleccionar los criterios de impacto",J27)</f>
        <v>0</v>
      </c>
      <c r="L27" s="248"/>
      <c r="M27" s="236"/>
      <c r="N27" s="239"/>
      <c r="O27" s="6">
        <v>6</v>
      </c>
      <c r="P27" s="49"/>
      <c r="Q27" s="51" t="str">
        <f t="shared" si="0"/>
        <v/>
      </c>
      <c r="R27" s="52"/>
      <c r="S27" s="52"/>
      <c r="T27" s="53" t="str">
        <f t="shared" si="1"/>
        <v/>
      </c>
      <c r="U27" s="52"/>
      <c r="V27" s="52"/>
      <c r="W27" s="52"/>
      <c r="X27" s="24" t="str">
        <f>IFERROR(IF(AND(Q26="Probabilidad",Q27="Probabilidad"),(Z26-(+Z26*T27)),IF(AND(Q26="Impacto",Q27="Probabilidad"),(Z25-(+Z25*T27)),IF(Q27="Impacto",Z26,""))),"")</f>
        <v/>
      </c>
      <c r="Y27" s="54" t="str">
        <f t="shared" si="4"/>
        <v/>
      </c>
      <c r="Z27" s="55" t="str">
        <f t="shared" si="2"/>
        <v/>
      </c>
      <c r="AA27" s="54" t="str">
        <f t="shared" si="5"/>
        <v/>
      </c>
      <c r="AB27" s="55" t="str">
        <f>IFERROR(IF(AND(Q26="Impacto",Q27="Impacto"),(AB26-(+AB26*T27)),IF(AND(Q26="Probabilidad",Q27="Impacto"),(AB25-(+AB25*T27)),IF(Q27="Probabilidad",AB26,""))),"")</f>
        <v/>
      </c>
      <c r="AC27" s="56" t="str">
        <f t="shared" si="3"/>
        <v/>
      </c>
      <c r="AD27" s="57"/>
      <c r="AE27" s="58"/>
      <c r="AF27" s="48"/>
      <c r="AG27" s="59"/>
      <c r="AH27" s="59"/>
      <c r="AI27" s="58"/>
      <c r="AJ27" s="4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49">
        <v>4</v>
      </c>
      <c r="B28" s="240" t="s">
        <v>110</v>
      </c>
      <c r="C28" s="240" t="s">
        <v>301</v>
      </c>
      <c r="D28" s="240" t="s">
        <v>300</v>
      </c>
      <c r="E28" s="228" t="s">
        <v>303</v>
      </c>
      <c r="F28" s="240" t="s">
        <v>140</v>
      </c>
      <c r="G28" s="243">
        <v>1</v>
      </c>
      <c r="H28" s="246" t="str">
        <f>IF(G28&lt;=0,"",IF(G28&lt;=2,"Muy Baja",IF(G28&lt;=24,"Baja",IF(G28&lt;=500,"Media",IF(G28&lt;=5000,"Alta","Muy Alta")))))</f>
        <v>Muy Baja</v>
      </c>
      <c r="I28" s="234">
        <f>IF(H28="","",IF(H28="Muy Baja",0.2,IF(H28="Baja",0.4,IF(H28="Media",0.6,IF(H28="Alta",0.8,IF(H28="Muy Alta",1,))))))</f>
        <v>0.2</v>
      </c>
      <c r="J28" s="252" t="s">
        <v>141</v>
      </c>
      <c r="K28" s="234" t="str">
        <f>IF(NOT(ISERROR(MATCH(J28,'Tabla Impacto'!$B$221:$B$223,0))),'Tabla Impacto'!$F$223&amp;"Por favor no seleccionar los criterios de impacto(Afectación Económica o presupuestal y Pérdida Reputacional)",J28)</f>
        <v xml:space="preserve">     El riesgo afecta la imagen de la entidad a nivel nacional, con efecto publicitarios sostenible a nivel país</v>
      </c>
      <c r="L28" s="246" t="str">
        <f>IF(OR(K28='Tabla Impacto'!$C$11,K28='Tabla Impacto'!$D$11),"Leve",IF(OR(K28='Tabla Impacto'!$C$12,K28='Tabla Impacto'!$D$12),"Menor",IF(OR(K28='Tabla Impacto'!$C$13,K28='Tabla Impacto'!$D$13),"Moderado",IF(OR(K28='Tabla Impacto'!$C$14,K28='Tabla Impacto'!$D$14),"Mayor",IF(OR(K28='Tabla Impacto'!$C$15,K28='Tabla Impacto'!$D$15),"Catastrófico","")))))</f>
        <v>Catastrófico</v>
      </c>
      <c r="M28" s="234">
        <f>IF(L28="","",IF(L28="Leve",0.2,IF(L28="Menor",0.4,IF(L28="Moderado",0.6,IF(L28="Mayor",0.8,IF(L28="Catastrófico",1,))))))</f>
        <v>1</v>
      </c>
      <c r="N28" s="237"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Extremo</v>
      </c>
      <c r="O28" s="6">
        <v>1</v>
      </c>
      <c r="P28" s="49" t="s">
        <v>296</v>
      </c>
      <c r="Q28" s="51" t="str">
        <f t="shared" si="0"/>
        <v>Probabilidad</v>
      </c>
      <c r="R28" s="52" t="s">
        <v>116</v>
      </c>
      <c r="S28" s="52" t="s">
        <v>117</v>
      </c>
      <c r="T28" s="53" t="str">
        <f t="shared" si="1"/>
        <v>40%</v>
      </c>
      <c r="U28" s="52" t="s">
        <v>118</v>
      </c>
      <c r="V28" s="52" t="s">
        <v>119</v>
      </c>
      <c r="W28" s="52" t="s">
        <v>120</v>
      </c>
      <c r="X28" s="24">
        <f>IFERROR(IF(Q28="Probabilidad",(I28-(+I28*T28)),IF(Q28="Impacto",I28,"")),"")</f>
        <v>0.12</v>
      </c>
      <c r="Y28" s="54" t="str">
        <f>IFERROR(IF(X28="","",IF(X28&lt;=0.2,"Muy Baja",IF(X28&lt;=0.4,"Baja",IF(X28&lt;=0.6,"Media",IF(X28&lt;=0.8,"Alta","Muy Alta"))))),"")</f>
        <v>Muy Baja</v>
      </c>
      <c r="Z28" s="55">
        <f t="shared" si="2"/>
        <v>0.12</v>
      </c>
      <c r="AA28" s="54" t="str">
        <f>IFERROR(IF(AB28="","",IF(AB28&lt;=0.2,"Leve",IF(AB28&lt;=0.4,"Menor",IF(AB28&lt;=0.6,"Moderado",IF(AB28&lt;=0.8,"Mayor","Catastrófico"))))),"")</f>
        <v>Catastrófico</v>
      </c>
      <c r="AB28" s="55">
        <f>IFERROR(IF(Q28="Impacto",(M28-(+M28*T28)),IF(Q28="Probabilidad",M28,"")),"")</f>
        <v>1</v>
      </c>
      <c r="AC28" s="56" t="str">
        <f t="shared" si="3"/>
        <v>Extremo</v>
      </c>
      <c r="AD28" s="57" t="s">
        <v>121</v>
      </c>
      <c r="AE28" s="58" t="s">
        <v>297</v>
      </c>
      <c r="AF28" s="58" t="s">
        <v>298</v>
      </c>
      <c r="AG28" s="137" t="s">
        <v>299</v>
      </c>
      <c r="AH28" s="137" t="s">
        <v>302</v>
      </c>
      <c r="AI28" s="58" t="s">
        <v>304</v>
      </c>
      <c r="AJ28" s="48" t="s">
        <v>151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50"/>
      <c r="B29" s="241"/>
      <c r="C29" s="241"/>
      <c r="D29" s="241"/>
      <c r="E29" s="229"/>
      <c r="F29" s="241"/>
      <c r="G29" s="244"/>
      <c r="H29" s="247"/>
      <c r="I29" s="235"/>
      <c r="J29" s="253"/>
      <c r="K29" s="235">
        <f>IF(NOT(ISERROR(MATCH(J29,_xlfn.ANCHORARRAY(E40),0))),I42&amp;"Por favor no seleccionar los criterios de impacto",J29)</f>
        <v>0</v>
      </c>
      <c r="L29" s="247"/>
      <c r="M29" s="235"/>
      <c r="N29" s="238"/>
      <c r="O29" s="6">
        <v>2</v>
      </c>
      <c r="P29" s="49"/>
      <c r="Q29" s="51" t="str">
        <f t="shared" si="0"/>
        <v/>
      </c>
      <c r="R29" s="52"/>
      <c r="S29" s="52"/>
      <c r="T29" s="53" t="str">
        <f t="shared" si="1"/>
        <v/>
      </c>
      <c r="U29" s="52"/>
      <c r="V29" s="52"/>
      <c r="W29" s="52"/>
      <c r="X29" s="24" t="str">
        <f>IFERROR(IF(AND(Q28="Probabilidad",Q29="Probabilidad"),(Z28-(+Z28*T29)),IF(Q29="Probabilidad",(I28-(+I28*T29)),IF(Q29="Impacto",Z28,""))),"")</f>
        <v/>
      </c>
      <c r="Y29" s="54" t="str">
        <f t="shared" si="4"/>
        <v/>
      </c>
      <c r="Z29" s="55" t="str">
        <f t="shared" si="2"/>
        <v/>
      </c>
      <c r="AA29" s="54" t="str">
        <f t="shared" si="5"/>
        <v/>
      </c>
      <c r="AB29" s="55" t="str">
        <f>IFERROR(IF(AND(Q28="Impacto",Q29="Impacto"),(AB22-(+AB22*T29)),IF(Q29="Impacto",($M$28-(+$M$28*T29)),IF(Q29="Probabilidad",AB22,""))),"")</f>
        <v/>
      </c>
      <c r="AC29" s="56" t="str">
        <f t="shared" si="3"/>
        <v/>
      </c>
      <c r="AD29" s="57"/>
      <c r="AE29" s="58"/>
      <c r="AF29" s="48"/>
      <c r="AG29" s="59"/>
      <c r="AH29" s="59"/>
      <c r="AI29" s="58"/>
      <c r="AJ29" s="4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50"/>
      <c r="B30" s="241"/>
      <c r="C30" s="241"/>
      <c r="D30" s="241"/>
      <c r="E30" s="229"/>
      <c r="F30" s="241"/>
      <c r="G30" s="244"/>
      <c r="H30" s="247"/>
      <c r="I30" s="235"/>
      <c r="J30" s="253"/>
      <c r="K30" s="235">
        <f>IF(NOT(ISERROR(MATCH(J30,_xlfn.ANCHORARRAY(E41),0))),I43&amp;"Por favor no seleccionar los criterios de impacto",J30)</f>
        <v>0</v>
      </c>
      <c r="L30" s="247"/>
      <c r="M30" s="235"/>
      <c r="N30" s="238"/>
      <c r="O30" s="6">
        <v>3</v>
      </c>
      <c r="P30" s="50"/>
      <c r="Q30" s="51" t="str">
        <f t="shared" si="0"/>
        <v/>
      </c>
      <c r="R30" s="52"/>
      <c r="S30" s="52"/>
      <c r="T30" s="53" t="str">
        <f t="shared" si="1"/>
        <v/>
      </c>
      <c r="U30" s="52"/>
      <c r="V30" s="52"/>
      <c r="W30" s="52"/>
      <c r="X30" s="24" t="str">
        <f>IFERROR(IF(AND(Q29="Probabilidad",Q30="Probabilidad"),(Z29-(+Z29*T30)),IF(AND(Q29="Impacto",Q30="Probabilidad"),(Z28-(+Z28*T30)),IF(Q30="Impacto",Z29,""))),"")</f>
        <v/>
      </c>
      <c r="Y30" s="54" t="str">
        <f t="shared" si="4"/>
        <v/>
      </c>
      <c r="Z30" s="55" t="str">
        <f t="shared" si="2"/>
        <v/>
      </c>
      <c r="AA30" s="54" t="str">
        <f t="shared" si="5"/>
        <v/>
      </c>
      <c r="AB30" s="55" t="str">
        <f>IFERROR(IF(AND(Q29="Impacto",Q30="Impacto"),(AB29-(+AB29*T30)),IF(AND(Q29="Probabilidad",Q30="Impacto"),(AB28-(+AB28*T30)),IF(Q30="Probabilidad",AB29,""))),"")</f>
        <v/>
      </c>
      <c r="AC30" s="56" t="str">
        <f t="shared" si="3"/>
        <v/>
      </c>
      <c r="AD30" s="57"/>
      <c r="AE30" s="58"/>
      <c r="AF30" s="48"/>
      <c r="AG30" s="59"/>
      <c r="AH30" s="59"/>
      <c r="AI30" s="58"/>
      <c r="AJ30" s="4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50"/>
      <c r="B31" s="241"/>
      <c r="C31" s="241"/>
      <c r="D31" s="241"/>
      <c r="E31" s="229"/>
      <c r="F31" s="241"/>
      <c r="G31" s="244"/>
      <c r="H31" s="247"/>
      <c r="I31" s="235"/>
      <c r="J31" s="253"/>
      <c r="K31" s="235">
        <f>IF(NOT(ISERROR(MATCH(J31,_xlfn.ANCHORARRAY(E42),0))),I44&amp;"Por favor no seleccionar los criterios de impacto",J31)</f>
        <v>0</v>
      </c>
      <c r="L31" s="247"/>
      <c r="M31" s="235"/>
      <c r="N31" s="238"/>
      <c r="O31" s="6">
        <v>4</v>
      </c>
      <c r="P31" s="49"/>
      <c r="Q31" s="51" t="str">
        <f t="shared" si="0"/>
        <v/>
      </c>
      <c r="R31" s="52"/>
      <c r="S31" s="52"/>
      <c r="T31" s="53" t="str">
        <f t="shared" si="1"/>
        <v/>
      </c>
      <c r="U31" s="52"/>
      <c r="V31" s="52"/>
      <c r="W31" s="52"/>
      <c r="X31" s="24" t="str">
        <f>IFERROR(IF(AND(Q30="Probabilidad",Q31="Probabilidad"),(Z30-(+Z30*T31)),IF(AND(Q30="Impacto",Q31="Probabilidad"),(Z29-(+Z29*T31)),IF(Q31="Impacto",Z30,""))),"")</f>
        <v/>
      </c>
      <c r="Y31" s="54" t="str">
        <f t="shared" si="4"/>
        <v/>
      </c>
      <c r="Z31" s="55" t="str">
        <f t="shared" si="2"/>
        <v/>
      </c>
      <c r="AA31" s="54" t="str">
        <f t="shared" si="5"/>
        <v/>
      </c>
      <c r="AB31" s="55" t="str">
        <f>IFERROR(IF(AND(Q30="Impacto",Q31="Impacto"),(AB30-(+AB30*T31)),IF(AND(Q30="Probabilidad",Q31="Impacto"),(AB29-(+AB29*T31)),IF(Q31="Probabilidad",AB30,""))),"")</f>
        <v/>
      </c>
      <c r="AC31" s="56" t="str">
        <f t="shared" si="3"/>
        <v/>
      </c>
      <c r="AD31" s="57"/>
      <c r="AE31" s="58"/>
      <c r="AF31" s="48"/>
      <c r="AG31" s="59"/>
      <c r="AH31" s="59"/>
      <c r="AI31" s="58"/>
      <c r="AJ31" s="4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50"/>
      <c r="B32" s="241"/>
      <c r="C32" s="241"/>
      <c r="D32" s="241"/>
      <c r="E32" s="229"/>
      <c r="F32" s="241"/>
      <c r="G32" s="244"/>
      <c r="H32" s="247"/>
      <c r="I32" s="235"/>
      <c r="J32" s="253"/>
      <c r="K32" s="235">
        <f>IF(NOT(ISERROR(MATCH(J32,_xlfn.ANCHORARRAY(E43),0))),I45&amp;"Por favor no seleccionar los criterios de impacto",J32)</f>
        <v>0</v>
      </c>
      <c r="L32" s="247"/>
      <c r="M32" s="235"/>
      <c r="N32" s="238"/>
      <c r="O32" s="6">
        <v>5</v>
      </c>
      <c r="P32" s="49"/>
      <c r="Q32" s="51" t="str">
        <f t="shared" si="0"/>
        <v/>
      </c>
      <c r="R32" s="52"/>
      <c r="S32" s="52"/>
      <c r="T32" s="53" t="str">
        <f t="shared" si="1"/>
        <v/>
      </c>
      <c r="U32" s="52"/>
      <c r="V32" s="52"/>
      <c r="W32" s="52"/>
      <c r="X32" s="31" t="str">
        <f>IFERROR(IF(AND(Q31="Probabilidad",Q32="Probabilidad"),(Z31-(+Z31*T32)),IF(AND(Q31="Impacto",Q32="Probabilidad"),(Z30-(+Z30*T32)),IF(Q32="Impacto",Z31,""))),"")</f>
        <v/>
      </c>
      <c r="Y32" s="54" t="str">
        <f>IFERROR(IF(X32="","",IF(X32&lt;=0.2,"Muy Baja",IF(X32&lt;=0.4,"Baja",IF(X32&lt;=0.6,"Media",IF(X32&lt;=0.8,"Alta","Muy Alta"))))),"")</f>
        <v/>
      </c>
      <c r="Z32" s="55" t="str">
        <f t="shared" si="2"/>
        <v/>
      </c>
      <c r="AA32" s="54" t="str">
        <f t="shared" si="5"/>
        <v/>
      </c>
      <c r="AB32" s="55" t="str">
        <f>IFERROR(IF(AND(Q31="Impacto",Q32="Impacto"),(AB31-(+AB31*T32)),IF(AND(Q31="Probabilidad",Q32="Impacto"),(AB30-(+AB30*T32)),IF(Q32="Probabilidad",AB31,""))),"")</f>
        <v/>
      </c>
      <c r="AC32" s="56" t="str">
        <f t="shared" si="3"/>
        <v/>
      </c>
      <c r="AD32" s="57"/>
      <c r="AE32" s="58"/>
      <c r="AF32" s="48"/>
      <c r="AG32" s="59"/>
      <c r="AH32" s="59"/>
      <c r="AI32" s="58"/>
      <c r="AJ32" s="4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51"/>
      <c r="B33" s="242"/>
      <c r="C33" s="242"/>
      <c r="D33" s="242"/>
      <c r="E33" s="230"/>
      <c r="F33" s="242"/>
      <c r="G33" s="245"/>
      <c r="H33" s="248"/>
      <c r="I33" s="236"/>
      <c r="J33" s="254"/>
      <c r="K33" s="236">
        <f>IF(NOT(ISERROR(MATCH(J33,_xlfn.ANCHORARRAY(E44),0))),I46&amp;"Por favor no seleccionar los criterios de impacto",J33)</f>
        <v>0</v>
      </c>
      <c r="L33" s="248"/>
      <c r="M33" s="236"/>
      <c r="N33" s="239"/>
      <c r="O33" s="6">
        <v>6</v>
      </c>
      <c r="P33" s="49"/>
      <c r="Q33" s="51" t="str">
        <f t="shared" si="0"/>
        <v/>
      </c>
      <c r="R33" s="52"/>
      <c r="S33" s="52"/>
      <c r="T33" s="53" t="str">
        <f t="shared" si="1"/>
        <v/>
      </c>
      <c r="U33" s="52"/>
      <c r="V33" s="52"/>
      <c r="W33" s="52"/>
      <c r="X33" s="24" t="str">
        <f>IFERROR(IF(AND(Q32="Probabilidad",Q33="Probabilidad"),(Z32-(+Z32*T33)),IF(AND(Q32="Impacto",Q33="Probabilidad"),(Z31-(+Z31*T33)),IF(Q33="Impacto",Z32,""))),"")</f>
        <v/>
      </c>
      <c r="Y33" s="54" t="str">
        <f t="shared" si="4"/>
        <v/>
      </c>
      <c r="Z33" s="55" t="str">
        <f t="shared" si="2"/>
        <v/>
      </c>
      <c r="AA33" s="54" t="str">
        <f t="shared" si="5"/>
        <v/>
      </c>
      <c r="AB33" s="55" t="str">
        <f>IFERROR(IF(AND(Q32="Impacto",Q33="Impacto"),(AB32-(+AB32*T33)),IF(AND(Q32="Probabilidad",Q33="Impacto"),(AB31-(+AB31*T33)),IF(Q33="Probabilidad",AB32,""))),"")</f>
        <v/>
      </c>
      <c r="AC33" s="56" t="str">
        <f t="shared" si="3"/>
        <v/>
      </c>
      <c r="AD33" s="57"/>
      <c r="AE33" s="58"/>
      <c r="AF33" s="48"/>
      <c r="AG33" s="59"/>
      <c r="AH33" s="59"/>
      <c r="AI33" s="58"/>
      <c r="AJ33" s="4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49">
        <v>5</v>
      </c>
      <c r="B34" s="240" t="s">
        <v>110</v>
      </c>
      <c r="C34" s="240" t="s">
        <v>142</v>
      </c>
      <c r="D34" s="240" t="s">
        <v>143</v>
      </c>
      <c r="E34" s="228" t="s">
        <v>144</v>
      </c>
      <c r="F34" s="240" t="s">
        <v>113</v>
      </c>
      <c r="G34" s="243">
        <v>1</v>
      </c>
      <c r="H34" s="246" t="str">
        <f>IF(G34&lt;=0,"",IF(G34&lt;=2,"Muy Baja",IF(G34&lt;=24,"Baja",IF(G34&lt;=500,"Media",IF(G34&lt;=5000,"Alta","Muy Alta")))))</f>
        <v>Muy Baja</v>
      </c>
      <c r="I34" s="234">
        <f>IF(H34="","",IF(H34="Muy Baja",0.2,IF(H34="Baja",0.4,IF(H34="Media",0.6,IF(H34="Alta",0.8,IF(H34="Muy Alta",1,))))))</f>
        <v>0.2</v>
      </c>
      <c r="J34" s="252" t="s">
        <v>141</v>
      </c>
      <c r="K34" s="234" t="str">
        <f>IF(NOT(ISERROR(MATCH(J34,'Tabla Impacto'!$B$221:$B$223,0))),'Tabla Impacto'!$F$223&amp;"Por favor no seleccionar los criterios de impacto(Afectación Económica o presupuestal y Pérdida Reputacional)",J34)</f>
        <v xml:space="preserve">     El riesgo afecta la imagen de la entidad a nivel nacional, con efecto publicitarios sostenible a nivel país</v>
      </c>
      <c r="L34" s="246" t="str">
        <f>IF(OR(K34='Tabla Impacto'!$C$11,K34='Tabla Impacto'!$D$11),"Leve",IF(OR(K34='Tabla Impacto'!$C$12,K34='Tabla Impacto'!$D$12),"Menor",IF(OR(K34='Tabla Impacto'!$C$13,K34='Tabla Impacto'!$D$13),"Moderado",IF(OR(K34='Tabla Impacto'!$C$14,K34='Tabla Impacto'!$D$14),"Mayor",IF(OR(K34='Tabla Impacto'!$C$15,K34='Tabla Impacto'!$D$15),"Catastrófico","")))))</f>
        <v>Catastrófico</v>
      </c>
      <c r="M34" s="234">
        <f>IF(L34="","",IF(L34="Leve",0.2,IF(L34="Menor",0.4,IF(L34="Moderado",0.6,IF(L34="Mayor",0.8,IF(L34="Catastrófico",1,))))))</f>
        <v>1</v>
      </c>
      <c r="N34" s="237"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Extremo</v>
      </c>
      <c r="O34" s="6">
        <v>1</v>
      </c>
      <c r="P34" s="49" t="s">
        <v>145</v>
      </c>
      <c r="Q34" s="51" t="str">
        <f t="shared" si="0"/>
        <v>Probabilidad</v>
      </c>
      <c r="R34" s="52" t="s">
        <v>116</v>
      </c>
      <c r="S34" s="52" t="s">
        <v>117</v>
      </c>
      <c r="T34" s="53" t="str">
        <f t="shared" si="1"/>
        <v>40%</v>
      </c>
      <c r="U34" s="52" t="s">
        <v>118</v>
      </c>
      <c r="V34" s="52" t="s">
        <v>119</v>
      </c>
      <c r="W34" s="52" t="s">
        <v>120</v>
      </c>
      <c r="X34" s="24">
        <f>IFERROR(IF(Q34="Probabilidad",(I34-(+I34*T34)),IF(Q34="Impacto",I34,"")),"")</f>
        <v>0.12</v>
      </c>
      <c r="Y34" s="54" t="str">
        <f>IFERROR(IF(X34="","",IF(X34&lt;=0.2,"Muy Baja",IF(X34&lt;=0.4,"Baja",IF(X34&lt;=0.6,"Media",IF(X34&lt;=0.8,"Alta","Muy Alta"))))),"")</f>
        <v>Muy Baja</v>
      </c>
      <c r="Z34" s="55">
        <f t="shared" si="2"/>
        <v>0.12</v>
      </c>
      <c r="AA34" s="54" t="str">
        <f>IFERROR(IF(AB34="","",IF(AB34&lt;=0.2,"Leve",IF(AB34&lt;=0.4,"Menor",IF(AB34&lt;=0.6,"Moderado",IF(AB34&lt;=0.8,"Mayor","Catastrófico"))))),"")</f>
        <v>Catastrófico</v>
      </c>
      <c r="AB34" s="55">
        <f>IFERROR(IF(Q34="Impacto",(M34-(+M34*T34)),IF(Q34="Probabilidad",M34,"")),"")</f>
        <v>1</v>
      </c>
      <c r="AC34" s="56" t="str">
        <f t="shared" si="3"/>
        <v>Extremo</v>
      </c>
      <c r="AD34" s="57" t="s">
        <v>121</v>
      </c>
      <c r="AE34" s="58" t="s">
        <v>146</v>
      </c>
      <c r="AF34" s="48" t="s">
        <v>147</v>
      </c>
      <c r="AG34" s="137" t="s">
        <v>148</v>
      </c>
      <c r="AH34" s="137" t="s">
        <v>149</v>
      </c>
      <c r="AI34" s="58" t="s">
        <v>150</v>
      </c>
      <c r="AJ34" s="48" t="s">
        <v>151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50"/>
      <c r="B35" s="241"/>
      <c r="C35" s="241"/>
      <c r="D35" s="241"/>
      <c r="E35" s="229"/>
      <c r="F35" s="241"/>
      <c r="G35" s="244"/>
      <c r="H35" s="247"/>
      <c r="I35" s="235"/>
      <c r="J35" s="253"/>
      <c r="K35" s="235">
        <f>IF(NOT(ISERROR(MATCH(J35,_xlfn.ANCHORARRAY(E46),0))),I48&amp;"Por favor no seleccionar los criterios de impacto",J35)</f>
        <v>0</v>
      </c>
      <c r="L35" s="247"/>
      <c r="M35" s="235"/>
      <c r="N35" s="238"/>
      <c r="O35" s="6">
        <v>2</v>
      </c>
      <c r="P35" s="49"/>
      <c r="Q35" s="51" t="str">
        <f t="shared" si="0"/>
        <v/>
      </c>
      <c r="R35" s="52"/>
      <c r="S35" s="52"/>
      <c r="T35" s="53" t="str">
        <f t="shared" si="1"/>
        <v/>
      </c>
      <c r="U35" s="52"/>
      <c r="V35" s="52"/>
      <c r="W35" s="52"/>
      <c r="X35" s="24" t="str">
        <f>IFERROR(IF(AND(Q34="Probabilidad",Q35="Probabilidad"),(Z34-(+Z34*T35)),IF(Q35="Probabilidad",(I34-(+I34*T35)),IF(Q35="Impacto",Z34,""))),"")</f>
        <v/>
      </c>
      <c r="Y35" s="54" t="str">
        <f t="shared" si="4"/>
        <v/>
      </c>
      <c r="Z35" s="55" t="str">
        <f t="shared" si="2"/>
        <v/>
      </c>
      <c r="AA35" s="54" t="str">
        <f t="shared" si="5"/>
        <v/>
      </c>
      <c r="AB35" s="55" t="str">
        <f>IFERROR(IF(AND(Q34="Impacto",Q35="Impacto"),(AB28-(+AB28*T35)),IF(Q35="Impacto",($M$34-(+$M$34*T35)),IF(Q35="Probabilidad",AB28,""))),"")</f>
        <v/>
      </c>
      <c r="AC35" s="56" t="str">
        <f t="shared" si="3"/>
        <v/>
      </c>
      <c r="AD35" s="57"/>
      <c r="AE35" s="58"/>
      <c r="AF35" s="48"/>
      <c r="AG35" s="59"/>
      <c r="AH35" s="59"/>
      <c r="AI35" s="58"/>
      <c r="AJ35" s="4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50"/>
      <c r="B36" s="241"/>
      <c r="C36" s="241"/>
      <c r="D36" s="241"/>
      <c r="E36" s="229"/>
      <c r="F36" s="241"/>
      <c r="G36" s="244"/>
      <c r="H36" s="247"/>
      <c r="I36" s="235"/>
      <c r="J36" s="253"/>
      <c r="K36" s="235">
        <f>IF(NOT(ISERROR(MATCH(J36,_xlfn.ANCHORARRAY(E47),0))),I49&amp;"Por favor no seleccionar los criterios de impacto",J36)</f>
        <v>0</v>
      </c>
      <c r="L36" s="247"/>
      <c r="M36" s="235"/>
      <c r="N36" s="238"/>
      <c r="O36" s="6">
        <v>3</v>
      </c>
      <c r="P36" s="50"/>
      <c r="Q36" s="51" t="str">
        <f t="shared" si="0"/>
        <v/>
      </c>
      <c r="R36" s="52"/>
      <c r="S36" s="52"/>
      <c r="T36" s="53" t="str">
        <f t="shared" si="1"/>
        <v/>
      </c>
      <c r="U36" s="52"/>
      <c r="V36" s="52"/>
      <c r="W36" s="52"/>
      <c r="X36" s="24" t="str">
        <f>IFERROR(IF(AND(Q35="Probabilidad",Q36="Probabilidad"),(Z35-(+Z35*T36)),IF(AND(Q35="Impacto",Q36="Probabilidad"),(Z34-(+Z34*T36)),IF(Q36="Impacto",Z35,""))),"")</f>
        <v/>
      </c>
      <c r="Y36" s="54" t="str">
        <f t="shared" si="4"/>
        <v/>
      </c>
      <c r="Z36" s="55" t="str">
        <f t="shared" si="2"/>
        <v/>
      </c>
      <c r="AA36" s="54" t="str">
        <f t="shared" si="5"/>
        <v/>
      </c>
      <c r="AB36" s="55" t="str">
        <f>IFERROR(IF(AND(Q35="Impacto",Q36="Impacto"),(AB35-(+AB35*T36)),IF(AND(Q35="Probabilidad",Q36="Impacto"),(AB34-(+AB34*T36)),IF(Q36="Probabilidad",AB35,""))),"")</f>
        <v/>
      </c>
      <c r="AC36" s="56" t="str">
        <f t="shared" si="3"/>
        <v/>
      </c>
      <c r="AD36" s="57"/>
      <c r="AE36" s="58"/>
      <c r="AF36" s="48"/>
      <c r="AG36" s="59"/>
      <c r="AH36" s="59"/>
      <c r="AI36" s="58"/>
      <c r="AJ36" s="4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50"/>
      <c r="B37" s="241"/>
      <c r="C37" s="241"/>
      <c r="D37" s="241"/>
      <c r="E37" s="229"/>
      <c r="F37" s="241"/>
      <c r="G37" s="244"/>
      <c r="H37" s="247"/>
      <c r="I37" s="235"/>
      <c r="J37" s="253"/>
      <c r="K37" s="235">
        <f>IF(NOT(ISERROR(MATCH(J37,_xlfn.ANCHORARRAY(E48),0))),I50&amp;"Por favor no seleccionar los criterios de impacto",J37)</f>
        <v>0</v>
      </c>
      <c r="L37" s="247"/>
      <c r="M37" s="235"/>
      <c r="N37" s="238"/>
      <c r="O37" s="6">
        <v>4</v>
      </c>
      <c r="P37" s="49"/>
      <c r="Q37" s="51" t="str">
        <f t="shared" si="0"/>
        <v/>
      </c>
      <c r="R37" s="52"/>
      <c r="S37" s="52"/>
      <c r="T37" s="53" t="str">
        <f t="shared" si="1"/>
        <v/>
      </c>
      <c r="U37" s="52"/>
      <c r="V37" s="52"/>
      <c r="W37" s="52"/>
      <c r="X37" s="24" t="str">
        <f>IFERROR(IF(AND(Q36="Probabilidad",Q37="Probabilidad"),(Z36-(+Z36*T37)),IF(AND(Q36="Impacto",Q37="Probabilidad"),(Z35-(+Z35*T37)),IF(Q37="Impacto",Z36,""))),"")</f>
        <v/>
      </c>
      <c r="Y37" s="54" t="str">
        <f t="shared" si="4"/>
        <v/>
      </c>
      <c r="Z37" s="55" t="str">
        <f t="shared" si="2"/>
        <v/>
      </c>
      <c r="AA37" s="54" t="str">
        <f t="shared" si="5"/>
        <v/>
      </c>
      <c r="AB37" s="55" t="str">
        <f>IFERROR(IF(AND(Q36="Impacto",Q37="Impacto"),(AB36-(+AB36*T37)),IF(AND(Q36="Probabilidad",Q37="Impacto"),(AB35-(+AB35*T37)),IF(Q37="Probabilidad",AB36,""))),"")</f>
        <v/>
      </c>
      <c r="AC37" s="56" t="str">
        <f t="shared" si="3"/>
        <v/>
      </c>
      <c r="AD37" s="57"/>
      <c r="AE37" s="58"/>
      <c r="AF37" s="48"/>
      <c r="AG37" s="59"/>
      <c r="AH37" s="59"/>
      <c r="AI37" s="58"/>
      <c r="AJ37" s="4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50"/>
      <c r="B38" s="241"/>
      <c r="C38" s="241"/>
      <c r="D38" s="241"/>
      <c r="E38" s="229"/>
      <c r="F38" s="241"/>
      <c r="G38" s="244"/>
      <c r="H38" s="247"/>
      <c r="I38" s="235"/>
      <c r="J38" s="253"/>
      <c r="K38" s="235">
        <f>IF(NOT(ISERROR(MATCH(J38,_xlfn.ANCHORARRAY(E49),0))),I51&amp;"Por favor no seleccionar los criterios de impacto",J38)</f>
        <v>0</v>
      </c>
      <c r="L38" s="247"/>
      <c r="M38" s="235"/>
      <c r="N38" s="238"/>
      <c r="O38" s="6">
        <v>5</v>
      </c>
      <c r="P38" s="49"/>
      <c r="Q38" s="51" t="str">
        <f t="shared" si="0"/>
        <v/>
      </c>
      <c r="R38" s="52"/>
      <c r="S38" s="52"/>
      <c r="T38" s="53" t="str">
        <f t="shared" si="1"/>
        <v/>
      </c>
      <c r="U38" s="52"/>
      <c r="V38" s="52"/>
      <c r="W38" s="52"/>
      <c r="X38" s="24" t="str">
        <f>IFERROR(IF(AND(Q37="Probabilidad",Q38="Probabilidad"),(Z37-(+Z37*T38)),IF(AND(Q37="Impacto",Q38="Probabilidad"),(Z36-(+Z36*T38)),IF(Q38="Impacto",Z37,""))),"")</f>
        <v/>
      </c>
      <c r="Y38" s="54" t="str">
        <f t="shared" si="4"/>
        <v/>
      </c>
      <c r="Z38" s="55" t="str">
        <f t="shared" si="2"/>
        <v/>
      </c>
      <c r="AA38" s="54" t="str">
        <f t="shared" si="5"/>
        <v/>
      </c>
      <c r="AB38" s="55" t="str">
        <f>IFERROR(IF(AND(Q37="Impacto",Q38="Impacto"),(AB37-(+AB37*T38)),IF(AND(Q37="Probabilidad",Q38="Impacto"),(AB36-(+AB36*T38)),IF(Q38="Probabilidad",AB37,""))),"")</f>
        <v/>
      </c>
      <c r="AC38" s="56" t="str">
        <f t="shared" si="3"/>
        <v/>
      </c>
      <c r="AD38" s="57"/>
      <c r="AE38" s="58"/>
      <c r="AF38" s="48"/>
      <c r="AG38" s="59"/>
      <c r="AH38" s="59"/>
      <c r="AI38" s="58"/>
      <c r="AJ38" s="4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51"/>
      <c r="B39" s="242"/>
      <c r="C39" s="242"/>
      <c r="D39" s="242"/>
      <c r="E39" s="230"/>
      <c r="F39" s="242"/>
      <c r="G39" s="245"/>
      <c r="H39" s="248"/>
      <c r="I39" s="236"/>
      <c r="J39" s="254"/>
      <c r="K39" s="236">
        <f>IF(NOT(ISERROR(MATCH(J39,_xlfn.ANCHORARRAY(E50),0))),I52&amp;"Por favor no seleccionar los criterios de impacto",J39)</f>
        <v>0</v>
      </c>
      <c r="L39" s="248"/>
      <c r="M39" s="236"/>
      <c r="N39" s="239"/>
      <c r="O39" s="6">
        <v>6</v>
      </c>
      <c r="P39" s="49"/>
      <c r="Q39" s="51" t="str">
        <f t="shared" si="0"/>
        <v/>
      </c>
      <c r="R39" s="52"/>
      <c r="S39" s="52"/>
      <c r="T39" s="53" t="str">
        <f t="shared" si="1"/>
        <v/>
      </c>
      <c r="U39" s="52"/>
      <c r="V39" s="52"/>
      <c r="W39" s="52"/>
      <c r="X39" s="24" t="str">
        <f>IFERROR(IF(AND(Q38="Probabilidad",Q39="Probabilidad"),(Z38-(+Z38*T39)),IF(AND(Q38="Impacto",Q39="Probabilidad"),(Z37-(+Z37*T39)),IF(Q39="Impacto",Z38,""))),"")</f>
        <v/>
      </c>
      <c r="Y39" s="54" t="str">
        <f t="shared" si="4"/>
        <v/>
      </c>
      <c r="Z39" s="55" t="str">
        <f t="shared" si="2"/>
        <v/>
      </c>
      <c r="AA39" s="54" t="str">
        <f t="shared" si="5"/>
        <v/>
      </c>
      <c r="AB39" s="55" t="str">
        <f>IFERROR(IF(AND(Q38="Impacto",Q39="Impacto"),(AB38-(+AB38*T39)),IF(AND(Q38="Probabilidad",Q39="Impacto"),(AB37-(+AB37*T39)),IF(Q39="Probabilidad",AB38,""))),"")</f>
        <v/>
      </c>
      <c r="AC39" s="56" t="str">
        <f t="shared" si="3"/>
        <v/>
      </c>
      <c r="AD39" s="57"/>
      <c r="AE39" s="58"/>
      <c r="AF39" s="48"/>
      <c r="AG39" s="59"/>
      <c r="AH39" s="59"/>
      <c r="AI39" s="58"/>
      <c r="AJ39" s="4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49">
        <v>6</v>
      </c>
      <c r="B40" s="240"/>
      <c r="C40" s="240"/>
      <c r="D40" s="240"/>
      <c r="E40" s="228"/>
      <c r="F40" s="240"/>
      <c r="G40" s="243"/>
      <c r="H40" s="246" t="str">
        <f>IF(G40&lt;=0,"",IF(G40&lt;=2,"Muy Baja",IF(G40&lt;=24,"Baja",IF(G40&lt;=500,"Media",IF(G40&lt;=5000,"Alta","Muy Alta")))))</f>
        <v/>
      </c>
      <c r="I40" s="234" t="str">
        <f>IF(H40="","",IF(H40="Muy Baja",0.2,IF(H40="Baja",0.4,IF(H40="Media",0.6,IF(H40="Alta",0.8,IF(H40="Muy Alta",1,))))))</f>
        <v/>
      </c>
      <c r="J40" s="252"/>
      <c r="K40" s="234">
        <f>IF(NOT(ISERROR(MATCH(J40,'Tabla Impacto'!$B$221:$B$223,0))),'Tabla Impacto'!$F$223&amp;"Por favor no seleccionar los criterios de impacto(Afectación Económica o presupuestal y Pérdida Reputacional)",J40)</f>
        <v>0</v>
      </c>
      <c r="L40" s="246" t="str">
        <f>IF(OR(K40='Tabla Impacto'!$C$11,K40='Tabla Impacto'!$D$11),"Leve",IF(OR(K40='Tabla Impacto'!$C$12,K40='Tabla Impacto'!$D$12),"Menor",IF(OR(K40='Tabla Impacto'!$C$13,K40='Tabla Impacto'!$D$13),"Moderado",IF(OR(K40='Tabla Impacto'!$C$14,K40='Tabla Impacto'!$D$14),"Mayor",IF(OR(K40='Tabla Impacto'!$C$15,K40='Tabla Impacto'!$D$15),"Catastrófico","")))))</f>
        <v>Mayor</v>
      </c>
      <c r="M40" s="234">
        <f>IF(L40="","",IF(L40="Leve",0.2,IF(L40="Menor",0.4,IF(L40="Moderado",0.6,IF(L40="Mayor",0.8,IF(L40="Catastrófico",1,))))))</f>
        <v>0.8</v>
      </c>
      <c r="N40" s="237"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6">
        <v>1</v>
      </c>
      <c r="P40" s="49"/>
      <c r="Q40" s="51" t="str">
        <f t="shared" si="0"/>
        <v/>
      </c>
      <c r="R40" s="52"/>
      <c r="S40" s="52"/>
      <c r="T40" s="53" t="str">
        <f t="shared" si="1"/>
        <v/>
      </c>
      <c r="U40" s="52"/>
      <c r="V40" s="52"/>
      <c r="W40" s="52"/>
      <c r="X40" s="24" t="str">
        <f>IFERROR(IF(Q40="Probabilidad",(I40-(+I40*T40)),IF(Q40="Impacto",I40,"")),"")</f>
        <v/>
      </c>
      <c r="Y40" s="54" t="str">
        <f>IFERROR(IF(X40="","",IF(X40&lt;=0.2,"Muy Baja",IF(X40&lt;=0.4,"Baja",IF(X40&lt;=0.6,"Media",IF(X40&lt;=0.8,"Alta","Muy Alta"))))),"")</f>
        <v/>
      </c>
      <c r="Z40" s="55" t="str">
        <f t="shared" si="2"/>
        <v/>
      </c>
      <c r="AA40" s="54" t="str">
        <f>IFERROR(IF(AB40="","",IF(AB40&lt;=0.2,"Leve",IF(AB40&lt;=0.4,"Menor",IF(AB40&lt;=0.6,"Moderado",IF(AB40&lt;=0.8,"Mayor","Catastrófico"))))),"")</f>
        <v/>
      </c>
      <c r="AB40" s="55" t="str">
        <f>IFERROR(IF(Q40="Impacto",(M40-(+M40*T40)),IF(Q40="Probabilidad",M40,"")),"")</f>
        <v/>
      </c>
      <c r="AC40" s="56" t="str">
        <f t="shared" si="3"/>
        <v/>
      </c>
      <c r="AD40" s="57"/>
      <c r="AE40" s="58"/>
      <c r="AF40" s="48"/>
      <c r="AG40" s="59"/>
      <c r="AH40" s="59"/>
      <c r="AI40" s="58"/>
      <c r="AJ40" s="4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50"/>
      <c r="B41" s="241"/>
      <c r="C41" s="241"/>
      <c r="D41" s="241"/>
      <c r="E41" s="229"/>
      <c r="F41" s="241"/>
      <c r="G41" s="244"/>
      <c r="H41" s="247"/>
      <c r="I41" s="235"/>
      <c r="J41" s="253"/>
      <c r="K41" s="235">
        <f>IF(NOT(ISERROR(MATCH(J41,_xlfn.ANCHORARRAY(E52),0))),I54&amp;"Por favor no seleccionar los criterios de impacto",J41)</f>
        <v>0</v>
      </c>
      <c r="L41" s="247"/>
      <c r="M41" s="235"/>
      <c r="N41" s="238"/>
      <c r="O41" s="6">
        <v>2</v>
      </c>
      <c r="P41" s="49"/>
      <c r="Q41" s="51" t="str">
        <f t="shared" si="0"/>
        <v/>
      </c>
      <c r="R41" s="52"/>
      <c r="S41" s="52"/>
      <c r="T41" s="53" t="str">
        <f t="shared" si="1"/>
        <v/>
      </c>
      <c r="U41" s="52"/>
      <c r="V41" s="52"/>
      <c r="W41" s="52"/>
      <c r="X41" s="24" t="str">
        <f>IFERROR(IF(AND(Q40="Probabilidad",Q41="Probabilidad"),(Z40-(+Z40*T41)),IF(Q41="Probabilidad",(I40-(+I40*T41)),IF(Q41="Impacto",Z40,""))),"")</f>
        <v/>
      </c>
      <c r="Y41" s="54" t="str">
        <f t="shared" si="4"/>
        <v/>
      </c>
      <c r="Z41" s="55" t="str">
        <f t="shared" si="2"/>
        <v/>
      </c>
      <c r="AA41" s="54" t="str">
        <f t="shared" si="5"/>
        <v/>
      </c>
      <c r="AB41" s="55" t="str">
        <f>IFERROR(IF(AND(Q40="Impacto",Q41="Impacto"),(AB34-(+AB34*T41)),IF(Q41="Impacto",($M$40-(+$M$40*T41)),IF(Q41="Probabilidad",AB34,""))),"")</f>
        <v/>
      </c>
      <c r="AC41" s="56" t="str">
        <f t="shared" si="3"/>
        <v/>
      </c>
      <c r="AD41" s="57"/>
      <c r="AE41" s="58"/>
      <c r="AF41" s="48"/>
      <c r="AG41" s="59"/>
      <c r="AH41" s="59"/>
      <c r="AI41" s="58"/>
      <c r="AJ41" s="4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50"/>
      <c r="B42" s="241"/>
      <c r="C42" s="241"/>
      <c r="D42" s="241"/>
      <c r="E42" s="229"/>
      <c r="F42" s="241"/>
      <c r="G42" s="244"/>
      <c r="H42" s="247"/>
      <c r="I42" s="235"/>
      <c r="J42" s="253"/>
      <c r="K42" s="235">
        <f>IF(NOT(ISERROR(MATCH(J42,_xlfn.ANCHORARRAY(E53),0))),I55&amp;"Por favor no seleccionar los criterios de impacto",J42)</f>
        <v>0</v>
      </c>
      <c r="L42" s="247"/>
      <c r="M42" s="235"/>
      <c r="N42" s="238"/>
      <c r="O42" s="6">
        <v>3</v>
      </c>
      <c r="P42" s="50"/>
      <c r="Q42" s="51" t="str">
        <f t="shared" ref="Q42:Q69" si="6">IF(OR(R42="Preventivo",R42="Detectivo"),"Probabilidad",IF(R42="Correctivo","Impacto",""))</f>
        <v/>
      </c>
      <c r="R42" s="52"/>
      <c r="S42" s="52"/>
      <c r="T42" s="53" t="str">
        <f t="shared" ref="T42:T69" si="7">IF(AND(R42="Preventivo",S42="Automático"),"50%",IF(AND(R42="Preventivo",S42="Manual"),"40%",IF(AND(R42="Detectivo",S42="Automático"),"40%",IF(AND(R42="Detectivo",S42="Manual"),"30%",IF(AND(R42="Correctivo",S42="Automático"),"35%",IF(AND(R42="Correctivo",S42="Manual"),"25%",""))))))</f>
        <v/>
      </c>
      <c r="U42" s="52"/>
      <c r="V42" s="52"/>
      <c r="W42" s="52"/>
      <c r="X42" s="24" t="str">
        <f>IFERROR(IF(AND(Q41="Probabilidad",Q42="Probabilidad"),(Z41-(+Z41*T42)),IF(AND(Q41="Impacto",Q42="Probabilidad"),(Z40-(+Z40*T42)),IF(Q42="Impacto",Z41,""))),"")</f>
        <v/>
      </c>
      <c r="Y42" s="54" t="str">
        <f t="shared" si="4"/>
        <v/>
      </c>
      <c r="Z42" s="55" t="str">
        <f t="shared" ref="Z42:Z69" si="8">+X42</f>
        <v/>
      </c>
      <c r="AA42" s="54" t="str">
        <f t="shared" si="5"/>
        <v/>
      </c>
      <c r="AB42" s="55" t="str">
        <f>IFERROR(IF(AND(Q41="Impacto",Q42="Impacto"),(AB41-(+AB41*T42)),IF(AND(Q41="Probabilidad",Q42="Impacto"),(AB40-(+AB40*T42)),IF(Q42="Probabilidad",AB41,""))),"")</f>
        <v/>
      </c>
      <c r="AC42" s="56" t="str">
        <f t="shared" ref="AC42:AC69" si="9">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57"/>
      <c r="AE42" s="58"/>
      <c r="AF42" s="48"/>
      <c r="AG42" s="59"/>
      <c r="AH42" s="59"/>
      <c r="AI42" s="58"/>
      <c r="AJ42" s="4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50"/>
      <c r="B43" s="241"/>
      <c r="C43" s="241"/>
      <c r="D43" s="241"/>
      <c r="E43" s="229"/>
      <c r="F43" s="241"/>
      <c r="G43" s="244"/>
      <c r="H43" s="247"/>
      <c r="I43" s="235"/>
      <c r="J43" s="253"/>
      <c r="K43" s="235">
        <f>IF(NOT(ISERROR(MATCH(J43,_xlfn.ANCHORARRAY(E54),0))),I56&amp;"Por favor no seleccionar los criterios de impacto",J43)</f>
        <v>0</v>
      </c>
      <c r="L43" s="247"/>
      <c r="M43" s="235"/>
      <c r="N43" s="238"/>
      <c r="O43" s="6">
        <v>4</v>
      </c>
      <c r="P43" s="49"/>
      <c r="Q43" s="51" t="str">
        <f t="shared" si="6"/>
        <v/>
      </c>
      <c r="R43" s="52"/>
      <c r="S43" s="52"/>
      <c r="T43" s="53" t="str">
        <f t="shared" si="7"/>
        <v/>
      </c>
      <c r="U43" s="52"/>
      <c r="V43" s="52"/>
      <c r="W43" s="52"/>
      <c r="X43" s="24" t="str">
        <f>IFERROR(IF(AND(Q42="Probabilidad",Q43="Probabilidad"),(Z42-(+Z42*T43)),IF(AND(Q42="Impacto",Q43="Probabilidad"),(Z41-(+Z41*T43)),IF(Q43="Impacto",Z42,""))),"")</f>
        <v/>
      </c>
      <c r="Y43" s="54" t="str">
        <f t="shared" si="4"/>
        <v/>
      </c>
      <c r="Z43" s="55" t="str">
        <f t="shared" si="8"/>
        <v/>
      </c>
      <c r="AA43" s="54" t="str">
        <f t="shared" si="5"/>
        <v/>
      </c>
      <c r="AB43" s="55" t="str">
        <f>IFERROR(IF(AND(Q42="Impacto",Q43="Impacto"),(AB42-(+AB42*T43)),IF(AND(Q42="Probabilidad",Q43="Impacto"),(AB41-(+AB41*T43)),IF(Q43="Probabilidad",AB42,""))),"")</f>
        <v/>
      </c>
      <c r="AC43" s="56" t="str">
        <f t="shared" si="9"/>
        <v/>
      </c>
      <c r="AD43" s="57"/>
      <c r="AE43" s="58"/>
      <c r="AF43" s="48"/>
      <c r="AG43" s="59"/>
      <c r="AH43" s="59"/>
      <c r="AI43" s="58"/>
      <c r="AJ43" s="4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50"/>
      <c r="B44" s="241"/>
      <c r="C44" s="241"/>
      <c r="D44" s="241"/>
      <c r="E44" s="229"/>
      <c r="F44" s="241"/>
      <c r="G44" s="244"/>
      <c r="H44" s="247"/>
      <c r="I44" s="235"/>
      <c r="J44" s="253"/>
      <c r="K44" s="235">
        <f>IF(NOT(ISERROR(MATCH(J44,_xlfn.ANCHORARRAY(E55),0))),I57&amp;"Por favor no seleccionar los criterios de impacto",J44)</f>
        <v>0</v>
      </c>
      <c r="L44" s="247"/>
      <c r="M44" s="235"/>
      <c r="N44" s="238"/>
      <c r="O44" s="6">
        <v>5</v>
      </c>
      <c r="P44" s="49"/>
      <c r="Q44" s="51" t="str">
        <f t="shared" si="6"/>
        <v/>
      </c>
      <c r="R44" s="52"/>
      <c r="S44" s="52"/>
      <c r="T44" s="53" t="str">
        <f t="shared" si="7"/>
        <v/>
      </c>
      <c r="U44" s="52"/>
      <c r="V44" s="52"/>
      <c r="W44" s="52"/>
      <c r="X44" s="24" t="str">
        <f>IFERROR(IF(AND(Q43="Probabilidad",Q44="Probabilidad"),(Z43-(+Z43*T44)),IF(AND(Q43="Impacto",Q44="Probabilidad"),(Z42-(+Z42*T44)),IF(Q44="Impacto",Z43,""))),"")</f>
        <v/>
      </c>
      <c r="Y44" s="54" t="str">
        <f t="shared" si="4"/>
        <v/>
      </c>
      <c r="Z44" s="55" t="str">
        <f t="shared" si="8"/>
        <v/>
      </c>
      <c r="AA44" s="54" t="str">
        <f t="shared" si="5"/>
        <v/>
      </c>
      <c r="AB44" s="55" t="str">
        <f>IFERROR(IF(AND(Q43="Impacto",Q44="Impacto"),(AB43-(+AB43*T44)),IF(AND(Q43="Probabilidad",Q44="Impacto"),(AB42-(+AB42*T44)),IF(Q44="Probabilidad",AB43,""))),"")</f>
        <v/>
      </c>
      <c r="AC44" s="56" t="str">
        <f t="shared" si="9"/>
        <v/>
      </c>
      <c r="AD44" s="57"/>
      <c r="AE44" s="58"/>
      <c r="AF44" s="48"/>
      <c r="AG44" s="59"/>
      <c r="AH44" s="59"/>
      <c r="AI44" s="58"/>
      <c r="AJ44" s="4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51"/>
      <c r="B45" s="242"/>
      <c r="C45" s="242"/>
      <c r="D45" s="242"/>
      <c r="E45" s="230"/>
      <c r="F45" s="242"/>
      <c r="G45" s="245"/>
      <c r="H45" s="248"/>
      <c r="I45" s="236"/>
      <c r="J45" s="254"/>
      <c r="K45" s="236">
        <f>IF(NOT(ISERROR(MATCH(J45,_xlfn.ANCHORARRAY(E56),0))),I58&amp;"Por favor no seleccionar los criterios de impacto",J45)</f>
        <v>0</v>
      </c>
      <c r="L45" s="248"/>
      <c r="M45" s="236"/>
      <c r="N45" s="239"/>
      <c r="O45" s="6">
        <v>6</v>
      </c>
      <c r="P45" s="49"/>
      <c r="Q45" s="51" t="str">
        <f t="shared" si="6"/>
        <v/>
      </c>
      <c r="R45" s="52"/>
      <c r="S45" s="52"/>
      <c r="T45" s="53" t="str">
        <f t="shared" si="7"/>
        <v/>
      </c>
      <c r="U45" s="52"/>
      <c r="V45" s="52"/>
      <c r="W45" s="52"/>
      <c r="X45" s="24" t="str">
        <f>IFERROR(IF(AND(Q44="Probabilidad",Q45="Probabilidad"),(Z44-(+Z44*T45)),IF(AND(Q44="Impacto",Q45="Probabilidad"),(Z43-(+Z43*T45)),IF(Q45="Impacto",Z44,""))),"")</f>
        <v/>
      </c>
      <c r="Y45" s="54" t="str">
        <f t="shared" si="4"/>
        <v/>
      </c>
      <c r="Z45" s="55" t="str">
        <f t="shared" si="8"/>
        <v/>
      </c>
      <c r="AA45" s="54" t="str">
        <f>IFERROR(IF(AB45="","",IF(AB45&lt;=0.2,"Leve",IF(AB45&lt;=0.4,"Menor",IF(AB45&lt;=0.6,"Moderado",IF(AB45&lt;=0.8,"Mayor","Catastrófico"))))),"")</f>
        <v/>
      </c>
      <c r="AB45" s="55" t="str">
        <f>IFERROR(IF(AND(Q44="Impacto",Q45="Impacto"),(AB44-(+AB44*T45)),IF(AND(Q44="Probabilidad",Q45="Impacto"),(AB43-(+AB43*T45)),IF(Q45="Probabilidad",AB44,""))),"")</f>
        <v/>
      </c>
      <c r="AC45" s="56" t="str">
        <f t="shared" si="9"/>
        <v/>
      </c>
      <c r="AD45" s="57"/>
      <c r="AE45" s="58"/>
      <c r="AF45" s="48"/>
      <c r="AG45" s="59"/>
      <c r="AH45" s="59"/>
      <c r="AI45" s="58"/>
      <c r="AJ45" s="4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49">
        <v>7</v>
      </c>
      <c r="B46" s="240"/>
      <c r="C46" s="240"/>
      <c r="D46" s="240"/>
      <c r="E46" s="228"/>
      <c r="F46" s="240"/>
      <c r="G46" s="243"/>
      <c r="H46" s="246" t="str">
        <f>IF(G46&lt;=0,"",IF(G46&lt;=2,"Muy Baja",IF(G46&lt;=24,"Baja",IF(G46&lt;=500,"Media",IF(G46&lt;=5000,"Alta","Muy Alta")))))</f>
        <v/>
      </c>
      <c r="I46" s="234" t="str">
        <f>IF(H46="","",IF(H46="Muy Baja",0.2,IF(H46="Baja",0.4,IF(H46="Media",0.6,IF(H46="Alta",0.8,IF(H46="Muy Alta",1,))))))</f>
        <v/>
      </c>
      <c r="J46" s="252"/>
      <c r="K46" s="234">
        <f>IF(NOT(ISERROR(MATCH(J46,'Tabla Impacto'!$B$221:$B$223,0))),'Tabla Impacto'!$F$223&amp;"Por favor no seleccionar los criterios de impacto(Afectación Económica o presupuestal y Pérdida Reputacional)",J46)</f>
        <v>0</v>
      </c>
      <c r="L46" s="246" t="str">
        <f>IF(OR(K46='Tabla Impacto'!$C$11,K46='Tabla Impacto'!$D$11),"Leve",IF(OR(K46='Tabla Impacto'!$C$12,K46='Tabla Impacto'!$D$12),"Menor",IF(OR(K46='Tabla Impacto'!$C$13,K46='Tabla Impacto'!$D$13),"Moderado",IF(OR(K46='Tabla Impacto'!$C$14,K46='Tabla Impacto'!$D$14),"Mayor",IF(OR(K46='Tabla Impacto'!$C$15,K46='Tabla Impacto'!$D$15),"Catastrófico","")))))</f>
        <v>Mayor</v>
      </c>
      <c r="M46" s="234">
        <f>IF(L46="","",IF(L46="Leve",0.2,IF(L46="Menor",0.4,IF(L46="Moderado",0.6,IF(L46="Mayor",0.8,IF(L46="Catastrófico",1,))))))</f>
        <v>0.8</v>
      </c>
      <c r="N46" s="237"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6">
        <v>1</v>
      </c>
      <c r="P46" s="49"/>
      <c r="Q46" s="51" t="str">
        <f t="shared" si="6"/>
        <v/>
      </c>
      <c r="R46" s="52"/>
      <c r="S46" s="52"/>
      <c r="T46" s="53" t="str">
        <f t="shared" si="7"/>
        <v/>
      </c>
      <c r="U46" s="52"/>
      <c r="V46" s="52"/>
      <c r="W46" s="52"/>
      <c r="X46" s="24" t="str">
        <f>IFERROR(IF(Q46="Probabilidad",(I46-(+I46*T46)),IF(Q46="Impacto",I46,"")),"")</f>
        <v/>
      </c>
      <c r="Y46" s="54" t="str">
        <f>IFERROR(IF(X46="","",IF(X46&lt;=0.2,"Muy Baja",IF(X46&lt;=0.4,"Baja",IF(X46&lt;=0.6,"Media",IF(X46&lt;=0.8,"Alta","Muy Alta"))))),"")</f>
        <v/>
      </c>
      <c r="Z46" s="55" t="str">
        <f t="shared" si="8"/>
        <v/>
      </c>
      <c r="AA46" s="54" t="str">
        <f>IFERROR(IF(AB46="","",IF(AB46&lt;=0.2,"Leve",IF(AB46&lt;=0.4,"Menor",IF(AB46&lt;=0.6,"Moderado",IF(AB46&lt;=0.8,"Mayor","Catastrófico"))))),"")</f>
        <v/>
      </c>
      <c r="AB46" s="55" t="str">
        <f>IFERROR(IF(Q46="Impacto",(M46-(+M46*T46)),IF(Q46="Probabilidad",M46,"")),"")</f>
        <v/>
      </c>
      <c r="AC46" s="56" t="str">
        <f t="shared" si="9"/>
        <v/>
      </c>
      <c r="AD46" s="57"/>
      <c r="AE46" s="58"/>
      <c r="AF46" s="48"/>
      <c r="AG46" s="59"/>
      <c r="AH46" s="59"/>
      <c r="AI46" s="58"/>
      <c r="AJ46" s="4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50"/>
      <c r="B47" s="241"/>
      <c r="C47" s="241"/>
      <c r="D47" s="241"/>
      <c r="E47" s="229"/>
      <c r="F47" s="241"/>
      <c r="G47" s="244"/>
      <c r="H47" s="247"/>
      <c r="I47" s="235"/>
      <c r="J47" s="253"/>
      <c r="K47" s="235">
        <f>IF(NOT(ISERROR(MATCH(J47,_xlfn.ANCHORARRAY(E58),0))),I60&amp;"Por favor no seleccionar los criterios de impacto",J47)</f>
        <v>0</v>
      </c>
      <c r="L47" s="247"/>
      <c r="M47" s="235"/>
      <c r="N47" s="238"/>
      <c r="O47" s="6">
        <v>2</v>
      </c>
      <c r="P47" s="49"/>
      <c r="Q47" s="51" t="str">
        <f t="shared" si="6"/>
        <v/>
      </c>
      <c r="R47" s="52"/>
      <c r="S47" s="52"/>
      <c r="T47" s="53" t="str">
        <f t="shared" si="7"/>
        <v/>
      </c>
      <c r="U47" s="52"/>
      <c r="V47" s="52"/>
      <c r="W47" s="52"/>
      <c r="X47" s="24" t="str">
        <f>IFERROR(IF(AND(Q46="Probabilidad",Q47="Probabilidad"),(Z46-(+Z46*T47)),IF(Q47="Probabilidad",(I46-(+I46*T47)),IF(Q47="Impacto",Z46,""))),"")</f>
        <v/>
      </c>
      <c r="Y47" s="54" t="str">
        <f t="shared" si="4"/>
        <v/>
      </c>
      <c r="Z47" s="55" t="str">
        <f t="shared" si="8"/>
        <v/>
      </c>
      <c r="AA47" s="54" t="str">
        <f t="shared" si="5"/>
        <v/>
      </c>
      <c r="AB47" s="55" t="str">
        <f>IFERROR(IF(AND(Q46="Impacto",Q47="Impacto"),(AB40-(+AB40*T47)),IF(Q47="Impacto",($M$46-(+$M$46*T47)),IF(Q47="Probabilidad",AB40,""))),"")</f>
        <v/>
      </c>
      <c r="AC47" s="56" t="str">
        <f t="shared" si="9"/>
        <v/>
      </c>
      <c r="AD47" s="57"/>
      <c r="AE47" s="58"/>
      <c r="AF47" s="48"/>
      <c r="AG47" s="59"/>
      <c r="AH47" s="59"/>
      <c r="AI47" s="58"/>
      <c r="AJ47" s="4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50"/>
      <c r="B48" s="241"/>
      <c r="C48" s="241"/>
      <c r="D48" s="241"/>
      <c r="E48" s="229"/>
      <c r="F48" s="241"/>
      <c r="G48" s="244"/>
      <c r="H48" s="247"/>
      <c r="I48" s="235"/>
      <c r="J48" s="253"/>
      <c r="K48" s="235">
        <f>IF(NOT(ISERROR(MATCH(J48,_xlfn.ANCHORARRAY(E59),0))),I61&amp;"Por favor no seleccionar los criterios de impacto",J48)</f>
        <v>0</v>
      </c>
      <c r="L48" s="247"/>
      <c r="M48" s="235"/>
      <c r="N48" s="238"/>
      <c r="O48" s="6">
        <v>3</v>
      </c>
      <c r="P48" s="50"/>
      <c r="Q48" s="51" t="str">
        <f t="shared" si="6"/>
        <v/>
      </c>
      <c r="R48" s="52"/>
      <c r="S48" s="52"/>
      <c r="T48" s="53" t="str">
        <f t="shared" si="7"/>
        <v/>
      </c>
      <c r="U48" s="52"/>
      <c r="V48" s="52"/>
      <c r="W48" s="52"/>
      <c r="X48" s="24" t="str">
        <f>IFERROR(IF(AND(Q47="Probabilidad",Q48="Probabilidad"),(Z47-(+Z47*T48)),IF(AND(Q47="Impacto",Q48="Probabilidad"),(Z46-(+Z46*T48)),IF(Q48="Impacto",Z47,""))),"")</f>
        <v/>
      </c>
      <c r="Y48" s="54" t="str">
        <f t="shared" si="4"/>
        <v/>
      </c>
      <c r="Z48" s="55" t="str">
        <f t="shared" si="8"/>
        <v/>
      </c>
      <c r="AA48" s="54" t="str">
        <f t="shared" si="5"/>
        <v/>
      </c>
      <c r="AB48" s="55" t="str">
        <f>IFERROR(IF(AND(Q47="Impacto",Q48="Impacto"),(AB47-(+AB47*T48)),IF(AND(Q47="Probabilidad",Q48="Impacto"),(AB46-(+AB46*T48)),IF(Q48="Probabilidad",AB47,""))),"")</f>
        <v/>
      </c>
      <c r="AC48" s="56" t="str">
        <f t="shared" si="9"/>
        <v/>
      </c>
      <c r="AD48" s="57"/>
      <c r="AE48" s="58"/>
      <c r="AF48" s="48"/>
      <c r="AG48" s="59"/>
      <c r="AH48" s="59"/>
      <c r="AI48" s="58"/>
      <c r="AJ48" s="4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50"/>
      <c r="B49" s="241"/>
      <c r="C49" s="241"/>
      <c r="D49" s="241"/>
      <c r="E49" s="229"/>
      <c r="F49" s="241"/>
      <c r="G49" s="244"/>
      <c r="H49" s="247"/>
      <c r="I49" s="235"/>
      <c r="J49" s="253"/>
      <c r="K49" s="235">
        <f>IF(NOT(ISERROR(MATCH(J49,_xlfn.ANCHORARRAY(E60),0))),I62&amp;"Por favor no seleccionar los criterios de impacto",J49)</f>
        <v>0</v>
      </c>
      <c r="L49" s="247"/>
      <c r="M49" s="235"/>
      <c r="N49" s="238"/>
      <c r="O49" s="6">
        <v>4</v>
      </c>
      <c r="P49" s="49"/>
      <c r="Q49" s="51" t="str">
        <f t="shared" si="6"/>
        <v/>
      </c>
      <c r="R49" s="52"/>
      <c r="S49" s="52"/>
      <c r="T49" s="53" t="str">
        <f t="shared" si="7"/>
        <v/>
      </c>
      <c r="U49" s="52"/>
      <c r="V49" s="52"/>
      <c r="W49" s="52"/>
      <c r="X49" s="24" t="str">
        <f>IFERROR(IF(AND(Q48="Probabilidad",Q49="Probabilidad"),(Z48-(+Z48*T49)),IF(AND(Q48="Impacto",Q49="Probabilidad"),(Z47-(+Z47*T49)),IF(Q49="Impacto",Z48,""))),"")</f>
        <v/>
      </c>
      <c r="Y49" s="54" t="str">
        <f t="shared" si="4"/>
        <v/>
      </c>
      <c r="Z49" s="55" t="str">
        <f t="shared" si="8"/>
        <v/>
      </c>
      <c r="AA49" s="54" t="str">
        <f t="shared" si="5"/>
        <v/>
      </c>
      <c r="AB49" s="55" t="str">
        <f>IFERROR(IF(AND(Q48="Impacto",Q49="Impacto"),(AB48-(+AB48*T49)),IF(AND(Q48="Probabilidad",Q49="Impacto"),(AB47-(+AB47*T49)),IF(Q49="Probabilidad",AB48,""))),"")</f>
        <v/>
      </c>
      <c r="AC49" s="56" t="str">
        <f t="shared" si="9"/>
        <v/>
      </c>
      <c r="AD49" s="57"/>
      <c r="AE49" s="58"/>
      <c r="AF49" s="48"/>
      <c r="AG49" s="59"/>
      <c r="AH49" s="59"/>
      <c r="AI49" s="58"/>
      <c r="AJ49" s="4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50"/>
      <c r="B50" s="241"/>
      <c r="C50" s="241"/>
      <c r="D50" s="241"/>
      <c r="E50" s="229"/>
      <c r="F50" s="241"/>
      <c r="G50" s="244"/>
      <c r="H50" s="247"/>
      <c r="I50" s="235"/>
      <c r="J50" s="253"/>
      <c r="K50" s="235">
        <f>IF(NOT(ISERROR(MATCH(J50,_xlfn.ANCHORARRAY(E61),0))),I63&amp;"Por favor no seleccionar los criterios de impacto",J50)</f>
        <v>0</v>
      </c>
      <c r="L50" s="247"/>
      <c r="M50" s="235"/>
      <c r="N50" s="238"/>
      <c r="O50" s="6">
        <v>5</v>
      </c>
      <c r="P50" s="49"/>
      <c r="Q50" s="51" t="str">
        <f t="shared" si="6"/>
        <v/>
      </c>
      <c r="R50" s="52"/>
      <c r="S50" s="52"/>
      <c r="T50" s="53" t="str">
        <f t="shared" si="7"/>
        <v/>
      </c>
      <c r="U50" s="52"/>
      <c r="V50" s="52"/>
      <c r="W50" s="52"/>
      <c r="X50" s="24" t="str">
        <f>IFERROR(IF(AND(Q49="Probabilidad",Q50="Probabilidad"),(Z49-(+Z49*T50)),IF(AND(Q49="Impacto",Q50="Probabilidad"),(Z48-(+Z48*T50)),IF(Q50="Impacto",Z49,""))),"")</f>
        <v/>
      </c>
      <c r="Y50" s="54" t="str">
        <f t="shared" si="4"/>
        <v/>
      </c>
      <c r="Z50" s="55" t="str">
        <f t="shared" si="8"/>
        <v/>
      </c>
      <c r="AA50" s="54" t="str">
        <f t="shared" si="5"/>
        <v/>
      </c>
      <c r="AB50" s="55" t="str">
        <f>IFERROR(IF(AND(Q49="Impacto",Q50="Impacto"),(AB49-(+AB49*T50)),IF(AND(Q49="Probabilidad",Q50="Impacto"),(AB48-(+AB48*T50)),IF(Q50="Probabilidad",AB49,""))),"")</f>
        <v/>
      </c>
      <c r="AC50" s="56" t="str">
        <f t="shared" si="9"/>
        <v/>
      </c>
      <c r="AD50" s="57"/>
      <c r="AE50" s="58"/>
      <c r="AF50" s="48"/>
      <c r="AG50" s="59"/>
      <c r="AH50" s="59"/>
      <c r="AI50" s="58"/>
      <c r="AJ50" s="4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51"/>
      <c r="B51" s="242"/>
      <c r="C51" s="242"/>
      <c r="D51" s="242"/>
      <c r="E51" s="230"/>
      <c r="F51" s="242"/>
      <c r="G51" s="245"/>
      <c r="H51" s="248"/>
      <c r="I51" s="236"/>
      <c r="J51" s="254"/>
      <c r="K51" s="236">
        <f>IF(NOT(ISERROR(MATCH(J51,_xlfn.ANCHORARRAY(E62),0))),I64&amp;"Por favor no seleccionar los criterios de impacto",J51)</f>
        <v>0</v>
      </c>
      <c r="L51" s="248"/>
      <c r="M51" s="236"/>
      <c r="N51" s="239"/>
      <c r="O51" s="6">
        <v>6</v>
      </c>
      <c r="P51" s="49"/>
      <c r="Q51" s="51" t="str">
        <f t="shared" si="6"/>
        <v/>
      </c>
      <c r="R51" s="52"/>
      <c r="S51" s="52"/>
      <c r="T51" s="53" t="str">
        <f t="shared" si="7"/>
        <v/>
      </c>
      <c r="U51" s="52"/>
      <c r="V51" s="52"/>
      <c r="W51" s="52"/>
      <c r="X51" s="24" t="str">
        <f>IFERROR(IF(AND(Q50="Probabilidad",Q51="Probabilidad"),(Z50-(+Z50*T51)),IF(AND(Q50="Impacto",Q51="Probabilidad"),(Z49-(+Z49*T51)),IF(Q51="Impacto",Z50,""))),"")</f>
        <v/>
      </c>
      <c r="Y51" s="54" t="str">
        <f t="shared" si="4"/>
        <v/>
      </c>
      <c r="Z51" s="55" t="str">
        <f t="shared" si="8"/>
        <v/>
      </c>
      <c r="AA51" s="54" t="str">
        <f t="shared" si="5"/>
        <v/>
      </c>
      <c r="AB51" s="55" t="str">
        <f>IFERROR(IF(AND(Q50="Impacto",Q51="Impacto"),(AB50-(+AB50*T51)),IF(AND(Q50="Probabilidad",Q51="Impacto"),(AB49-(+AB49*T51)),IF(Q51="Probabilidad",AB50,""))),"")</f>
        <v/>
      </c>
      <c r="AC51" s="56" t="str">
        <f t="shared" si="9"/>
        <v/>
      </c>
      <c r="AD51" s="57"/>
      <c r="AE51" s="58"/>
      <c r="AF51" s="48"/>
      <c r="AG51" s="59"/>
      <c r="AH51" s="59"/>
      <c r="AI51" s="58"/>
      <c r="AJ51" s="4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49">
        <v>8</v>
      </c>
      <c r="B52" s="240"/>
      <c r="C52" s="240"/>
      <c r="D52" s="240"/>
      <c r="E52" s="228"/>
      <c r="F52" s="240"/>
      <c r="G52" s="243"/>
      <c r="H52" s="246" t="str">
        <f>IF(G52&lt;=0,"",IF(G52&lt;=2,"Muy Baja",IF(G52&lt;=24,"Baja",IF(G52&lt;=500,"Media",IF(G52&lt;=5000,"Alta","Muy Alta")))))</f>
        <v/>
      </c>
      <c r="I52" s="234" t="str">
        <f>IF(H52="","",IF(H52="Muy Baja",0.2,IF(H52="Baja",0.4,IF(H52="Media",0.6,IF(H52="Alta",0.8,IF(H52="Muy Alta",1,))))))</f>
        <v/>
      </c>
      <c r="J52" s="252"/>
      <c r="K52" s="234">
        <f>IF(NOT(ISERROR(MATCH(J52,'Tabla Impacto'!$B$221:$B$223,0))),'Tabla Impacto'!$F$223&amp;"Por favor no seleccionar los criterios de impacto(Afectación Económica o presupuestal y Pérdida Reputacional)",J52)</f>
        <v>0</v>
      </c>
      <c r="L52" s="246" t="str">
        <f>IF(OR(K52='Tabla Impacto'!$C$11,K52='Tabla Impacto'!$D$11),"Leve",IF(OR(K52='Tabla Impacto'!$C$12,K52='Tabla Impacto'!$D$12),"Menor",IF(OR(K52='Tabla Impacto'!$C$13,K52='Tabla Impacto'!$D$13),"Moderado",IF(OR(K52='Tabla Impacto'!$C$14,K52='Tabla Impacto'!$D$14),"Mayor",IF(OR(K52='Tabla Impacto'!$C$15,K52='Tabla Impacto'!$D$15),"Catastrófico","")))))</f>
        <v>Mayor</v>
      </c>
      <c r="M52" s="234">
        <f>IF(L52="","",IF(L52="Leve",0.2,IF(L52="Menor",0.4,IF(L52="Moderado",0.6,IF(L52="Mayor",0.8,IF(L52="Catastrófico",1,))))))</f>
        <v>0.8</v>
      </c>
      <c r="N52" s="237"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6">
        <v>1</v>
      </c>
      <c r="P52" s="49"/>
      <c r="Q52" s="51" t="str">
        <f t="shared" si="6"/>
        <v/>
      </c>
      <c r="R52" s="52"/>
      <c r="S52" s="52"/>
      <c r="T52" s="53" t="str">
        <f t="shared" si="7"/>
        <v/>
      </c>
      <c r="U52" s="52"/>
      <c r="V52" s="52"/>
      <c r="W52" s="52"/>
      <c r="X52" s="24" t="str">
        <f>IFERROR(IF(Q52="Probabilidad",(I52-(+I52*T52)),IF(Q52="Impacto",I52,"")),"")</f>
        <v/>
      </c>
      <c r="Y52" s="54" t="str">
        <f>IFERROR(IF(X52="","",IF(X52&lt;=0.2,"Muy Baja",IF(X52&lt;=0.4,"Baja",IF(X52&lt;=0.6,"Media",IF(X52&lt;=0.8,"Alta","Muy Alta"))))),"")</f>
        <v/>
      </c>
      <c r="Z52" s="55" t="str">
        <f t="shared" si="8"/>
        <v/>
      </c>
      <c r="AA52" s="54" t="str">
        <f>IFERROR(IF(AB52="","",IF(AB52&lt;=0.2,"Leve",IF(AB52&lt;=0.4,"Menor",IF(AB52&lt;=0.6,"Moderado",IF(AB52&lt;=0.8,"Mayor","Catastrófico"))))),"")</f>
        <v/>
      </c>
      <c r="AB52" s="55" t="str">
        <f>IFERROR(IF(Q52="Impacto",(M52-(+M52*T52)),IF(Q52="Probabilidad",M52,"")),"")</f>
        <v/>
      </c>
      <c r="AC52" s="56" t="str">
        <f t="shared" si="9"/>
        <v/>
      </c>
      <c r="AD52" s="57"/>
      <c r="AE52" s="58"/>
      <c r="AF52" s="48"/>
      <c r="AG52" s="59"/>
      <c r="AH52" s="59"/>
      <c r="AI52" s="58"/>
      <c r="AJ52" s="4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50"/>
      <c r="B53" s="241"/>
      <c r="C53" s="241"/>
      <c r="D53" s="241"/>
      <c r="E53" s="229"/>
      <c r="F53" s="241"/>
      <c r="G53" s="244"/>
      <c r="H53" s="247"/>
      <c r="I53" s="235"/>
      <c r="J53" s="253"/>
      <c r="K53" s="235">
        <f>IF(NOT(ISERROR(MATCH(J53,_xlfn.ANCHORARRAY(E64),0))),I66&amp;"Por favor no seleccionar los criterios de impacto",J53)</f>
        <v>0</v>
      </c>
      <c r="L53" s="247"/>
      <c r="M53" s="235"/>
      <c r="N53" s="238"/>
      <c r="O53" s="6">
        <v>2</v>
      </c>
      <c r="P53" s="49"/>
      <c r="Q53" s="51" t="str">
        <f t="shared" si="6"/>
        <v/>
      </c>
      <c r="R53" s="52"/>
      <c r="S53" s="52"/>
      <c r="T53" s="53" t="str">
        <f t="shared" si="7"/>
        <v/>
      </c>
      <c r="U53" s="52"/>
      <c r="V53" s="52"/>
      <c r="W53" s="52"/>
      <c r="X53" s="24" t="str">
        <f>IFERROR(IF(AND(Q52="Probabilidad",Q53="Probabilidad"),(Z52-(+Z52*T53)),IF(Q53="Probabilidad",(I52-(+I52*T53)),IF(Q53="Impacto",Z52,""))),"")</f>
        <v/>
      </c>
      <c r="Y53" s="54" t="str">
        <f t="shared" si="4"/>
        <v/>
      </c>
      <c r="Z53" s="55" t="str">
        <f t="shared" si="8"/>
        <v/>
      </c>
      <c r="AA53" s="54" t="str">
        <f t="shared" si="5"/>
        <v/>
      </c>
      <c r="AB53" s="55" t="str">
        <f>IFERROR(IF(AND(Q52="Impacto",Q53="Impacto"),(AB46-(+AB46*T53)),IF(Q53="Impacto",($M$52-(+$M$52*T53)),IF(Q53="Probabilidad",AB46,""))),"")</f>
        <v/>
      </c>
      <c r="AC53" s="56" t="str">
        <f t="shared" si="9"/>
        <v/>
      </c>
      <c r="AD53" s="57"/>
      <c r="AE53" s="58"/>
      <c r="AF53" s="48"/>
      <c r="AG53" s="59"/>
      <c r="AH53" s="59"/>
      <c r="AI53" s="58"/>
      <c r="AJ53" s="4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50"/>
      <c r="B54" s="241"/>
      <c r="C54" s="241"/>
      <c r="D54" s="241"/>
      <c r="E54" s="229"/>
      <c r="F54" s="241"/>
      <c r="G54" s="244"/>
      <c r="H54" s="247"/>
      <c r="I54" s="235"/>
      <c r="J54" s="253"/>
      <c r="K54" s="235">
        <f>IF(NOT(ISERROR(MATCH(J54,_xlfn.ANCHORARRAY(E65),0))),I67&amp;"Por favor no seleccionar los criterios de impacto",J54)</f>
        <v>0</v>
      </c>
      <c r="L54" s="247"/>
      <c r="M54" s="235"/>
      <c r="N54" s="238"/>
      <c r="O54" s="6">
        <v>3</v>
      </c>
      <c r="P54" s="50"/>
      <c r="Q54" s="51" t="str">
        <f t="shared" si="6"/>
        <v/>
      </c>
      <c r="R54" s="52"/>
      <c r="S54" s="52"/>
      <c r="T54" s="53" t="str">
        <f t="shared" si="7"/>
        <v/>
      </c>
      <c r="U54" s="52"/>
      <c r="V54" s="52"/>
      <c r="W54" s="52"/>
      <c r="X54" s="24" t="str">
        <f>IFERROR(IF(AND(Q53="Probabilidad",Q54="Probabilidad"),(Z53-(+Z53*T54)),IF(AND(Q53="Impacto",Q54="Probabilidad"),(Z52-(+Z52*T54)),IF(Q54="Impacto",Z53,""))),"")</f>
        <v/>
      </c>
      <c r="Y54" s="54" t="str">
        <f t="shared" si="4"/>
        <v/>
      </c>
      <c r="Z54" s="55" t="str">
        <f t="shared" si="8"/>
        <v/>
      </c>
      <c r="AA54" s="54" t="str">
        <f t="shared" si="5"/>
        <v/>
      </c>
      <c r="AB54" s="55" t="str">
        <f>IFERROR(IF(AND(Q53="Impacto",Q54="Impacto"),(AB53-(+AB53*T54)),IF(AND(Q53="Probabilidad",Q54="Impacto"),(AB52-(+AB52*T54)),IF(Q54="Probabilidad",AB53,""))),"")</f>
        <v/>
      </c>
      <c r="AC54" s="56" t="str">
        <f t="shared" si="9"/>
        <v/>
      </c>
      <c r="AD54" s="57"/>
      <c r="AE54" s="58"/>
      <c r="AF54" s="48"/>
      <c r="AG54" s="59"/>
      <c r="AH54" s="59"/>
      <c r="AI54" s="58"/>
      <c r="AJ54" s="4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50"/>
      <c r="B55" s="241"/>
      <c r="C55" s="241"/>
      <c r="D55" s="241"/>
      <c r="E55" s="229"/>
      <c r="F55" s="241"/>
      <c r="G55" s="244"/>
      <c r="H55" s="247"/>
      <c r="I55" s="235"/>
      <c r="J55" s="253"/>
      <c r="K55" s="235">
        <f>IF(NOT(ISERROR(MATCH(J55,_xlfn.ANCHORARRAY(E66),0))),I68&amp;"Por favor no seleccionar los criterios de impacto",J55)</f>
        <v>0</v>
      </c>
      <c r="L55" s="247"/>
      <c r="M55" s="235"/>
      <c r="N55" s="238"/>
      <c r="O55" s="6">
        <v>4</v>
      </c>
      <c r="P55" s="49"/>
      <c r="Q55" s="51" t="str">
        <f t="shared" si="6"/>
        <v/>
      </c>
      <c r="R55" s="52"/>
      <c r="S55" s="52"/>
      <c r="T55" s="53" t="str">
        <f t="shared" si="7"/>
        <v/>
      </c>
      <c r="U55" s="52"/>
      <c r="V55" s="52"/>
      <c r="W55" s="52"/>
      <c r="X55" s="24" t="str">
        <f>IFERROR(IF(AND(Q54="Probabilidad",Q55="Probabilidad"),(Z54-(+Z54*T55)),IF(AND(Q54="Impacto",Q55="Probabilidad"),(Z53-(+Z53*T55)),IF(Q55="Impacto",Z54,""))),"")</f>
        <v/>
      </c>
      <c r="Y55" s="54" t="str">
        <f t="shared" si="4"/>
        <v/>
      </c>
      <c r="Z55" s="55" t="str">
        <f t="shared" si="8"/>
        <v/>
      </c>
      <c r="AA55" s="54" t="str">
        <f t="shared" si="5"/>
        <v/>
      </c>
      <c r="AB55" s="55" t="str">
        <f>IFERROR(IF(AND(Q54="Impacto",Q55="Impacto"),(AB54-(+AB54*T55)),IF(AND(Q54="Probabilidad",Q55="Impacto"),(AB53-(+AB53*T55)),IF(Q55="Probabilidad",AB54,""))),"")</f>
        <v/>
      </c>
      <c r="AC55" s="56" t="str">
        <f t="shared" si="9"/>
        <v/>
      </c>
      <c r="AD55" s="57"/>
      <c r="AE55" s="58"/>
      <c r="AF55" s="48"/>
      <c r="AG55" s="59"/>
      <c r="AH55" s="59"/>
      <c r="AI55" s="58"/>
      <c r="AJ55" s="4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50"/>
      <c r="B56" s="241"/>
      <c r="C56" s="241"/>
      <c r="D56" s="241"/>
      <c r="E56" s="229"/>
      <c r="F56" s="241"/>
      <c r="G56" s="244"/>
      <c r="H56" s="247"/>
      <c r="I56" s="235"/>
      <c r="J56" s="253"/>
      <c r="K56" s="235">
        <f>IF(NOT(ISERROR(MATCH(J56,_xlfn.ANCHORARRAY(E67),0))),I69&amp;"Por favor no seleccionar los criterios de impacto",J56)</f>
        <v>0</v>
      </c>
      <c r="L56" s="247"/>
      <c r="M56" s="235"/>
      <c r="N56" s="238"/>
      <c r="O56" s="6">
        <v>5</v>
      </c>
      <c r="P56" s="49"/>
      <c r="Q56" s="51" t="str">
        <f t="shared" si="6"/>
        <v/>
      </c>
      <c r="R56" s="52"/>
      <c r="S56" s="52"/>
      <c r="T56" s="53" t="str">
        <f t="shared" si="7"/>
        <v/>
      </c>
      <c r="U56" s="52"/>
      <c r="V56" s="52"/>
      <c r="W56" s="52"/>
      <c r="X56" s="24" t="str">
        <f>IFERROR(IF(AND(Q55="Probabilidad",Q56="Probabilidad"),(Z55-(+Z55*T56)),IF(AND(Q55="Impacto",Q56="Probabilidad"),(Z54-(+Z54*T56)),IF(Q56="Impacto",Z55,""))),"")</f>
        <v/>
      </c>
      <c r="Y56" s="54" t="str">
        <f t="shared" si="4"/>
        <v/>
      </c>
      <c r="Z56" s="55" t="str">
        <f t="shared" si="8"/>
        <v/>
      </c>
      <c r="AA56" s="54" t="str">
        <f t="shared" si="5"/>
        <v/>
      </c>
      <c r="AB56" s="55" t="str">
        <f>IFERROR(IF(AND(Q55="Impacto",Q56="Impacto"),(AB55-(+AB55*T56)),IF(AND(Q55="Probabilidad",Q56="Impacto"),(AB54-(+AB54*T56)),IF(Q56="Probabilidad",AB55,""))),"")</f>
        <v/>
      </c>
      <c r="AC56" s="56" t="str">
        <f t="shared" si="9"/>
        <v/>
      </c>
      <c r="AD56" s="57"/>
      <c r="AE56" s="58"/>
      <c r="AF56" s="48"/>
      <c r="AG56" s="59"/>
      <c r="AH56" s="59"/>
      <c r="AI56" s="58"/>
      <c r="AJ56" s="4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51"/>
      <c r="B57" s="242"/>
      <c r="C57" s="242"/>
      <c r="D57" s="242"/>
      <c r="E57" s="230"/>
      <c r="F57" s="242"/>
      <c r="G57" s="245"/>
      <c r="H57" s="248"/>
      <c r="I57" s="236"/>
      <c r="J57" s="254"/>
      <c r="K57" s="236">
        <f>IF(NOT(ISERROR(MATCH(J57,_xlfn.ANCHORARRAY(E68),0))),I70&amp;"Por favor no seleccionar los criterios de impacto",J57)</f>
        <v>0</v>
      </c>
      <c r="L57" s="248"/>
      <c r="M57" s="236"/>
      <c r="N57" s="239"/>
      <c r="O57" s="6">
        <v>6</v>
      </c>
      <c r="P57" s="49"/>
      <c r="Q57" s="51" t="str">
        <f t="shared" si="6"/>
        <v/>
      </c>
      <c r="R57" s="52"/>
      <c r="S57" s="52"/>
      <c r="T57" s="53" t="str">
        <f t="shared" si="7"/>
        <v/>
      </c>
      <c r="U57" s="52"/>
      <c r="V57" s="52"/>
      <c r="W57" s="52"/>
      <c r="X57" s="24" t="str">
        <f>IFERROR(IF(AND(Q56="Probabilidad",Q57="Probabilidad"),(Z56-(+Z56*T57)),IF(AND(Q56="Impacto",Q57="Probabilidad"),(Z55-(+Z55*T57)),IF(Q57="Impacto",Z56,""))),"")</f>
        <v/>
      </c>
      <c r="Y57" s="54" t="str">
        <f t="shared" si="4"/>
        <v/>
      </c>
      <c r="Z57" s="55" t="str">
        <f t="shared" si="8"/>
        <v/>
      </c>
      <c r="AA57" s="54" t="str">
        <f t="shared" si="5"/>
        <v/>
      </c>
      <c r="AB57" s="55" t="str">
        <f>IFERROR(IF(AND(Q56="Impacto",Q57="Impacto"),(AB56-(+AB56*T57)),IF(AND(Q56="Probabilidad",Q57="Impacto"),(AB55-(+AB55*T57)),IF(Q57="Probabilidad",AB56,""))),"")</f>
        <v/>
      </c>
      <c r="AC57" s="56" t="str">
        <f t="shared" si="9"/>
        <v/>
      </c>
      <c r="AD57" s="57"/>
      <c r="AE57" s="58"/>
      <c r="AF57" s="48"/>
      <c r="AG57" s="59"/>
      <c r="AH57" s="59"/>
      <c r="AI57" s="58"/>
      <c r="AJ57" s="4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49">
        <v>9</v>
      </c>
      <c r="B58" s="240"/>
      <c r="C58" s="240"/>
      <c r="D58" s="240"/>
      <c r="E58" s="228"/>
      <c r="F58" s="240"/>
      <c r="G58" s="243"/>
      <c r="H58" s="246" t="str">
        <f>IF(G58&lt;=0,"",IF(G58&lt;=2,"Muy Baja",IF(G58&lt;=24,"Baja",IF(G58&lt;=500,"Media",IF(G58&lt;=5000,"Alta","Muy Alta")))))</f>
        <v/>
      </c>
      <c r="I58" s="234" t="str">
        <f>IF(H58="","",IF(H58="Muy Baja",0.2,IF(H58="Baja",0.4,IF(H58="Media",0.6,IF(H58="Alta",0.8,IF(H58="Muy Alta",1,))))))</f>
        <v/>
      </c>
      <c r="J58" s="252"/>
      <c r="K58" s="234">
        <f>IF(NOT(ISERROR(MATCH(J58,'Tabla Impacto'!$B$221:$B$223,0))),'Tabla Impacto'!$F$223&amp;"Por favor no seleccionar los criterios de impacto(Afectación Económica o presupuestal y Pérdida Reputacional)",J58)</f>
        <v>0</v>
      </c>
      <c r="L58" s="246" t="str">
        <f>IF(OR(K58='Tabla Impacto'!$C$11,K58='Tabla Impacto'!$D$11),"Leve",IF(OR(K58='Tabla Impacto'!$C$12,K58='Tabla Impacto'!$D$12),"Menor",IF(OR(K58='Tabla Impacto'!$C$13,K58='Tabla Impacto'!$D$13),"Moderado",IF(OR(K58='Tabla Impacto'!$C$14,K58='Tabla Impacto'!$D$14),"Mayor",IF(OR(K58='Tabla Impacto'!$C$15,K58='Tabla Impacto'!$D$15),"Catastrófico","")))))</f>
        <v>Mayor</v>
      </c>
      <c r="M58" s="234">
        <f>IF(L58="","",IF(L58="Leve",0.2,IF(L58="Menor",0.4,IF(L58="Moderado",0.6,IF(L58="Mayor",0.8,IF(L58="Catastrófico",1,))))))</f>
        <v>0.8</v>
      </c>
      <c r="N58" s="237"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6">
        <v>1</v>
      </c>
      <c r="P58" s="49"/>
      <c r="Q58" s="51" t="str">
        <f t="shared" si="6"/>
        <v/>
      </c>
      <c r="R58" s="52"/>
      <c r="S58" s="52"/>
      <c r="T58" s="53" t="str">
        <f t="shared" si="7"/>
        <v/>
      </c>
      <c r="U58" s="52"/>
      <c r="V58" s="52"/>
      <c r="W58" s="52"/>
      <c r="X58" s="24" t="str">
        <f>IFERROR(IF(Q58="Probabilidad",(I58-(+I58*T58)),IF(Q58="Impacto",I58,"")),"")</f>
        <v/>
      </c>
      <c r="Y58" s="54" t="str">
        <f>IFERROR(IF(X58="","",IF(X58&lt;=0.2,"Muy Baja",IF(X58&lt;=0.4,"Baja",IF(X58&lt;=0.6,"Media",IF(X58&lt;=0.8,"Alta","Muy Alta"))))),"")</f>
        <v/>
      </c>
      <c r="Z58" s="55" t="str">
        <f t="shared" si="8"/>
        <v/>
      </c>
      <c r="AA58" s="54" t="str">
        <f>IFERROR(IF(AB58="","",IF(AB58&lt;=0.2,"Leve",IF(AB58&lt;=0.4,"Menor",IF(AB58&lt;=0.6,"Moderado",IF(AB58&lt;=0.8,"Mayor","Catastrófico"))))),"")</f>
        <v/>
      </c>
      <c r="AB58" s="55" t="str">
        <f>IFERROR(IF(Q58="Impacto",(M58-(+M58*T58)),IF(Q58="Probabilidad",M58,"")),"")</f>
        <v/>
      </c>
      <c r="AC58" s="56" t="str">
        <f t="shared" si="9"/>
        <v/>
      </c>
      <c r="AD58" s="57"/>
      <c r="AE58" s="58"/>
      <c r="AF58" s="48"/>
      <c r="AG58" s="59"/>
      <c r="AH58" s="59"/>
      <c r="AI58" s="58"/>
      <c r="AJ58" s="4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50"/>
      <c r="B59" s="241"/>
      <c r="C59" s="241"/>
      <c r="D59" s="241"/>
      <c r="E59" s="229"/>
      <c r="F59" s="241"/>
      <c r="G59" s="244"/>
      <c r="H59" s="247"/>
      <c r="I59" s="235"/>
      <c r="J59" s="253"/>
      <c r="K59" s="235">
        <f>IF(NOT(ISERROR(MATCH(J59,_xlfn.ANCHORARRAY(E70),0))),I72&amp;"Por favor no seleccionar los criterios de impacto",J59)</f>
        <v>0</v>
      </c>
      <c r="L59" s="247"/>
      <c r="M59" s="235"/>
      <c r="N59" s="238"/>
      <c r="O59" s="6">
        <v>2</v>
      </c>
      <c r="P59" s="49"/>
      <c r="Q59" s="51" t="str">
        <f t="shared" si="6"/>
        <v/>
      </c>
      <c r="R59" s="52"/>
      <c r="S59" s="52"/>
      <c r="T59" s="53" t="str">
        <f t="shared" si="7"/>
        <v/>
      </c>
      <c r="U59" s="52"/>
      <c r="V59" s="52"/>
      <c r="W59" s="52"/>
      <c r="X59" s="24" t="str">
        <f>IFERROR(IF(AND(Q58="Probabilidad",Q59="Probabilidad"),(Z58-(+Z58*T59)),IF(Q59="Probabilidad",(I58-(+I58*T59)),IF(Q59="Impacto",Z58,""))),"")</f>
        <v/>
      </c>
      <c r="Y59" s="54" t="str">
        <f t="shared" si="4"/>
        <v/>
      </c>
      <c r="Z59" s="55" t="str">
        <f t="shared" si="8"/>
        <v/>
      </c>
      <c r="AA59" s="54" t="str">
        <f t="shared" si="5"/>
        <v/>
      </c>
      <c r="AB59" s="55" t="str">
        <f>IFERROR(IF(AND(Q58="Impacto",Q59="Impacto"),(AB52-(+AB52*T59)),IF(Q59="Impacto",($M$58-(+$M$58*T59)),IF(Q59="Probabilidad",AB52,""))),"")</f>
        <v/>
      </c>
      <c r="AC59" s="56" t="str">
        <f t="shared" si="9"/>
        <v/>
      </c>
      <c r="AD59" s="57"/>
      <c r="AE59" s="58"/>
      <c r="AF59" s="48"/>
      <c r="AG59" s="59"/>
      <c r="AH59" s="59"/>
      <c r="AI59" s="58"/>
      <c r="AJ59" s="4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50"/>
      <c r="B60" s="241"/>
      <c r="C60" s="241"/>
      <c r="D60" s="241"/>
      <c r="E60" s="229"/>
      <c r="F60" s="241"/>
      <c r="G60" s="244"/>
      <c r="H60" s="247"/>
      <c r="I60" s="235"/>
      <c r="J60" s="253"/>
      <c r="K60" s="235">
        <f>IF(NOT(ISERROR(MATCH(J60,_xlfn.ANCHORARRAY(E71),0))),I73&amp;"Por favor no seleccionar los criterios de impacto",J60)</f>
        <v>0</v>
      </c>
      <c r="L60" s="247"/>
      <c r="M60" s="235"/>
      <c r="N60" s="238"/>
      <c r="O60" s="6">
        <v>3</v>
      </c>
      <c r="P60" s="50"/>
      <c r="Q60" s="51" t="str">
        <f t="shared" si="6"/>
        <v/>
      </c>
      <c r="R60" s="52"/>
      <c r="S60" s="52"/>
      <c r="T60" s="53" t="str">
        <f t="shared" si="7"/>
        <v/>
      </c>
      <c r="U60" s="52"/>
      <c r="V60" s="52"/>
      <c r="W60" s="52"/>
      <c r="X60" s="24" t="str">
        <f>IFERROR(IF(AND(Q59="Probabilidad",Q60="Probabilidad"),(Z59-(+Z59*T60)),IF(AND(Q59="Impacto",Q60="Probabilidad"),(Z58-(+Z58*T60)),IF(Q60="Impacto",Z59,""))),"")</f>
        <v/>
      </c>
      <c r="Y60" s="54" t="str">
        <f t="shared" si="4"/>
        <v/>
      </c>
      <c r="Z60" s="55" t="str">
        <f t="shared" si="8"/>
        <v/>
      </c>
      <c r="AA60" s="54" t="str">
        <f t="shared" si="5"/>
        <v/>
      </c>
      <c r="AB60" s="55" t="str">
        <f>IFERROR(IF(AND(Q59="Impacto",Q60="Impacto"),(AB59-(+AB59*T60)),IF(AND(Q59="Probabilidad",Q60="Impacto"),(AB58-(+AB58*T60)),IF(Q60="Probabilidad",AB59,""))),"")</f>
        <v/>
      </c>
      <c r="AC60" s="56" t="str">
        <f t="shared" si="9"/>
        <v/>
      </c>
      <c r="AD60" s="57"/>
      <c r="AE60" s="58"/>
      <c r="AF60" s="48"/>
      <c r="AG60" s="59"/>
      <c r="AH60" s="59"/>
      <c r="AI60" s="58"/>
      <c r="AJ60" s="4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50"/>
      <c r="B61" s="241"/>
      <c r="C61" s="241"/>
      <c r="D61" s="241"/>
      <c r="E61" s="229"/>
      <c r="F61" s="241"/>
      <c r="G61" s="244"/>
      <c r="H61" s="247"/>
      <c r="I61" s="235"/>
      <c r="J61" s="253"/>
      <c r="K61" s="235">
        <f>IF(NOT(ISERROR(MATCH(J61,_xlfn.ANCHORARRAY(E72),0))),I74&amp;"Por favor no seleccionar los criterios de impacto",J61)</f>
        <v>0</v>
      </c>
      <c r="L61" s="247"/>
      <c r="M61" s="235"/>
      <c r="N61" s="238"/>
      <c r="O61" s="6">
        <v>4</v>
      </c>
      <c r="P61" s="49"/>
      <c r="Q61" s="51" t="str">
        <f t="shared" si="6"/>
        <v/>
      </c>
      <c r="R61" s="52"/>
      <c r="S61" s="52"/>
      <c r="T61" s="53" t="str">
        <f t="shared" si="7"/>
        <v/>
      </c>
      <c r="U61" s="52"/>
      <c r="V61" s="52"/>
      <c r="W61" s="52"/>
      <c r="X61" s="24" t="str">
        <f>IFERROR(IF(AND(Q60="Probabilidad",Q61="Probabilidad"),(Z60-(+Z60*T61)),IF(AND(Q60="Impacto",Q61="Probabilidad"),(Z59-(+Z59*T61)),IF(Q61="Impacto",Z60,""))),"")</f>
        <v/>
      </c>
      <c r="Y61" s="54" t="str">
        <f t="shared" si="4"/>
        <v/>
      </c>
      <c r="Z61" s="55" t="str">
        <f t="shared" si="8"/>
        <v/>
      </c>
      <c r="AA61" s="54" t="str">
        <f t="shared" si="5"/>
        <v/>
      </c>
      <c r="AB61" s="55" t="str">
        <f>IFERROR(IF(AND(Q60="Impacto",Q61="Impacto"),(AB60-(+AB60*T61)),IF(AND(Q60="Probabilidad",Q61="Impacto"),(AB59-(+AB59*T61)),IF(Q61="Probabilidad",AB60,""))),"")</f>
        <v/>
      </c>
      <c r="AC61" s="56" t="str">
        <f t="shared" si="9"/>
        <v/>
      </c>
      <c r="AD61" s="57"/>
      <c r="AE61" s="58"/>
      <c r="AF61" s="48"/>
      <c r="AG61" s="59"/>
      <c r="AH61" s="59"/>
      <c r="AI61" s="58"/>
      <c r="AJ61" s="4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50"/>
      <c r="B62" s="241"/>
      <c r="C62" s="241"/>
      <c r="D62" s="241"/>
      <c r="E62" s="229"/>
      <c r="F62" s="241"/>
      <c r="G62" s="244"/>
      <c r="H62" s="247"/>
      <c r="I62" s="235"/>
      <c r="J62" s="253"/>
      <c r="K62" s="235">
        <f>IF(NOT(ISERROR(MATCH(J62,_xlfn.ANCHORARRAY(E73),0))),I75&amp;"Por favor no seleccionar los criterios de impacto",J62)</f>
        <v>0</v>
      </c>
      <c r="L62" s="247"/>
      <c r="M62" s="235"/>
      <c r="N62" s="238"/>
      <c r="O62" s="6">
        <v>5</v>
      </c>
      <c r="P62" s="49"/>
      <c r="Q62" s="51" t="str">
        <f t="shared" si="6"/>
        <v/>
      </c>
      <c r="R62" s="52"/>
      <c r="S62" s="52"/>
      <c r="T62" s="53" t="str">
        <f t="shared" si="7"/>
        <v/>
      </c>
      <c r="U62" s="52"/>
      <c r="V62" s="52"/>
      <c r="W62" s="52"/>
      <c r="X62" s="24" t="str">
        <f>IFERROR(IF(AND(Q61="Probabilidad",Q62="Probabilidad"),(Z61-(+Z61*T62)),IF(AND(Q61="Impacto",Q62="Probabilidad"),(Z60-(+Z60*T62)),IF(Q62="Impacto",Z61,""))),"")</f>
        <v/>
      </c>
      <c r="Y62" s="54" t="str">
        <f t="shared" si="4"/>
        <v/>
      </c>
      <c r="Z62" s="55" t="str">
        <f t="shared" si="8"/>
        <v/>
      </c>
      <c r="AA62" s="54" t="str">
        <f t="shared" si="5"/>
        <v/>
      </c>
      <c r="AB62" s="55" t="str">
        <f>IFERROR(IF(AND(Q61="Impacto",Q62="Impacto"),(AB61-(+AB61*T62)),IF(AND(Q61="Probabilidad",Q62="Impacto"),(AB60-(+AB60*T62)),IF(Q62="Probabilidad",AB61,""))),"")</f>
        <v/>
      </c>
      <c r="AC62" s="56" t="str">
        <f t="shared" si="9"/>
        <v/>
      </c>
      <c r="AD62" s="57"/>
      <c r="AE62" s="58"/>
      <c r="AF62" s="48"/>
      <c r="AG62" s="59"/>
      <c r="AH62" s="59"/>
      <c r="AI62" s="58"/>
      <c r="AJ62" s="4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51"/>
      <c r="B63" s="242"/>
      <c r="C63" s="242"/>
      <c r="D63" s="242"/>
      <c r="E63" s="230"/>
      <c r="F63" s="242"/>
      <c r="G63" s="245"/>
      <c r="H63" s="248"/>
      <c r="I63" s="236"/>
      <c r="J63" s="254"/>
      <c r="K63" s="236">
        <f>IF(NOT(ISERROR(MATCH(J63,_xlfn.ANCHORARRAY(E74),0))),I76&amp;"Por favor no seleccionar los criterios de impacto",J63)</f>
        <v>0</v>
      </c>
      <c r="L63" s="248"/>
      <c r="M63" s="236"/>
      <c r="N63" s="239"/>
      <c r="O63" s="6">
        <v>6</v>
      </c>
      <c r="P63" s="49"/>
      <c r="Q63" s="51" t="str">
        <f t="shared" si="6"/>
        <v/>
      </c>
      <c r="R63" s="52"/>
      <c r="S63" s="52"/>
      <c r="T63" s="53" t="str">
        <f t="shared" si="7"/>
        <v/>
      </c>
      <c r="U63" s="52"/>
      <c r="V63" s="52"/>
      <c r="W63" s="52"/>
      <c r="X63" s="24" t="str">
        <f>IFERROR(IF(AND(Q62="Probabilidad",Q63="Probabilidad"),(Z62-(+Z62*T63)),IF(AND(Q62="Impacto",Q63="Probabilidad"),(Z61-(+Z61*T63)),IF(Q63="Impacto",Z62,""))),"")</f>
        <v/>
      </c>
      <c r="Y63" s="54" t="str">
        <f t="shared" si="4"/>
        <v/>
      </c>
      <c r="Z63" s="55" t="str">
        <f t="shared" si="8"/>
        <v/>
      </c>
      <c r="AA63" s="54" t="str">
        <f t="shared" si="5"/>
        <v/>
      </c>
      <c r="AB63" s="55" t="str">
        <f>IFERROR(IF(AND(Q62="Impacto",Q63="Impacto"),(AB62-(+AB62*T63)),IF(AND(Q62="Probabilidad",Q63="Impacto"),(AB61-(+AB61*T63)),IF(Q63="Probabilidad",AB62,""))),"")</f>
        <v/>
      </c>
      <c r="AC63" s="56" t="str">
        <f t="shared" si="9"/>
        <v/>
      </c>
      <c r="AD63" s="57"/>
      <c r="AE63" s="58"/>
      <c r="AF63" s="48"/>
      <c r="AG63" s="59"/>
      <c r="AH63" s="59"/>
      <c r="AI63" s="58"/>
      <c r="AJ63" s="4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49">
        <v>10</v>
      </c>
      <c r="B64" s="240"/>
      <c r="C64" s="240"/>
      <c r="D64" s="240"/>
      <c r="E64" s="228"/>
      <c r="F64" s="240"/>
      <c r="G64" s="243"/>
      <c r="H64" s="246" t="str">
        <f>IF(G64&lt;=0,"",IF(G64&lt;=2,"Muy Baja",IF(G64&lt;=24,"Baja",IF(G64&lt;=500,"Media",IF(G64&lt;=5000,"Alta","Muy Alta")))))</f>
        <v/>
      </c>
      <c r="I64" s="234" t="str">
        <f>IF(H64="","",IF(H64="Muy Baja",0.2,IF(H64="Baja",0.4,IF(H64="Media",0.6,IF(H64="Alta",0.8,IF(H64="Muy Alta",1,))))))</f>
        <v/>
      </c>
      <c r="J64" s="252"/>
      <c r="K64" s="234">
        <f>IF(NOT(ISERROR(MATCH(J64,'Tabla Impacto'!$B$221:$B$223,0))),'Tabla Impacto'!$F$223&amp;"Por favor no seleccionar los criterios de impacto(Afectación Económica o presupuestal y Pérdida Reputacional)",J64)</f>
        <v>0</v>
      </c>
      <c r="L64" s="246" t="str">
        <f>IF(OR(K64='Tabla Impacto'!$C$11,K64='Tabla Impacto'!$D$11),"Leve",IF(OR(K64='Tabla Impacto'!$C$12,K64='Tabla Impacto'!$D$12),"Menor",IF(OR(K64='Tabla Impacto'!$C$13,K64='Tabla Impacto'!$D$13),"Moderado",IF(OR(K64='Tabla Impacto'!$C$14,K64='Tabla Impacto'!$D$14),"Mayor",IF(OR(K64='Tabla Impacto'!$C$15,K64='Tabla Impacto'!$D$15),"Catastrófico","")))))</f>
        <v>Mayor</v>
      </c>
      <c r="M64" s="234">
        <f>IF(L64="","",IF(L64="Leve",0.2,IF(L64="Menor",0.4,IF(L64="Moderado",0.6,IF(L64="Mayor",0.8,IF(L64="Catastrófico",1,))))))</f>
        <v>0.8</v>
      </c>
      <c r="N64" s="237"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6">
        <v>1</v>
      </c>
      <c r="P64" s="49"/>
      <c r="Q64" s="51" t="str">
        <f t="shared" si="6"/>
        <v/>
      </c>
      <c r="R64" s="52"/>
      <c r="S64" s="52"/>
      <c r="T64" s="53" t="str">
        <f t="shared" si="7"/>
        <v/>
      </c>
      <c r="U64" s="52"/>
      <c r="V64" s="52"/>
      <c r="W64" s="52"/>
      <c r="X64" s="24" t="str">
        <f>IFERROR(IF(Q64="Probabilidad",(I64-(+I64*T64)),IF(Q64="Impacto",I64,"")),"")</f>
        <v/>
      </c>
      <c r="Y64" s="54" t="str">
        <f>IFERROR(IF(X64="","",IF(X64&lt;=0.2,"Muy Baja",IF(X64&lt;=0.4,"Baja",IF(X64&lt;=0.6,"Media",IF(X64&lt;=0.8,"Alta","Muy Alta"))))),"")</f>
        <v/>
      </c>
      <c r="Z64" s="55" t="str">
        <f t="shared" si="8"/>
        <v/>
      </c>
      <c r="AA64" s="54" t="str">
        <f>IFERROR(IF(AB64="","",IF(AB64&lt;=0.2,"Leve",IF(AB64&lt;=0.4,"Menor",IF(AB64&lt;=0.6,"Moderado",IF(AB64&lt;=0.8,"Mayor","Catastrófico"))))),"")</f>
        <v/>
      </c>
      <c r="AB64" s="55" t="str">
        <f>IFERROR(IF(Q64="Impacto",(M64-(+M64*T64)),IF(Q64="Probabilidad",M64,"")),"")</f>
        <v/>
      </c>
      <c r="AC64" s="56" t="str">
        <f t="shared" si="9"/>
        <v/>
      </c>
      <c r="AD64" s="57"/>
      <c r="AE64" s="58"/>
      <c r="AF64" s="48"/>
      <c r="AG64" s="59"/>
      <c r="AH64" s="59"/>
      <c r="AI64" s="58"/>
      <c r="AJ64" s="4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50"/>
      <c r="B65" s="241"/>
      <c r="C65" s="241"/>
      <c r="D65" s="241"/>
      <c r="E65" s="229"/>
      <c r="F65" s="241"/>
      <c r="G65" s="244"/>
      <c r="H65" s="247"/>
      <c r="I65" s="235"/>
      <c r="J65" s="253"/>
      <c r="K65" s="235">
        <f>IF(NOT(ISERROR(MATCH(J65,_xlfn.ANCHORARRAY(E76),0))),I78&amp;"Por favor no seleccionar los criterios de impacto",J65)</f>
        <v>0</v>
      </c>
      <c r="L65" s="247"/>
      <c r="M65" s="235"/>
      <c r="N65" s="238"/>
      <c r="O65" s="6">
        <v>2</v>
      </c>
      <c r="P65" s="49"/>
      <c r="Q65" s="51" t="str">
        <f t="shared" si="6"/>
        <v/>
      </c>
      <c r="R65" s="52"/>
      <c r="S65" s="52"/>
      <c r="T65" s="53" t="str">
        <f t="shared" si="7"/>
        <v/>
      </c>
      <c r="U65" s="52"/>
      <c r="V65" s="52"/>
      <c r="W65" s="52"/>
      <c r="X65" s="24" t="str">
        <f>IFERROR(IF(AND(Q64="Probabilidad",Q65="Probabilidad"),(Z64-(+Z64*T65)),IF(Q65="Probabilidad",(I64-(+I64*T65)),IF(Q65="Impacto",Z64,""))),"")</f>
        <v/>
      </c>
      <c r="Y65" s="54" t="str">
        <f t="shared" si="4"/>
        <v/>
      </c>
      <c r="Z65" s="55" t="str">
        <f t="shared" si="8"/>
        <v/>
      </c>
      <c r="AA65" s="54" t="str">
        <f t="shared" si="5"/>
        <v/>
      </c>
      <c r="AB65" s="55" t="str">
        <f>IFERROR(IF(AND(Q64="Impacto",Q65="Impacto"),(AB58-(+AB58*T65)),IF(Q65="Impacto",($M$64-(+$M$64*T65)),IF(Q65="Probabilidad",AB58,""))),"")</f>
        <v/>
      </c>
      <c r="AC65" s="56" t="str">
        <f t="shared" si="9"/>
        <v/>
      </c>
      <c r="AD65" s="57"/>
      <c r="AE65" s="58"/>
      <c r="AF65" s="48"/>
      <c r="AG65" s="59"/>
      <c r="AH65" s="59"/>
      <c r="AI65" s="58"/>
      <c r="AJ65" s="48"/>
    </row>
    <row r="66" spans="1:36" ht="151.5" customHeight="1" x14ac:dyDescent="0.3">
      <c r="A66" s="250"/>
      <c r="B66" s="241"/>
      <c r="C66" s="241"/>
      <c r="D66" s="241"/>
      <c r="E66" s="229"/>
      <c r="F66" s="241"/>
      <c r="G66" s="244"/>
      <c r="H66" s="247"/>
      <c r="I66" s="235"/>
      <c r="J66" s="253"/>
      <c r="K66" s="235">
        <f>IF(NOT(ISERROR(MATCH(J66,_xlfn.ANCHORARRAY(E77),0))),I79&amp;"Por favor no seleccionar los criterios de impacto",J66)</f>
        <v>0</v>
      </c>
      <c r="L66" s="247"/>
      <c r="M66" s="235"/>
      <c r="N66" s="238"/>
      <c r="O66" s="6">
        <v>3</v>
      </c>
      <c r="P66" s="50"/>
      <c r="Q66" s="51" t="str">
        <f t="shared" si="6"/>
        <v/>
      </c>
      <c r="R66" s="52"/>
      <c r="S66" s="52"/>
      <c r="T66" s="53" t="str">
        <f t="shared" si="7"/>
        <v/>
      </c>
      <c r="U66" s="52"/>
      <c r="V66" s="52"/>
      <c r="W66" s="52"/>
      <c r="X66" s="24" t="str">
        <f>IFERROR(IF(AND(Q65="Probabilidad",Q66="Probabilidad"),(Z65-(+Z65*T66)),IF(AND(Q65="Impacto",Q66="Probabilidad"),(Z64-(+Z64*T66)),IF(Q66="Impacto",Z65,""))),"")</f>
        <v/>
      </c>
      <c r="Y66" s="54" t="str">
        <f t="shared" si="4"/>
        <v/>
      </c>
      <c r="Z66" s="55" t="str">
        <f t="shared" si="8"/>
        <v/>
      </c>
      <c r="AA66" s="54" t="str">
        <f t="shared" si="5"/>
        <v/>
      </c>
      <c r="AB66" s="55" t="str">
        <f>IFERROR(IF(AND(Q65="Impacto",Q66="Impacto"),(AB65-(+AB65*T66)),IF(AND(Q65="Probabilidad",Q66="Impacto"),(AB64-(+AB64*T66)),IF(Q66="Probabilidad",AB65,""))),"")</f>
        <v/>
      </c>
      <c r="AC66" s="56" t="str">
        <f t="shared" si="9"/>
        <v/>
      </c>
      <c r="AD66" s="57"/>
      <c r="AE66" s="58"/>
      <c r="AF66" s="48"/>
      <c r="AG66" s="59"/>
      <c r="AH66" s="59"/>
      <c r="AI66" s="58"/>
      <c r="AJ66" s="48"/>
    </row>
    <row r="67" spans="1:36" ht="151.5" customHeight="1" x14ac:dyDescent="0.3">
      <c r="A67" s="250"/>
      <c r="B67" s="241"/>
      <c r="C67" s="241"/>
      <c r="D67" s="241"/>
      <c r="E67" s="229"/>
      <c r="F67" s="241"/>
      <c r="G67" s="244"/>
      <c r="H67" s="247"/>
      <c r="I67" s="235"/>
      <c r="J67" s="253"/>
      <c r="K67" s="235">
        <f>IF(NOT(ISERROR(MATCH(J67,_xlfn.ANCHORARRAY(E78),0))),I80&amp;"Por favor no seleccionar los criterios de impacto",J67)</f>
        <v>0</v>
      </c>
      <c r="L67" s="247"/>
      <c r="M67" s="235"/>
      <c r="N67" s="238"/>
      <c r="O67" s="6">
        <v>4</v>
      </c>
      <c r="P67" s="49"/>
      <c r="Q67" s="51" t="str">
        <f t="shared" si="6"/>
        <v/>
      </c>
      <c r="R67" s="52"/>
      <c r="S67" s="52"/>
      <c r="T67" s="53" t="str">
        <f t="shared" si="7"/>
        <v/>
      </c>
      <c r="U67" s="52"/>
      <c r="V67" s="52"/>
      <c r="W67" s="52"/>
      <c r="X67" s="24" t="str">
        <f>IFERROR(IF(AND(Q66="Probabilidad",Q67="Probabilidad"),(Z66-(+Z66*T67)),IF(AND(Q66="Impacto",Q67="Probabilidad"),(Z65-(+Z65*T67)),IF(Q67="Impacto",Z66,""))),"")</f>
        <v/>
      </c>
      <c r="Y67" s="54" t="str">
        <f t="shared" si="4"/>
        <v/>
      </c>
      <c r="Z67" s="55" t="str">
        <f t="shared" si="8"/>
        <v/>
      </c>
      <c r="AA67" s="54" t="str">
        <f t="shared" si="5"/>
        <v/>
      </c>
      <c r="AB67" s="55" t="str">
        <f>IFERROR(IF(AND(Q66="Impacto",Q67="Impacto"),(AB66-(+AB66*T67)),IF(AND(Q66="Probabilidad",Q67="Impacto"),(AB65-(+AB65*T67)),IF(Q67="Probabilidad",AB66,""))),"")</f>
        <v/>
      </c>
      <c r="AC67" s="56" t="str">
        <f t="shared" si="9"/>
        <v/>
      </c>
      <c r="AD67" s="57"/>
      <c r="AE67" s="58"/>
      <c r="AF67" s="48"/>
      <c r="AG67" s="59"/>
      <c r="AH67" s="59"/>
      <c r="AI67" s="58"/>
      <c r="AJ67" s="48"/>
    </row>
    <row r="68" spans="1:36" ht="151.5" customHeight="1" x14ac:dyDescent="0.3">
      <c r="A68" s="250"/>
      <c r="B68" s="241"/>
      <c r="C68" s="241"/>
      <c r="D68" s="241"/>
      <c r="E68" s="229"/>
      <c r="F68" s="241"/>
      <c r="G68" s="244"/>
      <c r="H68" s="247"/>
      <c r="I68" s="235"/>
      <c r="J68" s="253"/>
      <c r="K68" s="235">
        <f>IF(NOT(ISERROR(MATCH(J68,_xlfn.ANCHORARRAY(E79),0))),I81&amp;"Por favor no seleccionar los criterios de impacto",J68)</f>
        <v>0</v>
      </c>
      <c r="L68" s="247"/>
      <c r="M68" s="235"/>
      <c r="N68" s="238"/>
      <c r="O68" s="6">
        <v>5</v>
      </c>
      <c r="P68" s="49"/>
      <c r="Q68" s="51" t="str">
        <f t="shared" si="6"/>
        <v/>
      </c>
      <c r="R68" s="52"/>
      <c r="S68" s="52"/>
      <c r="T68" s="53" t="str">
        <f t="shared" si="7"/>
        <v/>
      </c>
      <c r="U68" s="52"/>
      <c r="V68" s="52"/>
      <c r="W68" s="52"/>
      <c r="X68" s="24" t="str">
        <f>IFERROR(IF(AND(Q67="Probabilidad",Q68="Probabilidad"),(Z67-(+Z67*T68)),IF(AND(Q67="Impacto",Q68="Probabilidad"),(Z66-(+Z66*T68)),IF(Q68="Impacto",Z67,""))),"")</f>
        <v/>
      </c>
      <c r="Y68" s="54" t="str">
        <f t="shared" si="4"/>
        <v/>
      </c>
      <c r="Z68" s="55" t="str">
        <f t="shared" si="8"/>
        <v/>
      </c>
      <c r="AA68" s="54" t="str">
        <f t="shared" si="5"/>
        <v/>
      </c>
      <c r="AB68" s="55" t="str">
        <f>IFERROR(IF(AND(Q67="Impacto",Q68="Impacto"),(AB67-(+AB67*T68)),IF(AND(Q67="Probabilidad",Q68="Impacto"),(AB66-(+AB66*T68)),IF(Q68="Probabilidad",AB67,""))),"")</f>
        <v/>
      </c>
      <c r="AC68" s="56" t="str">
        <f t="shared" si="9"/>
        <v/>
      </c>
      <c r="AD68" s="57"/>
      <c r="AE68" s="58"/>
      <c r="AF68" s="48"/>
      <c r="AG68" s="59"/>
      <c r="AH68" s="59"/>
      <c r="AI68" s="58"/>
      <c r="AJ68" s="48"/>
    </row>
    <row r="69" spans="1:36" ht="151.5" customHeight="1" x14ac:dyDescent="0.3">
      <c r="A69" s="251"/>
      <c r="B69" s="242"/>
      <c r="C69" s="242"/>
      <c r="D69" s="242"/>
      <c r="E69" s="230"/>
      <c r="F69" s="242"/>
      <c r="G69" s="245"/>
      <c r="H69" s="248"/>
      <c r="I69" s="236"/>
      <c r="J69" s="254"/>
      <c r="K69" s="236">
        <f>IF(NOT(ISERROR(MATCH(J69,_xlfn.ANCHORARRAY(E80),0))),I82&amp;"Por favor no seleccionar los criterios de impacto",J69)</f>
        <v>0</v>
      </c>
      <c r="L69" s="248"/>
      <c r="M69" s="236"/>
      <c r="N69" s="239"/>
      <c r="O69" s="6">
        <v>6</v>
      </c>
      <c r="P69" s="49"/>
      <c r="Q69" s="51" t="str">
        <f t="shared" si="6"/>
        <v/>
      </c>
      <c r="R69" s="52"/>
      <c r="S69" s="52"/>
      <c r="T69" s="53" t="str">
        <f t="shared" si="7"/>
        <v/>
      </c>
      <c r="U69" s="52"/>
      <c r="V69" s="52"/>
      <c r="W69" s="52"/>
      <c r="X69" s="24" t="str">
        <f>IFERROR(IF(AND(Q68="Probabilidad",Q69="Probabilidad"),(Z68-(+Z68*T69)),IF(AND(Q68="Impacto",Q69="Probabilidad"),(Z67-(+Z67*T69)),IF(Q69="Impacto",Z68,""))),"")</f>
        <v/>
      </c>
      <c r="Y69" s="54" t="str">
        <f t="shared" si="4"/>
        <v/>
      </c>
      <c r="Z69" s="55" t="str">
        <f t="shared" si="8"/>
        <v/>
      </c>
      <c r="AA69" s="54" t="str">
        <f t="shared" si="5"/>
        <v/>
      </c>
      <c r="AB69" s="55" t="str">
        <f>IFERROR(IF(AND(Q68="Impacto",Q69="Impacto"),(AB68-(+AB68*T69)),IF(AND(Q68="Probabilidad",Q69="Impacto"),(AB67-(+AB67*T69)),IF(Q69="Probabilidad",AB68,""))),"")</f>
        <v/>
      </c>
      <c r="AC69" s="56" t="str">
        <f t="shared" si="9"/>
        <v/>
      </c>
      <c r="AD69" s="57"/>
      <c r="AE69" s="58"/>
      <c r="AF69" s="48"/>
      <c r="AG69" s="59"/>
      <c r="AH69" s="59"/>
      <c r="AI69" s="58"/>
      <c r="AJ69" s="48"/>
    </row>
    <row r="70" spans="1:36" ht="49.5" customHeight="1" x14ac:dyDescent="0.3">
      <c r="A70" s="6"/>
      <c r="B70" s="287" t="s">
        <v>152</v>
      </c>
      <c r="C70" s="288"/>
      <c r="D70" s="288"/>
      <c r="E70" s="288"/>
      <c r="F70" s="288"/>
      <c r="G70" s="288"/>
      <c r="H70" s="288"/>
      <c r="I70" s="288"/>
      <c r="J70" s="288"/>
      <c r="K70" s="288"/>
      <c r="L70" s="288"/>
      <c r="M70" s="288"/>
      <c r="N70" s="288"/>
      <c r="O70" s="288"/>
      <c r="P70" s="288"/>
      <c r="Q70" s="288"/>
      <c r="R70" s="288"/>
      <c r="S70" s="288"/>
      <c r="T70" s="288"/>
      <c r="U70" s="288"/>
      <c r="V70" s="288"/>
      <c r="W70" s="288"/>
      <c r="X70" s="288"/>
      <c r="Y70" s="288"/>
      <c r="Z70" s="288"/>
      <c r="AA70" s="288"/>
      <c r="AB70" s="288"/>
      <c r="AC70" s="288"/>
      <c r="AD70" s="288"/>
      <c r="AE70" s="288"/>
      <c r="AF70" s="288"/>
      <c r="AG70" s="288"/>
      <c r="AH70" s="288"/>
      <c r="AI70" s="288"/>
      <c r="AJ70" s="289"/>
    </row>
    <row r="72" spans="1:36" x14ac:dyDescent="0.3">
      <c r="A72" s="1"/>
      <c r="B72" s="25" t="s">
        <v>153</v>
      </c>
      <c r="C72" s="1"/>
      <c r="D72" s="1"/>
      <c r="F72" s="1"/>
    </row>
  </sheetData>
  <sheetProtection algorithmName="SHA-512" hashValue="sVoqu7kJshpFydYKkkW8R62PwbHkQ9zgyUzrQTDSexXBIdbfmbh3HSh+Gofw37b3YGg2PRU2wgjt3LhxsWd93g==" saltValue="gArFcdkKpQaxc61f24i61A==" spinCount="100000" sheet="1" objects="1" scenarios="1"/>
  <dataConsolidate/>
  <mergeCells count="185">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22:I27"/>
    <mergeCell ref="C16:C21"/>
    <mergeCell ref="D16:D21"/>
    <mergeCell ref="E16:E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J22:J27"/>
    <mergeCell ref="K22:K27"/>
    <mergeCell ref="L22:L27"/>
    <mergeCell ref="B16:B21"/>
    <mergeCell ref="A22:A27"/>
    <mergeCell ref="B22:B27"/>
    <mergeCell ref="C22:C27"/>
    <mergeCell ref="D22:D27"/>
    <mergeCell ref="E22:E27"/>
    <mergeCell ref="F22:F27"/>
    <mergeCell ref="G22:G27"/>
    <mergeCell ref="H22:H27"/>
    <mergeCell ref="AE8:AE9"/>
    <mergeCell ref="Y8:Y9"/>
    <mergeCell ref="Z8:Z9"/>
    <mergeCell ref="G8:G9"/>
    <mergeCell ref="H8:H9"/>
    <mergeCell ref="I8:I9"/>
    <mergeCell ref="L8:L9"/>
    <mergeCell ref="M8:M9"/>
    <mergeCell ref="B8:B9"/>
    <mergeCell ref="N8:N9"/>
    <mergeCell ref="J8:J9"/>
    <mergeCell ref="K8:K9"/>
    <mergeCell ref="Q8:Q9"/>
    <mergeCell ref="R8:W8"/>
    <mergeCell ref="K16:K21"/>
    <mergeCell ref="L16:L21"/>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C4:N4"/>
    <mergeCell ref="O4:Q4"/>
    <mergeCell ref="AA8:AA9"/>
    <mergeCell ref="M16:M21"/>
    <mergeCell ref="N16:N21"/>
    <mergeCell ref="C10:C15"/>
    <mergeCell ref="F10:F15"/>
    <mergeCell ref="G10:G15"/>
    <mergeCell ref="H10:H15"/>
    <mergeCell ref="A10:A15"/>
    <mergeCell ref="B10:B15"/>
    <mergeCell ref="D10:D15"/>
    <mergeCell ref="E10:E15"/>
    <mergeCell ref="N10:N15"/>
    <mergeCell ref="I10:I15"/>
    <mergeCell ref="J10:J15"/>
    <mergeCell ref="K10:K15"/>
    <mergeCell ref="L10:L15"/>
    <mergeCell ref="M10:M15"/>
    <mergeCell ref="F16:F21"/>
    <mergeCell ref="G16:G21"/>
    <mergeCell ref="H16:H21"/>
    <mergeCell ref="I16:I21"/>
    <mergeCell ref="J16:J21"/>
    <mergeCell ref="A16:A21"/>
  </mergeCells>
  <conditionalFormatting sqref="H10 H16">
    <cfRule type="cellIs" dxfId="115" priority="319" operator="equal">
      <formula>"Muy Alta"</formula>
    </cfRule>
    <cfRule type="cellIs" dxfId="114" priority="320" operator="equal">
      <formula>"Alta"</formula>
    </cfRule>
    <cfRule type="cellIs" dxfId="113" priority="321" operator="equal">
      <formula>"Media"</formula>
    </cfRule>
    <cfRule type="cellIs" dxfId="112" priority="322" operator="equal">
      <formula>"Baja"</formula>
    </cfRule>
    <cfRule type="cellIs" dxfId="111" priority="323" operator="equal">
      <formula>"Muy Baja"</formula>
    </cfRule>
  </conditionalFormatting>
  <conditionalFormatting sqref="H22">
    <cfRule type="cellIs" dxfId="110" priority="221" operator="equal">
      <formula>"Muy Alta"</formula>
    </cfRule>
    <cfRule type="cellIs" dxfId="109" priority="222" operator="equal">
      <formula>"Alta"</formula>
    </cfRule>
    <cfRule type="cellIs" dxfId="108" priority="223" operator="equal">
      <formula>"Media"</formula>
    </cfRule>
    <cfRule type="cellIs" dxfId="107" priority="224" operator="equal">
      <formula>"Baja"</formula>
    </cfRule>
    <cfRule type="cellIs" dxfId="106" priority="225" operator="equal">
      <formula>"Muy Baja"</formula>
    </cfRule>
  </conditionalFormatting>
  <conditionalFormatting sqref="H28">
    <cfRule type="cellIs" dxfId="105" priority="193" operator="equal">
      <formula>"Muy Alta"</formula>
    </cfRule>
    <cfRule type="cellIs" dxfId="104" priority="194" operator="equal">
      <formula>"Alta"</formula>
    </cfRule>
    <cfRule type="cellIs" dxfId="103" priority="195" operator="equal">
      <formula>"Media"</formula>
    </cfRule>
    <cfRule type="cellIs" dxfId="102" priority="196" operator="equal">
      <formula>"Baja"</formula>
    </cfRule>
    <cfRule type="cellIs" dxfId="101" priority="197" operator="equal">
      <formula>"Muy Baja"</formula>
    </cfRule>
  </conditionalFormatting>
  <conditionalFormatting sqref="H34">
    <cfRule type="cellIs" dxfId="100" priority="165" operator="equal">
      <formula>"Muy Alta"</formula>
    </cfRule>
    <cfRule type="cellIs" dxfId="99" priority="166" operator="equal">
      <formula>"Alta"</formula>
    </cfRule>
    <cfRule type="cellIs" dxfId="98" priority="167" operator="equal">
      <formula>"Media"</formula>
    </cfRule>
    <cfRule type="cellIs" dxfId="97" priority="168" operator="equal">
      <formula>"Baja"</formula>
    </cfRule>
    <cfRule type="cellIs" dxfId="96" priority="169" operator="equal">
      <formula>"Muy Baja"</formula>
    </cfRule>
  </conditionalFormatting>
  <conditionalFormatting sqref="H40">
    <cfRule type="cellIs" dxfId="95" priority="137" operator="equal">
      <formula>"Muy Alta"</formula>
    </cfRule>
    <cfRule type="cellIs" dxfId="94" priority="138" operator="equal">
      <formula>"Alta"</formula>
    </cfRule>
    <cfRule type="cellIs" dxfId="93" priority="139" operator="equal">
      <formula>"Media"</formula>
    </cfRule>
    <cfRule type="cellIs" dxfId="92" priority="140" operator="equal">
      <formula>"Baja"</formula>
    </cfRule>
    <cfRule type="cellIs" dxfId="91" priority="141" operator="equal">
      <formula>"Muy Baja"</formula>
    </cfRule>
  </conditionalFormatting>
  <conditionalFormatting sqref="H46">
    <cfRule type="cellIs" dxfId="90" priority="109" operator="equal">
      <formula>"Muy Alta"</formula>
    </cfRule>
    <cfRule type="cellIs" dxfId="89" priority="110" operator="equal">
      <formula>"Alta"</formula>
    </cfRule>
    <cfRule type="cellIs" dxfId="88" priority="111" operator="equal">
      <formula>"Media"</formula>
    </cfRule>
    <cfRule type="cellIs" dxfId="87" priority="112" operator="equal">
      <formula>"Baja"</formula>
    </cfRule>
    <cfRule type="cellIs" dxfId="86" priority="113" operator="equal">
      <formula>"Muy Baja"</formula>
    </cfRule>
  </conditionalFormatting>
  <conditionalFormatting sqref="H52">
    <cfRule type="cellIs" dxfId="85" priority="81" operator="equal">
      <formula>"Muy Alta"</formula>
    </cfRule>
    <cfRule type="cellIs" dxfId="84" priority="82" operator="equal">
      <formula>"Alta"</formula>
    </cfRule>
    <cfRule type="cellIs" dxfId="83" priority="83" operator="equal">
      <formula>"Media"</formula>
    </cfRule>
    <cfRule type="cellIs" dxfId="82" priority="84" operator="equal">
      <formula>"Baja"</formula>
    </cfRule>
    <cfRule type="cellIs" dxfId="81" priority="85" operator="equal">
      <formula>"Muy Baja"</formula>
    </cfRule>
  </conditionalFormatting>
  <conditionalFormatting sqref="H58">
    <cfRule type="cellIs" dxfId="80" priority="53" operator="equal">
      <formula>"Muy Alta"</formula>
    </cfRule>
    <cfRule type="cellIs" dxfId="79" priority="54" operator="equal">
      <formula>"Alta"</formula>
    </cfRule>
    <cfRule type="cellIs" dxfId="78" priority="55" operator="equal">
      <formula>"Media"</formula>
    </cfRule>
    <cfRule type="cellIs" dxfId="77" priority="56" operator="equal">
      <formula>"Baja"</formula>
    </cfRule>
    <cfRule type="cellIs" dxfId="76" priority="57" operator="equal">
      <formula>"Muy Baja"</formula>
    </cfRule>
  </conditionalFormatting>
  <conditionalFormatting sqref="H64">
    <cfRule type="cellIs" dxfId="75" priority="25" operator="equal">
      <formula>"Muy Alta"</formula>
    </cfRule>
    <cfRule type="cellIs" dxfId="74" priority="26" operator="equal">
      <formula>"Alta"</formula>
    </cfRule>
    <cfRule type="cellIs" dxfId="73" priority="27" operator="equal">
      <formula>"Media"</formula>
    </cfRule>
    <cfRule type="cellIs" dxfId="72" priority="28" operator="equal">
      <formula>"Baja"</formula>
    </cfRule>
    <cfRule type="cellIs" dxfId="71" priority="29" operator="equal">
      <formula>"Muy Baja"</formula>
    </cfRule>
  </conditionalFormatting>
  <conditionalFormatting sqref="K10:K69">
    <cfRule type="containsText" dxfId="70" priority="1" operator="containsText" text="❌">
      <formula>NOT(ISERROR(SEARCH("❌",K10)))</formula>
    </cfRule>
  </conditionalFormatting>
  <conditionalFormatting sqref="L10 L16 L22 L28 L34 L40 L46 L52 L58 L64">
    <cfRule type="cellIs" dxfId="69" priority="314" operator="equal">
      <formula>"Catastrófico"</formula>
    </cfRule>
    <cfRule type="cellIs" dxfId="68" priority="315" operator="equal">
      <formula>"Mayor"</formula>
    </cfRule>
    <cfRule type="cellIs" dxfId="67" priority="316" operator="equal">
      <formula>"Moderado"</formula>
    </cfRule>
    <cfRule type="cellIs" dxfId="66" priority="317" operator="equal">
      <formula>"Menor"</formula>
    </cfRule>
    <cfRule type="cellIs" dxfId="65" priority="318" operator="equal">
      <formula>"Leve"</formula>
    </cfRule>
  </conditionalFormatting>
  <conditionalFormatting sqref="N10">
    <cfRule type="cellIs" dxfId="64" priority="310" operator="equal">
      <formula>"Extremo"</formula>
    </cfRule>
    <cfRule type="cellIs" dxfId="63" priority="311" operator="equal">
      <formula>"Alto"</formula>
    </cfRule>
    <cfRule type="cellIs" dxfId="62" priority="312" operator="equal">
      <formula>"Moderado"</formula>
    </cfRule>
    <cfRule type="cellIs" dxfId="61" priority="313" operator="equal">
      <formula>"Bajo"</formula>
    </cfRule>
  </conditionalFormatting>
  <conditionalFormatting sqref="N16">
    <cfRule type="cellIs" dxfId="60" priority="240" operator="equal">
      <formula>"Extremo"</formula>
    </cfRule>
    <cfRule type="cellIs" dxfId="59" priority="241" operator="equal">
      <formula>"Alto"</formula>
    </cfRule>
    <cfRule type="cellIs" dxfId="58" priority="242" operator="equal">
      <formula>"Moderado"</formula>
    </cfRule>
    <cfRule type="cellIs" dxfId="57" priority="243" operator="equal">
      <formula>"Bajo"</formula>
    </cfRule>
  </conditionalFormatting>
  <conditionalFormatting sqref="N22">
    <cfRule type="cellIs" dxfId="56" priority="212" operator="equal">
      <formula>"Extremo"</formula>
    </cfRule>
    <cfRule type="cellIs" dxfId="55" priority="213" operator="equal">
      <formula>"Alto"</formula>
    </cfRule>
    <cfRule type="cellIs" dxfId="54" priority="214" operator="equal">
      <formula>"Moderado"</formula>
    </cfRule>
    <cfRule type="cellIs" dxfId="53" priority="215" operator="equal">
      <formula>"Bajo"</formula>
    </cfRule>
  </conditionalFormatting>
  <conditionalFormatting sqref="N28">
    <cfRule type="cellIs" dxfId="52" priority="184" operator="equal">
      <formula>"Extremo"</formula>
    </cfRule>
    <cfRule type="cellIs" dxfId="51" priority="185" operator="equal">
      <formula>"Alto"</formula>
    </cfRule>
    <cfRule type="cellIs" dxfId="50" priority="186" operator="equal">
      <formula>"Moderado"</formula>
    </cfRule>
    <cfRule type="cellIs" dxfId="49" priority="187" operator="equal">
      <formula>"Bajo"</formula>
    </cfRule>
  </conditionalFormatting>
  <conditionalFormatting sqref="N34">
    <cfRule type="cellIs" dxfId="48" priority="156" operator="equal">
      <formula>"Extremo"</formula>
    </cfRule>
    <cfRule type="cellIs" dxfId="47" priority="157" operator="equal">
      <formula>"Alto"</formula>
    </cfRule>
    <cfRule type="cellIs" dxfId="46" priority="158" operator="equal">
      <formula>"Moderado"</formula>
    </cfRule>
    <cfRule type="cellIs" dxfId="45" priority="159" operator="equal">
      <formula>"Bajo"</formula>
    </cfRule>
  </conditionalFormatting>
  <conditionalFormatting sqref="N40">
    <cfRule type="cellIs" dxfId="44" priority="128" operator="equal">
      <formula>"Extremo"</formula>
    </cfRule>
    <cfRule type="cellIs" dxfId="43" priority="129" operator="equal">
      <formula>"Alto"</formula>
    </cfRule>
    <cfRule type="cellIs" dxfId="42" priority="130" operator="equal">
      <formula>"Moderado"</formula>
    </cfRule>
    <cfRule type="cellIs" dxfId="41" priority="131" operator="equal">
      <formula>"Bajo"</formula>
    </cfRule>
  </conditionalFormatting>
  <conditionalFormatting sqref="N46">
    <cfRule type="cellIs" dxfId="40" priority="100" operator="equal">
      <formula>"Extremo"</formula>
    </cfRule>
    <cfRule type="cellIs" dxfId="39" priority="101" operator="equal">
      <formula>"Alto"</formula>
    </cfRule>
    <cfRule type="cellIs" dxfId="38" priority="102" operator="equal">
      <formula>"Moderado"</formula>
    </cfRule>
    <cfRule type="cellIs" dxfId="37" priority="103" operator="equal">
      <formula>"Bajo"</formula>
    </cfRule>
  </conditionalFormatting>
  <conditionalFormatting sqref="N52">
    <cfRule type="cellIs" dxfId="36" priority="72" operator="equal">
      <formula>"Extremo"</formula>
    </cfRule>
    <cfRule type="cellIs" dxfId="35" priority="73" operator="equal">
      <formula>"Alto"</formula>
    </cfRule>
    <cfRule type="cellIs" dxfId="34" priority="74" operator="equal">
      <formula>"Moderado"</formula>
    </cfRule>
    <cfRule type="cellIs" dxfId="33" priority="75" operator="equal">
      <formula>"Bajo"</formula>
    </cfRule>
  </conditionalFormatting>
  <conditionalFormatting sqref="N58">
    <cfRule type="cellIs" dxfId="32" priority="44" operator="equal">
      <formula>"Extremo"</formula>
    </cfRule>
    <cfRule type="cellIs" dxfId="31" priority="45" operator="equal">
      <formula>"Alto"</formula>
    </cfRule>
    <cfRule type="cellIs" dxfId="30" priority="46" operator="equal">
      <formula>"Moderado"</formula>
    </cfRule>
    <cfRule type="cellIs" dxfId="29" priority="47" operator="equal">
      <formula>"Bajo"</formula>
    </cfRule>
  </conditionalFormatting>
  <conditionalFormatting sqref="N64">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Y10:Y69">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A10:AA69">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C10:AC69">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pageMargins left="0.7" right="0.7" top="0.75" bottom="0.75" header="0.3" footer="0.3"/>
  <pageSetup scale="19" fitToHeight="0" orientation="portrait" r:id="rId1"/>
  <rowBreaks count="2" manualBreakCount="2">
    <brk id="27" max="35" man="1"/>
    <brk id="33" max="35" man="1"/>
  </rowBreaks>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'Tabla Valoración controles'!$D$4:$D$6</xm:f>
          </x14:formula1>
          <xm:sqref>R10:R69</xm:sqref>
        </x14:dataValidation>
        <x14:dataValidation type="list" allowBlank="1" showInputMessage="1" showErrorMessage="1" xr:uid="{00000000-0002-0000-0200-000001000000}">
          <x14:formula1>
            <xm:f>'Tabla Valoración controles'!$D$7:$D$8</xm:f>
          </x14:formula1>
          <xm:sqref>S10:S69</xm:sqref>
        </x14:dataValidation>
        <x14:dataValidation type="list" allowBlank="1" showInputMessage="1" showErrorMessage="1" xr:uid="{00000000-0002-0000-0200-000002000000}">
          <x14:formula1>
            <xm:f>'Tabla Valoración controles'!$D$9:$D$10</xm:f>
          </x14:formula1>
          <xm:sqref>U10:U69</xm:sqref>
        </x14:dataValidation>
        <x14:dataValidation type="list" allowBlank="1" showInputMessage="1" showErrorMessage="1" xr:uid="{00000000-0002-0000-0200-000003000000}">
          <x14:formula1>
            <xm:f>'Tabla Valoración controles'!$D$11:$D$12</xm:f>
          </x14:formula1>
          <xm:sqref>V10:V69</xm:sqref>
        </x14:dataValidation>
        <x14:dataValidation type="list" allowBlank="1" showInputMessage="1" showErrorMessage="1" xr:uid="{00000000-0002-0000-02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200-000005000000}">
          <x14:formula1>
            <xm:f>'Tabla Valoración controles'!$D$13:$D$14</xm:f>
          </x14:formula1>
          <xm:sqref>W10:W69</xm:sqref>
        </x14:dataValidation>
        <x14:dataValidation type="list" allowBlank="1" showInputMessage="1" showErrorMessage="1" xr:uid="{00000000-0002-0000-0200-000006000000}">
          <x14:formula1>
            <xm:f>'Opciones Tratamiento'!$B$13:$B$19</xm:f>
          </x14:formula1>
          <xm:sqref>F10:F69</xm:sqref>
        </x14:dataValidation>
        <x14:dataValidation type="list" allowBlank="1" showInputMessage="1" showErrorMessage="1" xr:uid="{00000000-0002-0000-0200-000007000000}">
          <x14:formula1>
            <xm:f>'Opciones Tratamiento'!$E$2:$E$4</xm:f>
          </x14:formula1>
          <xm:sqref>B10:B69</xm:sqref>
        </x14:dataValidation>
        <x14:dataValidation type="list" allowBlank="1" showInputMessage="1" showErrorMessage="1" xr:uid="{00000000-0002-0000-0200-000008000000}">
          <x14:formula1>
            <xm:f>'Opciones Tratamiento'!$B$2:$B$5</xm:f>
          </x14:formula1>
          <xm:sqref>AD10:AD69</xm:sqref>
        </x14:dataValidation>
        <x14:dataValidation type="list" allowBlank="1" showInputMessage="1" showErrorMessage="1" xr:uid="{00000000-0002-0000-02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2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2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2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2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200-00000E000000}">
          <x14:formula1>
            <xm:f>IF(OR(AD10='Opciones Tratamiento'!$B$2,AD10='Opciones Tratamiento'!$B$3,AD10='Opciones Tratamiento'!$B$4),ISBLANK(AD10),ISTEXT(AD10))</xm:f>
          </x14:formula1>
          <xm:sqref>AI10:AI69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43FF98"/>
  </sheetPr>
  <dimension ref="A1:Y15"/>
  <sheetViews>
    <sheetView zoomScale="55" zoomScaleNormal="55" workbookViewId="0">
      <selection activeCell="A3" sqref="A3:A5"/>
    </sheetView>
  </sheetViews>
  <sheetFormatPr baseColWidth="10" defaultColWidth="11.42578125" defaultRowHeight="15" x14ac:dyDescent="0.25"/>
  <cols>
    <col min="1" max="1" width="47.85546875" customWidth="1"/>
    <col min="2" max="2" width="18.5703125" customWidth="1"/>
    <col min="3" max="3" width="17.5703125" customWidth="1"/>
    <col min="4" max="4" width="56.42578125" customWidth="1"/>
    <col min="5" max="5" width="72.140625" customWidth="1"/>
    <col min="6" max="6" width="35.140625" customWidth="1"/>
    <col min="7" max="14" width="25.42578125" customWidth="1"/>
    <col min="15" max="16" width="15" customWidth="1"/>
    <col min="17" max="17" width="17" customWidth="1"/>
    <col min="18" max="18" width="14.140625" customWidth="1"/>
    <col min="19" max="19" width="26.7109375" customWidth="1"/>
    <col min="20" max="21" width="29.85546875" customWidth="1"/>
    <col min="22" max="22" width="72.28515625" customWidth="1"/>
    <col min="23" max="23" width="32.42578125" customWidth="1"/>
    <col min="24" max="24" width="20.140625" customWidth="1"/>
    <col min="25" max="25" width="33.42578125" customWidth="1"/>
  </cols>
  <sheetData>
    <row r="1" spans="1:25" s="159" customFormat="1" ht="28.5" customHeight="1" x14ac:dyDescent="0.25">
      <c r="A1" s="309" t="s">
        <v>154</v>
      </c>
      <c r="B1" s="309"/>
      <c r="C1" s="309"/>
      <c r="D1" s="158" t="s">
        <v>155</v>
      </c>
      <c r="E1" s="310" t="s">
        <v>156</v>
      </c>
      <c r="F1" s="310"/>
      <c r="G1" s="311" t="s">
        <v>157</v>
      </c>
      <c r="H1" s="312"/>
      <c r="I1" s="312"/>
      <c r="J1" s="312"/>
      <c r="K1" s="312"/>
      <c r="L1" s="312"/>
      <c r="M1" s="312"/>
      <c r="N1" s="312"/>
      <c r="O1" s="312"/>
      <c r="P1" s="312"/>
      <c r="Q1" s="312"/>
      <c r="R1" s="312"/>
      <c r="S1" s="313"/>
      <c r="T1" s="309" t="s">
        <v>158</v>
      </c>
      <c r="U1" s="309"/>
      <c r="V1" s="310" t="s">
        <v>159</v>
      </c>
      <c r="W1" s="310"/>
      <c r="X1" s="308" t="s">
        <v>160</v>
      </c>
      <c r="Y1" s="308"/>
    </row>
    <row r="2" spans="1:25" ht="63.75" x14ac:dyDescent="0.25">
      <c r="A2" s="160" t="s">
        <v>161</v>
      </c>
      <c r="B2" s="160" t="s">
        <v>162</v>
      </c>
      <c r="C2" s="160" t="s">
        <v>163</v>
      </c>
      <c r="D2" s="160" t="s">
        <v>164</v>
      </c>
      <c r="E2" s="161" t="s">
        <v>165</v>
      </c>
      <c r="F2" s="161" t="s">
        <v>109</v>
      </c>
      <c r="G2" s="162" t="s">
        <v>166</v>
      </c>
      <c r="H2" s="162" t="s">
        <v>167</v>
      </c>
      <c r="I2" s="162" t="s">
        <v>168</v>
      </c>
      <c r="J2" s="162" t="s">
        <v>169</v>
      </c>
      <c r="K2" s="162" t="s">
        <v>170</v>
      </c>
      <c r="L2" s="162" t="s">
        <v>171</v>
      </c>
      <c r="M2" s="162" t="s">
        <v>172</v>
      </c>
      <c r="N2" s="162" t="s">
        <v>173</v>
      </c>
      <c r="O2" s="162" t="s">
        <v>173</v>
      </c>
      <c r="P2" s="162" t="s">
        <v>174</v>
      </c>
      <c r="Q2" s="162" t="s">
        <v>175</v>
      </c>
      <c r="R2" s="162" t="s">
        <v>176</v>
      </c>
      <c r="S2" s="162" t="s">
        <v>177</v>
      </c>
      <c r="T2" s="160" t="s">
        <v>86</v>
      </c>
      <c r="U2" s="160" t="s">
        <v>101</v>
      </c>
      <c r="V2" s="161" t="s">
        <v>178</v>
      </c>
      <c r="W2" s="161" t="s">
        <v>109</v>
      </c>
      <c r="X2" s="163" t="s">
        <v>179</v>
      </c>
      <c r="Y2" s="163" t="s">
        <v>180</v>
      </c>
    </row>
    <row r="3" spans="1:25" s="171" customFormat="1" ht="103.5" customHeight="1" x14ac:dyDescent="0.25">
      <c r="A3" s="314" t="str">
        <f>'Mapa final'!E10</f>
        <v>Posibilidad de incumplimiento en la presentación de los informes de seguimiento de  Segunda Línea de Defensa de planes, proyectos y otros reportes de la UNP por demoras en el seguimiento y reporte por parte de los procesos.</v>
      </c>
      <c r="B3" s="315" t="str">
        <f>'Mapa final'!N10</f>
        <v>Moderado</v>
      </c>
      <c r="C3" s="315" t="str">
        <f>'Mapa final'!AC12</f>
        <v>Moderado</v>
      </c>
      <c r="D3" s="180" t="str">
        <f>'Mapa final'!P10</f>
        <v>Profesional del Grupo de Planeación Institucional y Gestión de la Información designados, generan alertas trimestrales y quincenales a través de memorando y correo electrónico para el envio de los seguimientos de planes de primera linea de defensa.</v>
      </c>
      <c r="E3" s="180"/>
      <c r="F3" s="182"/>
      <c r="G3" s="165"/>
      <c r="H3" s="165"/>
      <c r="I3" s="165"/>
      <c r="J3" s="165"/>
      <c r="K3" s="165"/>
      <c r="L3" s="164"/>
      <c r="M3" s="165"/>
      <c r="N3" s="165">
        <f>(IF(G3="Asignado",15,0))+(IF(H3="Adecuado",15,0))+(IF(I3="Oportuna",15,0))+(IF(J3="Prevenir",15,IF(J3="Detectar",10,IF(J3="Corregir",5,0))))+(IF(K3="Confiable",15,0))+(IF(L3="Se investigan y resuelven oportunamente",15,0))+(IF(M3="Completa",10,IF(M3="Incompleta",5,0)))</f>
        <v>0</v>
      </c>
      <c r="O3" s="166" t="str">
        <f>IF(AND(N3&gt;=96,N3&lt;=100),"Fuerte", IF(AND(N3&gt;=86,N3&lt;=95),"Moderado","Débil"))</f>
        <v>Débil</v>
      </c>
      <c r="P3" s="166"/>
      <c r="Q3" s="166" t="str">
        <f>IF(AND(O3="Fuerte",P3="Fuerte"),"Fuerte",IF(AND(O3="Fuerte",P3="Moderado"),"Moderado",IF(AND(O3="Fuerte",P3="Débil"),"Débil",IF(AND(O3="Moderado",P3="Fuerte"),"Moderado",IF(AND(O3="Moderado",P3="Moderado"),"Moderado",IF(AND(O3="Moderado",P3="Débil"),"Débil",IF(AND(O3="Débil",P3="Fuerte"),"Débil",IF(AND(O3="Débil",P3="Moderado"),"Débil",IF(AND(O3="Débil",P3="Débil"),"Débil","No Aplica")))))))))</f>
        <v>No Aplica</v>
      </c>
      <c r="R3" s="167" t="str">
        <f>IF(P3="Fuerte","NO","SI")</f>
        <v>SI</v>
      </c>
      <c r="S3" s="168"/>
      <c r="T3" s="164">
        <f>'Mapa final'!AE10</f>
        <v>0</v>
      </c>
      <c r="U3" s="169">
        <f>'Mapa final'!AG10</f>
        <v>0</v>
      </c>
      <c r="V3" s="164"/>
      <c r="W3" s="182"/>
      <c r="X3" s="170"/>
      <c r="Y3" s="170"/>
    </row>
    <row r="4" spans="1:25" ht="96.75" customHeight="1" x14ac:dyDescent="0.25">
      <c r="A4" s="314"/>
      <c r="B4" s="315"/>
      <c r="C4" s="315"/>
      <c r="D4" s="181" t="str">
        <f>'Mapa final'!P11</f>
        <v>El coordinador del Grupo de Planeación Institucional y Gestión de la Información revisa los informes de seguimientos a los planes de manera trimestral de segunda linea de defensa para aprobación del Jefe de la OAPI.</v>
      </c>
      <c r="E4" s="180"/>
      <c r="F4" s="183"/>
      <c r="G4" s="165"/>
      <c r="H4" s="165"/>
      <c r="I4" s="165"/>
      <c r="J4" s="165"/>
      <c r="K4" s="165"/>
      <c r="L4" s="164"/>
      <c r="M4" s="165"/>
      <c r="N4" s="165">
        <f t="shared" ref="N4:N15" si="0">(IF(G4="Asignado",15,0))+(IF(H4="Adecuado",15,0))+(IF(I4="Oportuna",15,0))+(IF(J4="Prevenir",15,IF(J4="Detectar",10,IF(J4="Corregir",5,0))))+(IF(K4="Confiable",15,0))+(IF(L4="Se investigan y resuelven oportunamente",15,0))+(IF(M4="Completa",10,IF(M4="Incompleta",5,0)))</f>
        <v>0</v>
      </c>
      <c r="O4" s="166" t="str">
        <f t="shared" ref="O4:O15" si="1">IF(AND(N4&gt;=96,N4&lt;=100),"Fuerte", IF(AND(N4&gt;=86,N4&lt;=95),"Moderado","Débil"))</f>
        <v>Débil</v>
      </c>
      <c r="P4" s="166"/>
      <c r="Q4" s="166" t="str">
        <f t="shared" ref="Q4:Q15" si="2">IF(AND(O4="Fuerte",P4="Fuerte"),"Fuerte",IF(AND(O4="Fuerte",P4="Moderado"),"Moderado",IF(AND(O4="Fuerte",P4="Débil"),"Débil",IF(AND(O4="Moderado",P4="Fuerte"),"Moderado",IF(AND(O4="Moderado",P4="Moderado"),"Moderado",IF(AND(O4="Moderado",P4="Débil"),"Débil",IF(AND(O4="Débil",P4="Fuerte"),"Débil",IF(AND(O4="Débil",P4="Moderado"),"Débil",IF(AND(O4="Débil",P4="Débil"),"Débil","No Aplica")))))))))</f>
        <v>No Aplica</v>
      </c>
      <c r="R4" s="167" t="str">
        <f t="shared" ref="R4:R15" si="3">IF(P4="Fuerte","NO","SI")</f>
        <v>SI</v>
      </c>
      <c r="S4" s="172"/>
      <c r="T4" s="164">
        <f>'Mapa final'!AE11</f>
        <v>0</v>
      </c>
      <c r="U4" s="169">
        <f>'Mapa final'!AG11</f>
        <v>0</v>
      </c>
      <c r="V4" s="172"/>
      <c r="W4" s="172"/>
      <c r="X4" s="172"/>
      <c r="Y4" s="172"/>
    </row>
    <row r="5" spans="1:25" ht="172.5" customHeight="1" x14ac:dyDescent="0.25">
      <c r="A5" s="314"/>
      <c r="B5" s="315"/>
      <c r="C5" s="315"/>
      <c r="D5" s="180" t="str">
        <f>'Mapa final'!P12</f>
        <v>Jefe Oficina Asesora de Planeación e Información comunica en el Comité Institucional de Gestión y Desempeño, a los responsables de procesos (Línea Estratégica y/o Primera Línea de Defensa), el compromiso con respecto a la revisión, validación y aprobación oportuna de los indicadores de gestión en la herramienta tecnológica designada, el reporte de  los informes de gestión (cerca a la frecuencia del reporte), los seguimientos de los planes, programas, proyectos  de la entidad y reporte de indicadores en plataformas externas.</v>
      </c>
      <c r="E5" s="180"/>
      <c r="F5" s="182"/>
      <c r="G5" s="165"/>
      <c r="H5" s="165"/>
      <c r="I5" s="165"/>
      <c r="J5" s="165"/>
      <c r="K5" s="165"/>
      <c r="L5" s="164"/>
      <c r="M5" s="165"/>
      <c r="N5" s="165">
        <f t="shared" si="0"/>
        <v>0</v>
      </c>
      <c r="O5" s="166" t="str">
        <f t="shared" si="1"/>
        <v>Débil</v>
      </c>
      <c r="P5" s="166"/>
      <c r="Q5" s="166" t="str">
        <f t="shared" si="2"/>
        <v>No Aplica</v>
      </c>
      <c r="R5" s="167" t="str">
        <f t="shared" si="3"/>
        <v>SI</v>
      </c>
      <c r="S5" s="172"/>
      <c r="T5" s="164">
        <f>'Mapa final'!AE12</f>
        <v>0</v>
      </c>
      <c r="U5" s="169">
        <f>'Mapa final'!AG12</f>
        <v>0</v>
      </c>
      <c r="V5" s="172"/>
      <c r="W5" s="172"/>
      <c r="X5" s="172"/>
      <c r="Y5" s="172"/>
    </row>
    <row r="6" spans="1:25" ht="73.5" customHeight="1" x14ac:dyDescent="0.25">
      <c r="A6" s="314" t="str">
        <f>'Mapa final'!E16</f>
        <v>Posibilidad de incumplimiento que el anteproyecto de presupuesto no incluya las necesidades presupuestales reales por falta de información de los procesos, lo que ocasionaría un desequilibrio presupuestal en la entidad.</v>
      </c>
      <c r="B6" s="315" t="str">
        <f>'Mapa final'!N16</f>
        <v>Moderado</v>
      </c>
      <c r="C6" s="315" t="str">
        <f>'Mapa final'!AC17</f>
        <v>Moderado</v>
      </c>
      <c r="D6" s="180" t="str">
        <f>'Mapa final'!P16</f>
        <v>El servidor público y/o contratista genera anualmente comunicación interna dirigida a los procesos solicitando las necesidades presupuestales para la siguiente vigencia.</v>
      </c>
      <c r="E6" s="180"/>
      <c r="F6" s="182"/>
      <c r="G6" s="165"/>
      <c r="H6" s="165"/>
      <c r="I6" s="165"/>
      <c r="J6" s="165"/>
      <c r="K6" s="165"/>
      <c r="L6" s="164"/>
      <c r="M6" s="165"/>
      <c r="N6" s="165">
        <f t="shared" si="0"/>
        <v>0</v>
      </c>
      <c r="O6" s="166" t="str">
        <f t="shared" si="1"/>
        <v>Débil</v>
      </c>
      <c r="P6" s="166"/>
      <c r="Q6" s="166" t="str">
        <f t="shared" si="2"/>
        <v>No Aplica</v>
      </c>
      <c r="R6" s="167" t="str">
        <f t="shared" si="3"/>
        <v>SI</v>
      </c>
      <c r="S6" s="172"/>
      <c r="T6" s="164">
        <f>'Mapa final'!AE16</f>
        <v>0</v>
      </c>
      <c r="U6" s="169">
        <f>'Mapa final'!AG16</f>
        <v>0</v>
      </c>
      <c r="V6" s="164"/>
      <c r="W6" s="172"/>
      <c r="X6" s="172"/>
      <c r="Y6" s="172"/>
    </row>
    <row r="7" spans="1:25" ht="95.25" customHeight="1" x14ac:dyDescent="0.25">
      <c r="A7" s="314"/>
      <c r="B7" s="315"/>
      <c r="C7" s="315"/>
      <c r="D7" s="180" t="str">
        <f>'Mapa final'!P17</f>
        <v>El servidor público y/o contratista asignado, valida anualmente en mesas de trabajo con los procesos el ejercicio presupuestal remitido a la OAPI, con el fin de verificar e incluir en el anteproyecto de presupuesto las necesidades de cada área.</v>
      </c>
      <c r="E7" s="180"/>
      <c r="F7" s="182"/>
      <c r="G7" s="165"/>
      <c r="H7" s="165"/>
      <c r="I7" s="165"/>
      <c r="J7" s="165"/>
      <c r="K7" s="165"/>
      <c r="L7" s="164"/>
      <c r="M7" s="165"/>
      <c r="N7" s="165">
        <f t="shared" si="0"/>
        <v>0</v>
      </c>
      <c r="O7" s="166" t="str">
        <f t="shared" si="1"/>
        <v>Débil</v>
      </c>
      <c r="P7" s="166"/>
      <c r="Q7" s="166" t="str">
        <f t="shared" si="2"/>
        <v>No Aplica</v>
      </c>
      <c r="R7" s="167" t="str">
        <f t="shared" si="3"/>
        <v>SI</v>
      </c>
      <c r="S7" s="172"/>
      <c r="T7" s="164">
        <f>'Mapa final'!AE17</f>
        <v>0</v>
      </c>
      <c r="U7" s="169">
        <f>'Mapa final'!AG17</f>
        <v>0</v>
      </c>
      <c r="V7" s="172"/>
      <c r="W7" s="172"/>
      <c r="X7" s="172"/>
      <c r="Y7" s="172"/>
    </row>
    <row r="8" spans="1:25" ht="99" customHeight="1" x14ac:dyDescent="0.25">
      <c r="A8" s="314"/>
      <c r="B8" s="315"/>
      <c r="C8" s="315"/>
      <c r="D8" s="180" t="str">
        <f>'Mapa final'!P18</f>
        <v>El jefe de la Oficina Asesora de Planeacion presenta anualmente ante el Comité Institucional de Gestión y Desempeño, el anteproyecto de presupuesto para la aprobación y visto bueno por parte de los lideres de proceso.</v>
      </c>
      <c r="E8" s="180"/>
      <c r="F8" s="182"/>
      <c r="G8" s="165"/>
      <c r="H8" s="165"/>
      <c r="I8" s="165"/>
      <c r="J8" s="165"/>
      <c r="K8" s="165"/>
      <c r="L8" s="164"/>
      <c r="M8" s="165"/>
      <c r="N8" s="165">
        <f t="shared" si="0"/>
        <v>0</v>
      </c>
      <c r="O8" s="166" t="str">
        <f t="shared" si="1"/>
        <v>Débil</v>
      </c>
      <c r="P8" s="166"/>
      <c r="Q8" s="166" t="str">
        <f t="shared" si="2"/>
        <v>No Aplica</v>
      </c>
      <c r="R8" s="167" t="str">
        <f t="shared" si="3"/>
        <v>SI</v>
      </c>
      <c r="S8" s="172"/>
      <c r="T8" s="164">
        <f>'Mapa final'!AE18</f>
        <v>0</v>
      </c>
      <c r="U8" s="169">
        <f>'Mapa final'!AG18</f>
        <v>0</v>
      </c>
      <c r="V8" s="172"/>
      <c r="W8" s="172"/>
      <c r="X8" s="172"/>
      <c r="Y8" s="172"/>
    </row>
    <row r="9" spans="1:25" ht="46.5" customHeight="1" x14ac:dyDescent="0.25">
      <c r="A9" s="302" t="str">
        <f>'Mapa final'!E22</f>
        <v>Posibilidad de ser sancionados por la contraloria y el DNP por el incumplimiento de los objetivos propuestos paara la poblacion objeto de cada proyecto debido a la falta seguimiento y reporte de los proyectos de inversión de la entidad.</v>
      </c>
      <c r="B9" s="292" t="str">
        <f>'Mapa final'!N22</f>
        <v>Alto</v>
      </c>
      <c r="C9" s="292" t="str">
        <f>'Mapa final'!AC23</f>
        <v>Moderado</v>
      </c>
      <c r="D9" s="302" t="str">
        <f>'Mapa final'!P22</f>
        <v xml:space="preserve">Profesional del Grupo de Planeación Institucional y Gestión de la Información designado, revisa los proyectos de manera mensual en la plataforma del DNP  que presentan incumplimiento y genera alertas. </v>
      </c>
      <c r="E9" s="302"/>
      <c r="F9" s="306"/>
      <c r="G9" s="298"/>
      <c r="H9" s="298"/>
      <c r="I9" s="298"/>
      <c r="J9" s="298"/>
      <c r="K9" s="298"/>
      <c r="L9" s="292"/>
      <c r="M9" s="298"/>
      <c r="N9" s="298">
        <f>(IF(G9="Asignado",15,0))+(IF(H9="Adecuado",15,0))+(IF(I9="Oportuna",15,0))+(IF(J9="Prevenir",15,IF(J9="Detectar",10,IF(J9="Corregir",5,0))))+(IF(K9="Confiable",15,0))+(IF(L9="Se investigan y resuelven oportunamente",15,0))+(IF(M9="Completa",10,IF(M9="Incompleta",5,0)))</f>
        <v>0</v>
      </c>
      <c r="O9" s="300" t="str">
        <f>IF(AND(N9&gt;=96,N9&lt;=100),"Fuerte", IF(AND(N9&gt;=86,N9&lt;=95),"Moderado","Débil"))</f>
        <v>Débil</v>
      </c>
      <c r="P9" s="300"/>
      <c r="Q9" s="300" t="str">
        <f>IF(AND(O9="Fuerte",P9="Fuerte"),"Fuerte",IF(AND(O9="Fuerte",P9="Moderado"),"Moderado",IF(AND(O9="Fuerte",P9="Débil"),"Débil",IF(AND(O9="Moderado",P9="Fuerte"),"Moderado",IF(AND(O9="Moderado",P9="Moderado"),"Moderado",IF(AND(O9="Moderado",P9="Débil"),"Débil",IF(AND(O9="Débil",P9="Fuerte"),"Débil",IF(AND(O9="Débil",P9="Moderado"),"Débil",IF(AND(O9="Débil",P9="Débil"),"Débil","No Aplica")))))))))</f>
        <v>No Aplica</v>
      </c>
      <c r="R9" s="296" t="str">
        <f>IF(P9="Fuerte","NO","SI")</f>
        <v>SI</v>
      </c>
      <c r="S9" s="290"/>
      <c r="T9" s="292">
        <f>'Mapa final'!AE22</f>
        <v>0</v>
      </c>
      <c r="U9" s="294">
        <f>'Mapa final'!AG22</f>
        <v>0</v>
      </c>
      <c r="V9" s="290"/>
      <c r="W9" s="290"/>
      <c r="X9" s="290"/>
      <c r="Y9" s="290"/>
    </row>
    <row r="10" spans="1:25" ht="46.5" customHeight="1" x14ac:dyDescent="0.25">
      <c r="A10" s="303"/>
      <c r="B10" s="304"/>
      <c r="C10" s="304"/>
      <c r="D10" s="305"/>
      <c r="E10" s="305"/>
      <c r="F10" s="307"/>
      <c r="G10" s="299"/>
      <c r="H10" s="299"/>
      <c r="I10" s="299"/>
      <c r="J10" s="299"/>
      <c r="K10" s="299"/>
      <c r="L10" s="293"/>
      <c r="M10" s="299"/>
      <c r="N10" s="299"/>
      <c r="O10" s="301"/>
      <c r="P10" s="301"/>
      <c r="Q10" s="301"/>
      <c r="R10" s="297"/>
      <c r="S10" s="291"/>
      <c r="T10" s="293"/>
      <c r="U10" s="295"/>
      <c r="V10" s="291"/>
      <c r="W10" s="291"/>
      <c r="X10" s="291"/>
      <c r="Y10" s="291"/>
    </row>
    <row r="11" spans="1:25" ht="109.5" customHeight="1" x14ac:dyDescent="0.25">
      <c r="A11" s="303"/>
      <c r="B11" s="304"/>
      <c r="C11" s="304"/>
      <c r="D11" s="180" t="str">
        <f>'Mapa final'!P23</f>
        <v>Profesional del Grupo de Planeación Institucional y Gestión de la Información designado, genera las alertas a través de memorando y/o correo electrónico cada vez que se presenten incumplimientos a los lideres de procesos, en el avance de la meta establecida en cada uno de los proyectos.</v>
      </c>
      <c r="E11" s="184"/>
      <c r="F11" s="182"/>
      <c r="G11" s="173"/>
      <c r="H11" s="165"/>
      <c r="I11" s="165"/>
      <c r="J11" s="165"/>
      <c r="K11" s="165"/>
      <c r="L11" s="164"/>
      <c r="M11" s="165"/>
      <c r="N11" s="165">
        <f t="shared" si="0"/>
        <v>0</v>
      </c>
      <c r="O11" s="166" t="str">
        <f t="shared" si="1"/>
        <v>Débil</v>
      </c>
      <c r="P11" s="166"/>
      <c r="Q11" s="166" t="str">
        <f t="shared" si="2"/>
        <v>No Aplica</v>
      </c>
      <c r="R11" s="167" t="str">
        <f t="shared" si="3"/>
        <v>SI</v>
      </c>
      <c r="S11" s="172"/>
      <c r="T11" s="164">
        <f>'Mapa final'!AE23</f>
        <v>0</v>
      </c>
      <c r="U11" s="169">
        <f>'Mapa final'!AG23</f>
        <v>0</v>
      </c>
      <c r="V11" s="172"/>
      <c r="W11" s="172"/>
      <c r="X11" s="172"/>
      <c r="Y11" s="172"/>
    </row>
    <row r="12" spans="1:25" ht="83.25" customHeight="1" x14ac:dyDescent="0.25">
      <c r="A12" s="303"/>
      <c r="B12" s="304"/>
      <c r="C12" s="304"/>
      <c r="D12" s="180" t="str">
        <f>'Mapa final'!P24</f>
        <v>Profesional del Grupo de Planeación Institucional y Gestión de la Información designado,solicita de manera mensual mediante correo electrónico el informe resumen ejecutivo del proyecto de inversión.</v>
      </c>
      <c r="E12" s="180"/>
      <c r="F12" s="186"/>
      <c r="G12" s="165"/>
      <c r="H12" s="165"/>
      <c r="I12" s="165"/>
      <c r="J12" s="165"/>
      <c r="K12" s="165"/>
      <c r="L12" s="164"/>
      <c r="M12" s="165"/>
      <c r="N12" s="165">
        <f t="shared" si="0"/>
        <v>0</v>
      </c>
      <c r="O12" s="166" t="str">
        <f t="shared" si="1"/>
        <v>Débil</v>
      </c>
      <c r="P12" s="166"/>
      <c r="Q12" s="166" t="str">
        <f t="shared" si="2"/>
        <v>No Aplica</v>
      </c>
      <c r="R12" s="167" t="str">
        <f t="shared" si="3"/>
        <v>SI</v>
      </c>
      <c r="S12" s="172"/>
      <c r="T12" s="164">
        <f>'Mapa final'!AE24</f>
        <v>0</v>
      </c>
      <c r="U12" s="169">
        <f>'Mapa final'!AG24</f>
        <v>0</v>
      </c>
      <c r="V12" s="172"/>
      <c r="W12" s="172"/>
      <c r="X12" s="172"/>
      <c r="Y12" s="172"/>
    </row>
    <row r="13" spans="1:25" ht="85.5" customHeight="1" x14ac:dyDescent="0.25">
      <c r="A13" s="303"/>
      <c r="B13" s="304"/>
      <c r="C13" s="304"/>
      <c r="D13" s="180" t="str">
        <f>'Mapa final'!P25</f>
        <v>Profesional del Grupo de Planeación Institucional y Gestión de la Información designado, reporta en la plataforma del DNP el avance del mes y la corrección de las alertas remitido por los lideres proceso.</v>
      </c>
      <c r="E13" s="180"/>
      <c r="F13" s="182"/>
      <c r="G13" s="165"/>
      <c r="H13" s="165"/>
      <c r="I13" s="165"/>
      <c r="J13" s="165"/>
      <c r="K13" s="165"/>
      <c r="L13" s="164"/>
      <c r="M13" s="165"/>
      <c r="N13" s="165">
        <f t="shared" si="0"/>
        <v>0</v>
      </c>
      <c r="O13" s="166" t="str">
        <f t="shared" si="1"/>
        <v>Débil</v>
      </c>
      <c r="P13" s="166"/>
      <c r="Q13" s="166" t="str">
        <f t="shared" si="2"/>
        <v>No Aplica</v>
      </c>
      <c r="R13" s="167" t="str">
        <f t="shared" si="3"/>
        <v>SI</v>
      </c>
      <c r="S13" s="172"/>
      <c r="T13" s="164">
        <f>'Mapa final'!AE25</f>
        <v>0</v>
      </c>
      <c r="U13" s="169">
        <f>'Mapa final'!AG25</f>
        <v>0</v>
      </c>
      <c r="V13" s="172"/>
      <c r="W13" s="172"/>
      <c r="X13" s="172"/>
      <c r="Y13" s="172"/>
    </row>
    <row r="14" spans="1:25" ht="213.75" customHeight="1" x14ac:dyDescent="0.25">
      <c r="A14" s="187" t="str">
        <f>'Mapa final'!E28</f>
        <v>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v>
      </c>
      <c r="B14" s="188" t="str">
        <f>'Mapa final'!N28</f>
        <v>Extremo</v>
      </c>
      <c r="C14" s="188" t="str">
        <f>'Mapa final'!AC28</f>
        <v>Extremo</v>
      </c>
      <c r="D14" s="180" t="str">
        <f>'Mapa final'!P28</f>
        <v>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v>
      </c>
      <c r="E14" s="180"/>
      <c r="F14" s="183"/>
      <c r="G14" s="165"/>
      <c r="H14" s="165"/>
      <c r="I14" s="165"/>
      <c r="J14" s="165"/>
      <c r="K14" s="165"/>
      <c r="L14" s="164"/>
      <c r="M14" s="165"/>
      <c r="N14" s="165">
        <f t="shared" si="0"/>
        <v>0</v>
      </c>
      <c r="O14" s="166" t="str">
        <f t="shared" si="1"/>
        <v>Débil</v>
      </c>
      <c r="P14" s="166"/>
      <c r="Q14" s="166" t="str">
        <f t="shared" si="2"/>
        <v>No Aplica</v>
      </c>
      <c r="R14" s="167" t="str">
        <f t="shared" si="3"/>
        <v>SI</v>
      </c>
      <c r="S14" s="172"/>
      <c r="T14" s="188" t="str">
        <f>'Mapa final'!AE28</f>
        <v>Elaborar un documento que describa los lineamientos, responsabilidades y actividades frente a la desagregación del presupuesto de la entidad</v>
      </c>
      <c r="U14" s="169" t="str">
        <f>'Mapa final'!AG28</f>
        <v>01/09/2023
31/12/2023</v>
      </c>
      <c r="V14" s="185"/>
      <c r="W14" s="172"/>
      <c r="X14" s="172"/>
      <c r="Y14" s="172"/>
    </row>
    <row r="15" spans="1:25" ht="170.25" customHeight="1" x14ac:dyDescent="0.25">
      <c r="A15" s="180" t="str">
        <f>'Mapa final'!E34</f>
        <v>Posibilidad de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v>
      </c>
      <c r="B15" s="164" t="str">
        <f>'Mapa final'!N34</f>
        <v>Extremo</v>
      </c>
      <c r="C15" s="164" t="str">
        <f>'Mapa final'!AC34</f>
        <v>Extremo</v>
      </c>
      <c r="D15" s="180" t="str">
        <f>'Mapa final'!P34</f>
        <v>El enlace MIPG-SIG de la Dirección General realiza seguimiento bimensual al cumplimiento de las actividades definidas para el ejercicio rendición de cuentas en el Plan Anticorrupción y Atención al Ciudadano.</v>
      </c>
      <c r="E15" s="180"/>
      <c r="F15" s="182"/>
      <c r="G15" s="165"/>
      <c r="H15" s="165"/>
      <c r="I15" s="165"/>
      <c r="J15" s="165"/>
      <c r="K15" s="165"/>
      <c r="L15" s="164"/>
      <c r="M15" s="165"/>
      <c r="N15" s="165">
        <f t="shared" si="0"/>
        <v>0</v>
      </c>
      <c r="O15" s="166" t="str">
        <f t="shared" si="1"/>
        <v>Débil</v>
      </c>
      <c r="P15" s="166"/>
      <c r="Q15" s="166" t="str">
        <f t="shared" si="2"/>
        <v>No Aplica</v>
      </c>
      <c r="R15" s="167" t="str">
        <f t="shared" si="3"/>
        <v>SI</v>
      </c>
      <c r="S15" s="172"/>
      <c r="T15" s="164" t="str">
        <f>'Mapa final'!AE34</f>
        <v>Programar reuniones bimensuales para el seguimiento de las acciones definidas para el componente de rendición de cuentas del Plan Anticorrupción y Atención al Ciudadano.</v>
      </c>
      <c r="U15" s="169" t="str">
        <f>'Mapa final'!AG34</f>
        <v>20/02/2023
20/04/2023
30/06/2023</v>
      </c>
      <c r="V15" s="180"/>
      <c r="W15" s="180"/>
      <c r="X15" s="172"/>
      <c r="Y15" s="172"/>
    </row>
  </sheetData>
  <autoFilter ref="A2:Y15" xr:uid="{00000000-0009-0000-0000-000004000000}"/>
  <mergeCells count="37">
    <mergeCell ref="A3:A5"/>
    <mergeCell ref="B3:B5"/>
    <mergeCell ref="C3:C5"/>
    <mergeCell ref="A6:A8"/>
    <mergeCell ref="B6:B8"/>
    <mergeCell ref="C6:C8"/>
    <mergeCell ref="X1:Y1"/>
    <mergeCell ref="A1:C1"/>
    <mergeCell ref="E1:F1"/>
    <mergeCell ref="G1:S1"/>
    <mergeCell ref="T1:U1"/>
    <mergeCell ref="V1:W1"/>
    <mergeCell ref="H9:H10"/>
    <mergeCell ref="A9:A13"/>
    <mergeCell ref="B9:B13"/>
    <mergeCell ref="C9:C13"/>
    <mergeCell ref="D9:D10"/>
    <mergeCell ref="E9:E10"/>
    <mergeCell ref="F9:F10"/>
    <mergeCell ref="G9:G10"/>
    <mergeCell ref="R9:R10"/>
    <mergeCell ref="I9:I10"/>
    <mergeCell ref="J9:J10"/>
    <mergeCell ref="K9:K10"/>
    <mergeCell ref="L9:L10"/>
    <mergeCell ref="N9:N10"/>
    <mergeCell ref="O9:O10"/>
    <mergeCell ref="P9:P10"/>
    <mergeCell ref="Q9:Q10"/>
    <mergeCell ref="M9:M10"/>
    <mergeCell ref="X9:X10"/>
    <mergeCell ref="Y9:Y10"/>
    <mergeCell ref="S9:S10"/>
    <mergeCell ref="T9:T10"/>
    <mergeCell ref="U9:U10"/>
    <mergeCell ref="V9:V10"/>
    <mergeCell ref="W9:W10"/>
  </mergeCells>
  <conditionalFormatting sqref="B3:C9 B14:C15">
    <cfRule type="containsText" dxfId="10" priority="77" operator="containsText" text="Bajo">
      <formula>NOT(ISERROR(SEARCH("Bajo",B3)))</formula>
    </cfRule>
    <cfRule type="containsText" dxfId="9" priority="78" operator="containsText" text="Moderado">
      <formula>NOT(ISERROR(SEARCH("Moderado",B3)))</formula>
    </cfRule>
    <cfRule type="containsText" dxfId="8" priority="79" operator="containsText" text="Alto">
      <formula>NOT(ISERROR(SEARCH("Alto",B3)))</formula>
    </cfRule>
    <cfRule type="containsText" dxfId="7" priority="80" operator="containsText" text="Extremo">
      <formula>NOT(ISERROR(SEARCH("Extremo",B3)))</formula>
    </cfRule>
  </conditionalFormatting>
  <dataValidations count="8">
    <dataValidation type="list" allowBlank="1" showInputMessage="1" showErrorMessage="1" sqref="M3:M9 M11:M15" xr:uid="{00000000-0002-0000-0400-000000000000}">
      <formula1>"Completa, Incompleta, No existe"</formula1>
    </dataValidation>
    <dataValidation type="list" allowBlank="1" showInputMessage="1" showErrorMessage="1" sqref="L3:L9 L11:L15" xr:uid="{00000000-0002-0000-0400-000001000000}">
      <formula1>"Se investigan y resuelven oportunamente, No se investigan y resuelven oportunamente"</formula1>
    </dataValidation>
    <dataValidation type="list" allowBlank="1" showInputMessage="1" showErrorMessage="1" sqref="K3:K9 K11:K15" xr:uid="{00000000-0002-0000-0400-000002000000}">
      <formula1>"Confiable, No Confiable"</formula1>
    </dataValidation>
    <dataValidation type="list" allowBlank="1" showInputMessage="1" showErrorMessage="1" sqref="J3:J9 J11:J15" xr:uid="{00000000-0002-0000-0400-000003000000}">
      <formula1>"Prevenir, Detectar, Corregir, No es un control"</formula1>
    </dataValidation>
    <dataValidation type="list" allowBlank="1" showInputMessage="1" showErrorMessage="1" sqref="I3:I9 I11:I15" xr:uid="{00000000-0002-0000-0400-000004000000}">
      <formula1>"Oportuna, Inoportuna"</formula1>
    </dataValidation>
    <dataValidation type="list" allowBlank="1" showInputMessage="1" showErrorMessage="1" sqref="H3:H9 H11:H15" xr:uid="{00000000-0002-0000-0400-000005000000}">
      <formula1>"Adecuado, Inadecuado"</formula1>
    </dataValidation>
    <dataValidation type="list" allowBlank="1" showInputMessage="1" showErrorMessage="1" sqref="G3:G9 G11:G15" xr:uid="{00000000-0002-0000-0400-000006000000}">
      <formula1>"Asignado,No Asignado"</formula1>
    </dataValidation>
    <dataValidation type="list" showInputMessage="1" showErrorMessage="1" sqref="P3:P9 P11:P15" xr:uid="{00000000-0002-0000-0400-000007000000}">
      <formula1>"Fuerte, Moderado, Débil"</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F30" sqref="AF30:AG31"/>
    </sheetView>
  </sheetViews>
  <sheetFormatPr baseColWidth="10" defaultColWidth="11.42578125" defaultRowHeight="15" x14ac:dyDescent="0.25"/>
  <cols>
    <col min="2" max="39" width="5.7109375" customWidth="1"/>
    <col min="41" max="46" width="5.7109375" customWidth="1"/>
  </cols>
  <sheetData>
    <row r="1" spans="1:99" x14ac:dyDescent="0.25">
      <c r="A1" s="97"/>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row>
    <row r="2" spans="1:99" ht="18" customHeight="1" x14ac:dyDescent="0.25">
      <c r="A2" s="97"/>
      <c r="B2" s="316" t="s">
        <v>181</v>
      </c>
      <c r="C2" s="316"/>
      <c r="D2" s="316"/>
      <c r="E2" s="316"/>
      <c r="F2" s="316"/>
      <c r="G2" s="316"/>
      <c r="H2" s="316"/>
      <c r="I2" s="316"/>
      <c r="J2" s="353" t="s">
        <v>15</v>
      </c>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row>
    <row r="3" spans="1:99" ht="18.75" customHeight="1" x14ac:dyDescent="0.25">
      <c r="A3" s="97"/>
      <c r="B3" s="316"/>
      <c r="C3" s="316"/>
      <c r="D3" s="316"/>
      <c r="E3" s="316"/>
      <c r="F3" s="316"/>
      <c r="G3" s="316"/>
      <c r="H3" s="316"/>
      <c r="I3" s="316"/>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row>
    <row r="4" spans="1:99" ht="15" customHeight="1" x14ac:dyDescent="0.25">
      <c r="A4" s="97"/>
      <c r="B4" s="316"/>
      <c r="C4" s="316"/>
      <c r="D4" s="316"/>
      <c r="E4" s="316"/>
      <c r="F4" s="316"/>
      <c r="G4" s="316"/>
      <c r="H4" s="316"/>
      <c r="I4" s="316"/>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row>
    <row r="5" spans="1:99" ht="15.75" thickBot="1" x14ac:dyDescent="0.3">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c r="CI5" s="97"/>
      <c r="CJ5" s="97"/>
      <c r="CK5" s="97"/>
      <c r="CL5" s="97"/>
      <c r="CM5" s="97"/>
      <c r="CN5" s="97"/>
      <c r="CO5" s="97"/>
      <c r="CP5" s="97"/>
      <c r="CQ5" s="97"/>
      <c r="CR5" s="97"/>
      <c r="CS5" s="97"/>
      <c r="CT5" s="97"/>
      <c r="CU5" s="97"/>
    </row>
    <row r="6" spans="1:99" ht="15" customHeight="1" x14ac:dyDescent="0.25">
      <c r="A6" s="97"/>
      <c r="B6" s="364" t="s">
        <v>182</v>
      </c>
      <c r="C6" s="364"/>
      <c r="D6" s="365"/>
      <c r="E6" s="354" t="s">
        <v>183</v>
      </c>
      <c r="F6" s="355"/>
      <c r="G6" s="355"/>
      <c r="H6" s="355"/>
      <c r="I6" s="356"/>
      <c r="J6" s="350" t="str">
        <f>IF(AND('Mapa final'!$H$10="Muy Alta",'Mapa final'!$L$10="Leve"),CONCATENATE("R",'Mapa final'!$A$10),"")</f>
        <v/>
      </c>
      <c r="K6" s="351"/>
      <c r="L6" s="351" t="str">
        <f>IF(AND('Mapa final'!$H$16="Muy Alta",'Mapa final'!$L$16="Leve"),CONCATENATE("R",'Mapa final'!$A$16),"")</f>
        <v/>
      </c>
      <c r="M6" s="351"/>
      <c r="N6" s="351" t="str">
        <f>IF(AND('Mapa final'!$H$22="Muy Alta",'Mapa final'!$L$22="Leve"),CONCATENATE("R",'Mapa final'!$A$22),"")</f>
        <v/>
      </c>
      <c r="O6" s="352"/>
      <c r="P6" s="350" t="str">
        <f>IF(AND('Mapa final'!$H$10="Muy Alta",'Mapa final'!$L$10="Menor"),CONCATENATE("R",'Mapa final'!$A$10),"")</f>
        <v/>
      </c>
      <c r="Q6" s="351"/>
      <c r="R6" s="351" t="str">
        <f>IF(AND('Mapa final'!$H$16="Muy Alta",'Mapa final'!$L$16="Menor"),CONCATENATE("R",'Mapa final'!$A$16),"")</f>
        <v/>
      </c>
      <c r="S6" s="351"/>
      <c r="T6" s="351" t="str">
        <f>IF(AND('Mapa final'!$H$22="Muy Alta",'Mapa final'!$L$22="Menor"),CONCATENATE("R",'Mapa final'!$A$22),"")</f>
        <v/>
      </c>
      <c r="U6" s="352"/>
      <c r="V6" s="350" t="str">
        <f>IF(AND('Mapa final'!$H$10="Muy Alta",'Mapa final'!$L$10="Moderado"),CONCATENATE("R",'Mapa final'!$A$10),"")</f>
        <v/>
      </c>
      <c r="W6" s="351"/>
      <c r="X6" s="351" t="str">
        <f>IF(AND('Mapa final'!$H$16="Muy Alta",'Mapa final'!$L$16="Moderado"),CONCATENATE("R",'Mapa final'!$A$16),"")</f>
        <v/>
      </c>
      <c r="Y6" s="351"/>
      <c r="Z6" s="351" t="str">
        <f>IF(AND('Mapa final'!$H$22="Muy Alta",'Mapa final'!$L$22="Moderado"),CONCATENATE("R",'Mapa final'!$A$22),"")</f>
        <v/>
      </c>
      <c r="AA6" s="352"/>
      <c r="AB6" s="350" t="str">
        <f>IF(AND('Mapa final'!$H$10="Muy Alta",'Mapa final'!$L$10="Mayor"),CONCATENATE("R",'Mapa final'!$A$10),"")</f>
        <v/>
      </c>
      <c r="AC6" s="351"/>
      <c r="AD6" s="351" t="str">
        <f>IF(AND('Mapa final'!$H$16="Muy Alta",'Mapa final'!$L$16="Mayor"),CONCATENATE("R",'Mapa final'!$A$16),"")</f>
        <v/>
      </c>
      <c r="AE6" s="351"/>
      <c r="AF6" s="351" t="str">
        <f>IF(AND('Mapa final'!$H$22="Muy Alta",'Mapa final'!$L$22="Mayor"),CONCATENATE("R",'Mapa final'!$A$22),"")</f>
        <v/>
      </c>
      <c r="AG6" s="352"/>
      <c r="AH6" s="341" t="str">
        <f>IF(AND('Mapa final'!$H$10="Muy Alta",'Mapa final'!$L$10="Catastrófico"),CONCATENATE("R",'Mapa final'!$A$10),"")</f>
        <v/>
      </c>
      <c r="AI6" s="342"/>
      <c r="AJ6" s="342" t="str">
        <f>IF(AND('Mapa final'!$H$16="Muy Alta",'Mapa final'!$L$16="Catastrófico"),CONCATENATE("R",'Mapa final'!$A$16),"")</f>
        <v/>
      </c>
      <c r="AK6" s="342"/>
      <c r="AL6" s="342" t="str">
        <f>IF(AND('Mapa final'!$H$22="Muy Alta",'Mapa final'!$L$22="Catastrófico"),CONCATENATE("R",'Mapa final'!$A$22),"")</f>
        <v/>
      </c>
      <c r="AM6" s="343"/>
      <c r="AO6" s="366" t="s">
        <v>184</v>
      </c>
      <c r="AP6" s="367"/>
      <c r="AQ6" s="367"/>
      <c r="AR6" s="367"/>
      <c r="AS6" s="367"/>
      <c r="AT6" s="368"/>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row>
    <row r="7" spans="1:99" ht="15" customHeight="1" x14ac:dyDescent="0.25">
      <c r="A7" s="97"/>
      <c r="B7" s="364"/>
      <c r="C7" s="364"/>
      <c r="D7" s="365"/>
      <c r="E7" s="357"/>
      <c r="F7" s="358"/>
      <c r="G7" s="358"/>
      <c r="H7" s="358"/>
      <c r="I7" s="359"/>
      <c r="J7" s="344"/>
      <c r="K7" s="345"/>
      <c r="L7" s="345"/>
      <c r="M7" s="345"/>
      <c r="N7" s="345"/>
      <c r="O7" s="346"/>
      <c r="P7" s="344"/>
      <c r="Q7" s="345"/>
      <c r="R7" s="345"/>
      <c r="S7" s="345"/>
      <c r="T7" s="345"/>
      <c r="U7" s="346"/>
      <c r="V7" s="344"/>
      <c r="W7" s="345"/>
      <c r="X7" s="345"/>
      <c r="Y7" s="345"/>
      <c r="Z7" s="345"/>
      <c r="AA7" s="346"/>
      <c r="AB7" s="344"/>
      <c r="AC7" s="345"/>
      <c r="AD7" s="345"/>
      <c r="AE7" s="345"/>
      <c r="AF7" s="345"/>
      <c r="AG7" s="346"/>
      <c r="AH7" s="335"/>
      <c r="AI7" s="336"/>
      <c r="AJ7" s="336"/>
      <c r="AK7" s="336"/>
      <c r="AL7" s="336"/>
      <c r="AM7" s="337"/>
      <c r="AN7" s="97"/>
      <c r="AO7" s="369"/>
      <c r="AP7" s="370"/>
      <c r="AQ7" s="370"/>
      <c r="AR7" s="370"/>
      <c r="AS7" s="370"/>
      <c r="AT7" s="371"/>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row>
    <row r="8" spans="1:99" ht="15" customHeight="1" x14ac:dyDescent="0.25">
      <c r="A8" s="97"/>
      <c r="B8" s="364"/>
      <c r="C8" s="364"/>
      <c r="D8" s="365"/>
      <c r="E8" s="357"/>
      <c r="F8" s="358"/>
      <c r="G8" s="358"/>
      <c r="H8" s="358"/>
      <c r="I8" s="359"/>
      <c r="J8" s="344" t="str">
        <f>IF(AND('Mapa final'!$H$28="Muy Alta",'Mapa final'!$L$28="Leve"),CONCATENATE("R",'Mapa final'!$A$28),"")</f>
        <v/>
      </c>
      <c r="K8" s="345"/>
      <c r="L8" s="345" t="str">
        <f>IF(AND('Mapa final'!$H$34="Muy Alta",'Mapa final'!$L$34="Leve"),CONCATENATE("R",'Mapa final'!$A$34),"")</f>
        <v/>
      </c>
      <c r="M8" s="345"/>
      <c r="N8" s="345" t="str">
        <f>IF(AND('Mapa final'!$H$40="Muy Alta",'Mapa final'!$L$40="Leve"),CONCATENATE("R",'Mapa final'!$A$40),"")</f>
        <v/>
      </c>
      <c r="O8" s="346"/>
      <c r="P8" s="344" t="str">
        <f>IF(AND('Mapa final'!$H$28="Muy Alta",'Mapa final'!$L$28="Menor"),CONCATENATE("R",'Mapa final'!$A$28),"")</f>
        <v/>
      </c>
      <c r="Q8" s="345"/>
      <c r="R8" s="345" t="str">
        <f>IF(AND('Mapa final'!$H$34="Muy Alta",'Mapa final'!$L$34="Menor"),CONCATENATE("R",'Mapa final'!$A$34),"")</f>
        <v/>
      </c>
      <c r="S8" s="345"/>
      <c r="T8" s="345" t="str">
        <f>IF(AND('Mapa final'!$H$40="Muy Alta",'Mapa final'!$L$40="Menor"),CONCATENATE("R",'Mapa final'!$A$40),"")</f>
        <v/>
      </c>
      <c r="U8" s="346"/>
      <c r="V8" s="344" t="str">
        <f>IF(AND('Mapa final'!$H$28="Muy Alta",'Mapa final'!$L$28="Moderado"),CONCATENATE("R",'Mapa final'!$A$28),"")</f>
        <v/>
      </c>
      <c r="W8" s="345"/>
      <c r="X8" s="345" t="str">
        <f>IF(AND('Mapa final'!$H$34="Muy Alta",'Mapa final'!$L$34="Moderado"),CONCATENATE("R",'Mapa final'!$A$34),"")</f>
        <v/>
      </c>
      <c r="Y8" s="345"/>
      <c r="Z8" s="345" t="str">
        <f>IF(AND('Mapa final'!$H$40="Muy Alta",'Mapa final'!$L$40="Moderado"),CONCATENATE("R",'Mapa final'!$A$40),"")</f>
        <v/>
      </c>
      <c r="AA8" s="346"/>
      <c r="AB8" s="344" t="str">
        <f>IF(AND('Mapa final'!$H$28="Muy Alta",'Mapa final'!$L$28="Mayor"),CONCATENATE("R",'Mapa final'!$A$28),"")</f>
        <v/>
      </c>
      <c r="AC8" s="345"/>
      <c r="AD8" s="345" t="str">
        <f>IF(AND('Mapa final'!$H$34="Muy Alta",'Mapa final'!$L$34="Mayor"),CONCATENATE("R",'Mapa final'!$A$34),"")</f>
        <v/>
      </c>
      <c r="AE8" s="345"/>
      <c r="AF8" s="345" t="str">
        <f>IF(AND('Mapa final'!$H$40="Muy Alta",'Mapa final'!$L$40="Mayor"),CONCATENATE("R",'Mapa final'!$A$40),"")</f>
        <v/>
      </c>
      <c r="AG8" s="346"/>
      <c r="AH8" s="335" t="str">
        <f>IF(AND('Mapa final'!$H$28="Muy Alta",'Mapa final'!$L$28="Catastrófico"),CONCATENATE("R",'Mapa final'!$A$28),"")</f>
        <v/>
      </c>
      <c r="AI8" s="336"/>
      <c r="AJ8" s="336" t="str">
        <f>IF(AND('Mapa final'!$H$34="Muy Alta",'Mapa final'!$L$34="Catastrófico"),CONCATENATE("R",'Mapa final'!$A$34),"")</f>
        <v/>
      </c>
      <c r="AK8" s="336"/>
      <c r="AL8" s="336" t="str">
        <f>IF(AND('Mapa final'!$H$40="Muy Alta",'Mapa final'!$L$40="Catastrófico"),CONCATENATE("R",'Mapa final'!$A$40),"")</f>
        <v/>
      </c>
      <c r="AM8" s="337"/>
      <c r="AN8" s="97"/>
      <c r="AO8" s="369"/>
      <c r="AP8" s="370"/>
      <c r="AQ8" s="370"/>
      <c r="AR8" s="370"/>
      <c r="AS8" s="370"/>
      <c r="AT8" s="371"/>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row>
    <row r="9" spans="1:99" ht="15" customHeight="1" x14ac:dyDescent="0.25">
      <c r="A9" s="97"/>
      <c r="B9" s="364"/>
      <c r="C9" s="364"/>
      <c r="D9" s="365"/>
      <c r="E9" s="357"/>
      <c r="F9" s="358"/>
      <c r="G9" s="358"/>
      <c r="H9" s="358"/>
      <c r="I9" s="359"/>
      <c r="J9" s="344"/>
      <c r="K9" s="345"/>
      <c r="L9" s="345"/>
      <c r="M9" s="345"/>
      <c r="N9" s="345"/>
      <c r="O9" s="346"/>
      <c r="P9" s="344"/>
      <c r="Q9" s="345"/>
      <c r="R9" s="345"/>
      <c r="S9" s="345"/>
      <c r="T9" s="345"/>
      <c r="U9" s="346"/>
      <c r="V9" s="344"/>
      <c r="W9" s="345"/>
      <c r="X9" s="345"/>
      <c r="Y9" s="345"/>
      <c r="Z9" s="345"/>
      <c r="AA9" s="346"/>
      <c r="AB9" s="344"/>
      <c r="AC9" s="345"/>
      <c r="AD9" s="345"/>
      <c r="AE9" s="345"/>
      <c r="AF9" s="345"/>
      <c r="AG9" s="346"/>
      <c r="AH9" s="335"/>
      <c r="AI9" s="336"/>
      <c r="AJ9" s="336"/>
      <c r="AK9" s="336"/>
      <c r="AL9" s="336"/>
      <c r="AM9" s="337"/>
      <c r="AN9" s="97"/>
      <c r="AO9" s="369"/>
      <c r="AP9" s="370"/>
      <c r="AQ9" s="370"/>
      <c r="AR9" s="370"/>
      <c r="AS9" s="370"/>
      <c r="AT9" s="371"/>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row>
    <row r="10" spans="1:99" ht="15" customHeight="1" x14ac:dyDescent="0.25">
      <c r="A10" s="97"/>
      <c r="B10" s="364"/>
      <c r="C10" s="364"/>
      <c r="D10" s="365"/>
      <c r="E10" s="357"/>
      <c r="F10" s="358"/>
      <c r="G10" s="358"/>
      <c r="H10" s="358"/>
      <c r="I10" s="359"/>
      <c r="J10" s="344" t="str">
        <f>IF(AND('Mapa final'!$H$46="Muy Alta",'Mapa final'!$L$46="Leve"),CONCATENATE("R",'Mapa final'!$A$46),"")</f>
        <v/>
      </c>
      <c r="K10" s="345"/>
      <c r="L10" s="345" t="str">
        <f>IF(AND('Mapa final'!$H$52="Muy Alta",'Mapa final'!$L$52="Leve"),CONCATENATE("R",'Mapa final'!$A$52),"")</f>
        <v/>
      </c>
      <c r="M10" s="345"/>
      <c r="N10" s="345" t="str">
        <f>IF(AND('Mapa final'!$H$58="Muy Alta",'Mapa final'!$L$58="Leve"),CONCATENATE("R",'Mapa final'!$A$58),"")</f>
        <v/>
      </c>
      <c r="O10" s="346"/>
      <c r="P10" s="344" t="str">
        <f>IF(AND('Mapa final'!$H$46="Muy Alta",'Mapa final'!$L$46="Menor"),CONCATENATE("R",'Mapa final'!$A$46),"")</f>
        <v/>
      </c>
      <c r="Q10" s="345"/>
      <c r="R10" s="345" t="str">
        <f>IF(AND('Mapa final'!$H$52="Muy Alta",'Mapa final'!$L$52="Menor"),CONCATENATE("R",'Mapa final'!$A$52),"")</f>
        <v/>
      </c>
      <c r="S10" s="345"/>
      <c r="T10" s="345" t="str">
        <f>IF(AND('Mapa final'!$H$58="Muy Alta",'Mapa final'!$L$58="Menor"),CONCATENATE("R",'Mapa final'!$A$58),"")</f>
        <v/>
      </c>
      <c r="U10" s="346"/>
      <c r="V10" s="344" t="str">
        <f>IF(AND('Mapa final'!$H$46="Muy Alta",'Mapa final'!$L$46="Moderado"),CONCATENATE("R",'Mapa final'!$A$46),"")</f>
        <v/>
      </c>
      <c r="W10" s="345"/>
      <c r="X10" s="345" t="str">
        <f>IF(AND('Mapa final'!$H$52="Muy Alta",'Mapa final'!$L$52="Moderado"),CONCATENATE("R",'Mapa final'!$A$52),"")</f>
        <v/>
      </c>
      <c r="Y10" s="345"/>
      <c r="Z10" s="345" t="str">
        <f>IF(AND('Mapa final'!$H$58="Muy Alta",'Mapa final'!$L$58="Moderado"),CONCATENATE("R",'Mapa final'!$A$58),"")</f>
        <v/>
      </c>
      <c r="AA10" s="346"/>
      <c r="AB10" s="344" t="str">
        <f>IF(AND('Mapa final'!$H$46="Muy Alta",'Mapa final'!$L$46="Mayor"),CONCATENATE("R",'Mapa final'!$A$46),"")</f>
        <v/>
      </c>
      <c r="AC10" s="345"/>
      <c r="AD10" s="345" t="str">
        <f>IF(AND('Mapa final'!$H$52="Muy Alta",'Mapa final'!$L$52="Mayor"),CONCATENATE("R",'Mapa final'!$A$52),"")</f>
        <v/>
      </c>
      <c r="AE10" s="345"/>
      <c r="AF10" s="345" t="str">
        <f>IF(AND('Mapa final'!$H$58="Muy Alta",'Mapa final'!$L$58="Mayor"),CONCATENATE("R",'Mapa final'!$A$58),"")</f>
        <v/>
      </c>
      <c r="AG10" s="346"/>
      <c r="AH10" s="335" t="str">
        <f>IF(AND('Mapa final'!$H$46="Muy Alta",'Mapa final'!$L$46="Catastrófico"),CONCATENATE("R",'Mapa final'!$A$46),"")</f>
        <v/>
      </c>
      <c r="AI10" s="336"/>
      <c r="AJ10" s="336" t="str">
        <f>IF(AND('Mapa final'!$H$52="Muy Alta",'Mapa final'!$L$52="Catastrófico"),CONCATENATE("R",'Mapa final'!$A$52),"")</f>
        <v/>
      </c>
      <c r="AK10" s="336"/>
      <c r="AL10" s="336" t="str">
        <f>IF(AND('Mapa final'!$H$58="Muy Alta",'Mapa final'!$L$58="Catastrófico"),CONCATENATE("R",'Mapa final'!$A$58),"")</f>
        <v/>
      </c>
      <c r="AM10" s="337"/>
      <c r="AN10" s="97"/>
      <c r="AO10" s="369"/>
      <c r="AP10" s="370"/>
      <c r="AQ10" s="370"/>
      <c r="AR10" s="370"/>
      <c r="AS10" s="370"/>
      <c r="AT10" s="371"/>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row>
    <row r="11" spans="1:99" ht="15" customHeight="1" x14ac:dyDescent="0.25">
      <c r="A11" s="97"/>
      <c r="B11" s="364"/>
      <c r="C11" s="364"/>
      <c r="D11" s="365"/>
      <c r="E11" s="357"/>
      <c r="F11" s="358"/>
      <c r="G11" s="358"/>
      <c r="H11" s="358"/>
      <c r="I11" s="359"/>
      <c r="J11" s="344"/>
      <c r="K11" s="345"/>
      <c r="L11" s="345"/>
      <c r="M11" s="345"/>
      <c r="N11" s="345"/>
      <c r="O11" s="346"/>
      <c r="P11" s="344"/>
      <c r="Q11" s="345"/>
      <c r="R11" s="345"/>
      <c r="S11" s="345"/>
      <c r="T11" s="345"/>
      <c r="U11" s="346"/>
      <c r="V11" s="344"/>
      <c r="W11" s="345"/>
      <c r="X11" s="345"/>
      <c r="Y11" s="345"/>
      <c r="Z11" s="345"/>
      <c r="AA11" s="346"/>
      <c r="AB11" s="344"/>
      <c r="AC11" s="345"/>
      <c r="AD11" s="345"/>
      <c r="AE11" s="345"/>
      <c r="AF11" s="345"/>
      <c r="AG11" s="346"/>
      <c r="AH11" s="335"/>
      <c r="AI11" s="336"/>
      <c r="AJ11" s="336"/>
      <c r="AK11" s="336"/>
      <c r="AL11" s="336"/>
      <c r="AM11" s="337"/>
      <c r="AN11" s="97"/>
      <c r="AO11" s="369"/>
      <c r="AP11" s="370"/>
      <c r="AQ11" s="370"/>
      <c r="AR11" s="370"/>
      <c r="AS11" s="370"/>
      <c r="AT11" s="371"/>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row>
    <row r="12" spans="1:99" ht="15" customHeight="1" x14ac:dyDescent="0.25">
      <c r="A12" s="97"/>
      <c r="B12" s="364"/>
      <c r="C12" s="364"/>
      <c r="D12" s="365"/>
      <c r="E12" s="357"/>
      <c r="F12" s="358"/>
      <c r="G12" s="358"/>
      <c r="H12" s="358"/>
      <c r="I12" s="359"/>
      <c r="J12" s="344" t="str">
        <f>IF(AND('Mapa final'!$H$64="Muy Alta",'Mapa final'!$L$64="Leve"),CONCATENATE("R",'Mapa final'!$A$64),"")</f>
        <v/>
      </c>
      <c r="K12" s="345"/>
      <c r="L12" s="345" t="str">
        <f>IF(AND('Mapa final'!$H$70="Muy Alta",'Mapa final'!$L$70="Leve"),CONCATENATE("R",'Mapa final'!$A$70),"")</f>
        <v/>
      </c>
      <c r="M12" s="345"/>
      <c r="N12" s="345" t="str">
        <f>IF(AND('Mapa final'!$H$76="Muy Alta",'Mapa final'!$L$76="Leve"),CONCATENATE("R",'Mapa final'!$A$76),"")</f>
        <v/>
      </c>
      <c r="O12" s="346"/>
      <c r="P12" s="344" t="str">
        <f>IF(AND('Mapa final'!$H$64="Muy Alta",'Mapa final'!$L$64="Menor"),CONCATENATE("R",'Mapa final'!$A$64),"")</f>
        <v/>
      </c>
      <c r="Q12" s="345"/>
      <c r="R12" s="345" t="str">
        <f>IF(AND('Mapa final'!$H$70="Muy Alta",'Mapa final'!$L$70="Menor"),CONCATENATE("R",'Mapa final'!$A$70),"")</f>
        <v/>
      </c>
      <c r="S12" s="345"/>
      <c r="T12" s="345" t="str">
        <f>IF(AND('Mapa final'!$H$76="Muy Alta",'Mapa final'!$L$76="Menor"),CONCATENATE("R",'Mapa final'!$A$76),"")</f>
        <v/>
      </c>
      <c r="U12" s="346"/>
      <c r="V12" s="344" t="str">
        <f>IF(AND('Mapa final'!$H$64="Muy Alta",'Mapa final'!$L$64="Moderado"),CONCATENATE("R",'Mapa final'!$A$64),"")</f>
        <v/>
      </c>
      <c r="W12" s="345"/>
      <c r="X12" s="345" t="str">
        <f>IF(AND('Mapa final'!$H$70="Muy Alta",'Mapa final'!$L$70="Moderado"),CONCATENATE("R",'Mapa final'!$A$70),"")</f>
        <v/>
      </c>
      <c r="Y12" s="345"/>
      <c r="Z12" s="345" t="str">
        <f>IF(AND('Mapa final'!$H$76="Muy Alta",'Mapa final'!$L$76="Moderado"),CONCATENATE("R",'Mapa final'!$A$76),"")</f>
        <v/>
      </c>
      <c r="AA12" s="346"/>
      <c r="AB12" s="344" t="str">
        <f>IF(AND('Mapa final'!$H$64="Muy Alta",'Mapa final'!$L$64="Mayor"),CONCATENATE("R",'Mapa final'!$A$64),"")</f>
        <v/>
      </c>
      <c r="AC12" s="345"/>
      <c r="AD12" s="345" t="str">
        <f>IF(AND('Mapa final'!$H$70="Muy Alta",'Mapa final'!$L$70="Mayor"),CONCATENATE("R",'Mapa final'!$A$70),"")</f>
        <v/>
      </c>
      <c r="AE12" s="345"/>
      <c r="AF12" s="345" t="str">
        <f>IF(AND('Mapa final'!$H$76="Muy Alta",'Mapa final'!$L$76="Mayor"),CONCATENATE("R",'Mapa final'!$A$76),"")</f>
        <v/>
      </c>
      <c r="AG12" s="346"/>
      <c r="AH12" s="335" t="str">
        <f>IF(AND('Mapa final'!$H$64="Muy Alta",'Mapa final'!$L$64="Catastrófico"),CONCATENATE("R",'Mapa final'!$A$64),"")</f>
        <v/>
      </c>
      <c r="AI12" s="336"/>
      <c r="AJ12" s="336" t="str">
        <f>IF(AND('Mapa final'!$H$70="Muy Alta",'Mapa final'!$L$70="Catastrófico"),CONCATENATE("R",'Mapa final'!$A$70),"")</f>
        <v/>
      </c>
      <c r="AK12" s="336"/>
      <c r="AL12" s="336" t="str">
        <f>IF(AND('Mapa final'!$H$76="Muy Alta",'Mapa final'!$L$76="Catastrófico"),CONCATENATE("R",'Mapa final'!$A$76),"")</f>
        <v/>
      </c>
      <c r="AM12" s="337"/>
      <c r="AN12" s="97"/>
      <c r="AO12" s="369"/>
      <c r="AP12" s="370"/>
      <c r="AQ12" s="370"/>
      <c r="AR12" s="370"/>
      <c r="AS12" s="370"/>
      <c r="AT12" s="371"/>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row>
    <row r="13" spans="1:99" ht="15.75" customHeight="1" thickBot="1" x14ac:dyDescent="0.3">
      <c r="A13" s="97"/>
      <c r="B13" s="364"/>
      <c r="C13" s="364"/>
      <c r="D13" s="365"/>
      <c r="E13" s="360"/>
      <c r="F13" s="361"/>
      <c r="G13" s="361"/>
      <c r="H13" s="361"/>
      <c r="I13" s="362"/>
      <c r="J13" s="344"/>
      <c r="K13" s="345"/>
      <c r="L13" s="345"/>
      <c r="M13" s="345"/>
      <c r="N13" s="345"/>
      <c r="O13" s="346"/>
      <c r="P13" s="344"/>
      <c r="Q13" s="345"/>
      <c r="R13" s="345"/>
      <c r="S13" s="345"/>
      <c r="T13" s="345"/>
      <c r="U13" s="346"/>
      <c r="V13" s="344"/>
      <c r="W13" s="345"/>
      <c r="X13" s="345"/>
      <c r="Y13" s="345"/>
      <c r="Z13" s="345"/>
      <c r="AA13" s="346"/>
      <c r="AB13" s="344"/>
      <c r="AC13" s="345"/>
      <c r="AD13" s="345"/>
      <c r="AE13" s="345"/>
      <c r="AF13" s="345"/>
      <c r="AG13" s="346"/>
      <c r="AH13" s="338"/>
      <c r="AI13" s="339"/>
      <c r="AJ13" s="339"/>
      <c r="AK13" s="339"/>
      <c r="AL13" s="339"/>
      <c r="AM13" s="340"/>
      <c r="AN13" s="97"/>
      <c r="AO13" s="372"/>
      <c r="AP13" s="373"/>
      <c r="AQ13" s="373"/>
      <c r="AR13" s="373"/>
      <c r="AS13" s="373"/>
      <c r="AT13" s="374"/>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row>
    <row r="14" spans="1:99" ht="15" customHeight="1" x14ac:dyDescent="0.25">
      <c r="A14" s="97"/>
      <c r="B14" s="364"/>
      <c r="C14" s="364"/>
      <c r="D14" s="365"/>
      <c r="E14" s="354" t="s">
        <v>185</v>
      </c>
      <c r="F14" s="355"/>
      <c r="G14" s="355"/>
      <c r="H14" s="355"/>
      <c r="I14" s="355"/>
      <c r="J14" s="332" t="str">
        <f>IF(AND('Mapa final'!$H$10="Alta",'Mapa final'!$L$10="Leve"),CONCATENATE("R",'Mapa final'!$A$10),"")</f>
        <v/>
      </c>
      <c r="K14" s="333"/>
      <c r="L14" s="333" t="str">
        <f>IF(AND('Mapa final'!$H$16="Alta",'Mapa final'!$L$16="Leve"),CONCATENATE("R",'Mapa final'!$A$16),"")</f>
        <v/>
      </c>
      <c r="M14" s="333"/>
      <c r="N14" s="333" t="str">
        <f>IF(AND('Mapa final'!$H$22="Alta",'Mapa final'!$L$22="Leve"),CONCATENATE("R",'Mapa final'!$A$22),"")</f>
        <v/>
      </c>
      <c r="O14" s="334"/>
      <c r="P14" s="332" t="str">
        <f>IF(AND('Mapa final'!$H$10="Alta",'Mapa final'!$L$10="Menor"),CONCATENATE("R",'Mapa final'!$A$10),"")</f>
        <v/>
      </c>
      <c r="Q14" s="333"/>
      <c r="R14" s="333" t="str">
        <f>IF(AND('Mapa final'!$H$16="Alta",'Mapa final'!$L$16="Menor"),CONCATENATE("R",'Mapa final'!$A$16),"")</f>
        <v/>
      </c>
      <c r="S14" s="333"/>
      <c r="T14" s="333" t="str">
        <f>IF(AND('Mapa final'!$H$22="Alta",'Mapa final'!$L$22="Menor"),CONCATENATE("R",'Mapa final'!$A$22),"")</f>
        <v/>
      </c>
      <c r="U14" s="334"/>
      <c r="V14" s="350" t="str">
        <f>IF(AND('Mapa final'!$H$10="Alta",'Mapa final'!$L$10="Moderado"),CONCATENATE("R",'Mapa final'!$A$10),"")</f>
        <v/>
      </c>
      <c r="W14" s="351"/>
      <c r="X14" s="351" t="str">
        <f>IF(AND('Mapa final'!$H$16="Alta",'Mapa final'!$L$16="Moderado"),CONCATENATE("R",'Mapa final'!$A$16),"")</f>
        <v/>
      </c>
      <c r="Y14" s="351"/>
      <c r="Z14" s="351" t="str">
        <f>IF(AND('Mapa final'!$H$22="Alta",'Mapa final'!$L$22="Moderado"),CONCATENATE("R",'Mapa final'!$A$22),"")</f>
        <v/>
      </c>
      <c r="AA14" s="352"/>
      <c r="AB14" s="350" t="str">
        <f>IF(AND('Mapa final'!$H$10="Alta",'Mapa final'!$L$10="Mayor"),CONCATENATE("R",'Mapa final'!$A$10),"")</f>
        <v/>
      </c>
      <c r="AC14" s="351"/>
      <c r="AD14" s="351" t="str">
        <f>IF(AND('Mapa final'!$H$16="Alta",'Mapa final'!$L$16="Mayor"),CONCATENATE("R",'Mapa final'!$A$16),"")</f>
        <v/>
      </c>
      <c r="AE14" s="351"/>
      <c r="AF14" s="351" t="str">
        <f>IF(AND('Mapa final'!$H$22="Alta",'Mapa final'!$L$22="Mayor"),CONCATENATE("R",'Mapa final'!$A$22),"")</f>
        <v/>
      </c>
      <c r="AG14" s="352"/>
      <c r="AH14" s="341" t="str">
        <f>IF(AND('Mapa final'!$H$10="Alta",'Mapa final'!$L$10="Catastrófico"),CONCATENATE("R",'Mapa final'!$A$10),"")</f>
        <v/>
      </c>
      <c r="AI14" s="342"/>
      <c r="AJ14" s="342" t="str">
        <f>IF(AND('Mapa final'!$H$16="Alta",'Mapa final'!$L$16="Catastrófico"),CONCATENATE("R",'Mapa final'!$A$16),"")</f>
        <v/>
      </c>
      <c r="AK14" s="342"/>
      <c r="AL14" s="342" t="str">
        <f>IF(AND('Mapa final'!$H$22="Alta",'Mapa final'!$L$22="Catastrófico"),CONCATENATE("R",'Mapa final'!$A$22),"")</f>
        <v/>
      </c>
      <c r="AM14" s="343"/>
      <c r="AN14" s="97"/>
      <c r="AO14" s="375" t="s">
        <v>186</v>
      </c>
      <c r="AP14" s="376"/>
      <c r="AQ14" s="376"/>
      <c r="AR14" s="376"/>
      <c r="AS14" s="376"/>
      <c r="AT14" s="37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row>
    <row r="15" spans="1:99" ht="15" customHeight="1" x14ac:dyDescent="0.25">
      <c r="A15" s="97"/>
      <c r="B15" s="364"/>
      <c r="C15" s="364"/>
      <c r="D15" s="365"/>
      <c r="E15" s="357"/>
      <c r="F15" s="358"/>
      <c r="G15" s="358"/>
      <c r="H15" s="358"/>
      <c r="I15" s="358"/>
      <c r="J15" s="326"/>
      <c r="K15" s="327"/>
      <c r="L15" s="327"/>
      <c r="M15" s="327"/>
      <c r="N15" s="327"/>
      <c r="O15" s="328"/>
      <c r="P15" s="326"/>
      <c r="Q15" s="327"/>
      <c r="R15" s="327"/>
      <c r="S15" s="327"/>
      <c r="T15" s="327"/>
      <c r="U15" s="328"/>
      <c r="V15" s="344"/>
      <c r="W15" s="345"/>
      <c r="X15" s="345"/>
      <c r="Y15" s="345"/>
      <c r="Z15" s="345"/>
      <c r="AA15" s="346"/>
      <c r="AB15" s="344"/>
      <c r="AC15" s="345"/>
      <c r="AD15" s="345"/>
      <c r="AE15" s="345"/>
      <c r="AF15" s="345"/>
      <c r="AG15" s="346"/>
      <c r="AH15" s="335"/>
      <c r="AI15" s="336"/>
      <c r="AJ15" s="336"/>
      <c r="AK15" s="336"/>
      <c r="AL15" s="336"/>
      <c r="AM15" s="337"/>
      <c r="AN15" s="97"/>
      <c r="AO15" s="378"/>
      <c r="AP15" s="379"/>
      <c r="AQ15" s="379"/>
      <c r="AR15" s="379"/>
      <c r="AS15" s="379"/>
      <c r="AT15" s="380"/>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row>
    <row r="16" spans="1:99" ht="15" customHeight="1" x14ac:dyDescent="0.25">
      <c r="A16" s="97"/>
      <c r="B16" s="364"/>
      <c r="C16" s="364"/>
      <c r="D16" s="365"/>
      <c r="E16" s="357"/>
      <c r="F16" s="358"/>
      <c r="G16" s="358"/>
      <c r="H16" s="358"/>
      <c r="I16" s="358"/>
      <c r="J16" s="326" t="str">
        <f>IF(AND('Mapa final'!$H$28="Alta",'Mapa final'!$L$28="Leve"),CONCATENATE("R",'Mapa final'!$A$28),"")</f>
        <v/>
      </c>
      <c r="K16" s="327"/>
      <c r="L16" s="327" t="str">
        <f>IF(AND('Mapa final'!$H$34="Alta",'Mapa final'!$L$34="Leve"),CONCATENATE("R",'Mapa final'!$A$34),"")</f>
        <v/>
      </c>
      <c r="M16" s="327"/>
      <c r="N16" s="327" t="str">
        <f>IF(AND('Mapa final'!$H$40="Alta",'Mapa final'!$L$40="Leve"),CONCATENATE("R",'Mapa final'!$A$40),"")</f>
        <v/>
      </c>
      <c r="O16" s="328"/>
      <c r="P16" s="326" t="str">
        <f>IF(AND('Mapa final'!$H$28="Alta",'Mapa final'!$L$28="Menor"),CONCATENATE("R",'Mapa final'!$A$28),"")</f>
        <v/>
      </c>
      <c r="Q16" s="327"/>
      <c r="R16" s="327" t="str">
        <f>IF(AND('Mapa final'!$H$34="Alta",'Mapa final'!$L$34="Menor"),CONCATENATE("R",'Mapa final'!$A$34),"")</f>
        <v/>
      </c>
      <c r="S16" s="327"/>
      <c r="T16" s="327" t="str">
        <f>IF(AND('Mapa final'!$H$40="Alta",'Mapa final'!$L$40="Menor"),CONCATENATE("R",'Mapa final'!$A$40),"")</f>
        <v/>
      </c>
      <c r="U16" s="328"/>
      <c r="V16" s="344" t="str">
        <f>IF(AND('Mapa final'!$H$28="Alta",'Mapa final'!$L$28="Moderado"),CONCATENATE("R",'Mapa final'!$A$28),"")</f>
        <v/>
      </c>
      <c r="W16" s="345"/>
      <c r="X16" s="345" t="str">
        <f>IF(AND('Mapa final'!$H$34="Alta",'Mapa final'!$L$34="Moderado"),CONCATENATE("R",'Mapa final'!$A$34),"")</f>
        <v/>
      </c>
      <c r="Y16" s="345"/>
      <c r="Z16" s="345" t="str">
        <f>IF(AND('Mapa final'!$H$40="Alta",'Mapa final'!$L$40="Moderado"),CONCATENATE("R",'Mapa final'!$A$40),"")</f>
        <v/>
      </c>
      <c r="AA16" s="346"/>
      <c r="AB16" s="344" t="str">
        <f>IF(AND('Mapa final'!$H$28="Alta",'Mapa final'!$L$28="Mayor"),CONCATENATE("R",'Mapa final'!$A$28),"")</f>
        <v/>
      </c>
      <c r="AC16" s="345"/>
      <c r="AD16" s="345" t="str">
        <f>IF(AND('Mapa final'!$H$34="Alta",'Mapa final'!$L$34="Mayor"),CONCATENATE("R",'Mapa final'!$A$34),"")</f>
        <v/>
      </c>
      <c r="AE16" s="345"/>
      <c r="AF16" s="345" t="str">
        <f>IF(AND('Mapa final'!$H$40="Alta",'Mapa final'!$L$40="Mayor"),CONCATENATE("R",'Mapa final'!$A$40),"")</f>
        <v/>
      </c>
      <c r="AG16" s="346"/>
      <c r="AH16" s="335" t="str">
        <f>IF(AND('Mapa final'!$H$28="Alta",'Mapa final'!$L$28="Catastrófico"),CONCATENATE("R",'Mapa final'!$A$28),"")</f>
        <v/>
      </c>
      <c r="AI16" s="336"/>
      <c r="AJ16" s="336" t="str">
        <f>IF(AND('Mapa final'!$H$34="Alta",'Mapa final'!$L$34="Catastrófico"),CONCATENATE("R",'Mapa final'!$A$34),"")</f>
        <v/>
      </c>
      <c r="AK16" s="336"/>
      <c r="AL16" s="336" t="str">
        <f>IF(AND('Mapa final'!$H$40="Alta",'Mapa final'!$L$40="Catastrófico"),CONCATENATE("R",'Mapa final'!$A$40),"")</f>
        <v/>
      </c>
      <c r="AM16" s="337"/>
      <c r="AN16" s="97"/>
      <c r="AO16" s="378"/>
      <c r="AP16" s="379"/>
      <c r="AQ16" s="379"/>
      <c r="AR16" s="379"/>
      <c r="AS16" s="379"/>
      <c r="AT16" s="380"/>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row>
    <row r="17" spans="1:80" ht="15" customHeight="1" x14ac:dyDescent="0.25">
      <c r="A17" s="97"/>
      <c r="B17" s="364"/>
      <c r="C17" s="364"/>
      <c r="D17" s="365"/>
      <c r="E17" s="357"/>
      <c r="F17" s="358"/>
      <c r="G17" s="358"/>
      <c r="H17" s="358"/>
      <c r="I17" s="358"/>
      <c r="J17" s="326"/>
      <c r="K17" s="327"/>
      <c r="L17" s="327"/>
      <c r="M17" s="327"/>
      <c r="N17" s="327"/>
      <c r="O17" s="328"/>
      <c r="P17" s="326"/>
      <c r="Q17" s="327"/>
      <c r="R17" s="327"/>
      <c r="S17" s="327"/>
      <c r="T17" s="327"/>
      <c r="U17" s="328"/>
      <c r="V17" s="344"/>
      <c r="W17" s="345"/>
      <c r="X17" s="345"/>
      <c r="Y17" s="345"/>
      <c r="Z17" s="345"/>
      <c r="AA17" s="346"/>
      <c r="AB17" s="344"/>
      <c r="AC17" s="345"/>
      <c r="AD17" s="345"/>
      <c r="AE17" s="345"/>
      <c r="AF17" s="345"/>
      <c r="AG17" s="346"/>
      <c r="AH17" s="335"/>
      <c r="AI17" s="336"/>
      <c r="AJ17" s="336"/>
      <c r="AK17" s="336"/>
      <c r="AL17" s="336"/>
      <c r="AM17" s="337"/>
      <c r="AN17" s="97"/>
      <c r="AO17" s="378"/>
      <c r="AP17" s="379"/>
      <c r="AQ17" s="379"/>
      <c r="AR17" s="379"/>
      <c r="AS17" s="379"/>
      <c r="AT17" s="380"/>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row>
    <row r="18" spans="1:80" ht="15" customHeight="1" x14ac:dyDescent="0.25">
      <c r="A18" s="97"/>
      <c r="B18" s="364"/>
      <c r="C18" s="364"/>
      <c r="D18" s="365"/>
      <c r="E18" s="357"/>
      <c r="F18" s="358"/>
      <c r="G18" s="358"/>
      <c r="H18" s="358"/>
      <c r="I18" s="358"/>
      <c r="J18" s="326" t="str">
        <f>IF(AND('Mapa final'!$H$46="Alta",'Mapa final'!$L$46="Leve"),CONCATENATE("R",'Mapa final'!$A$46),"")</f>
        <v/>
      </c>
      <c r="K18" s="327"/>
      <c r="L18" s="327" t="str">
        <f>IF(AND('Mapa final'!$H$52="Alta",'Mapa final'!$L$52="Leve"),CONCATENATE("R",'Mapa final'!$A$52),"")</f>
        <v/>
      </c>
      <c r="M18" s="327"/>
      <c r="N18" s="327" t="str">
        <f>IF(AND('Mapa final'!$H$58="Alta",'Mapa final'!$L$58="Leve"),CONCATENATE("R",'Mapa final'!$A$58),"")</f>
        <v/>
      </c>
      <c r="O18" s="328"/>
      <c r="P18" s="326" t="str">
        <f>IF(AND('Mapa final'!$H$46="Alta",'Mapa final'!$L$46="Menor"),CONCATENATE("R",'Mapa final'!$A$46),"")</f>
        <v/>
      </c>
      <c r="Q18" s="327"/>
      <c r="R18" s="327" t="str">
        <f>IF(AND('Mapa final'!$H$52="Alta",'Mapa final'!$L$52="Menor"),CONCATENATE("R",'Mapa final'!$A$52),"")</f>
        <v/>
      </c>
      <c r="S18" s="327"/>
      <c r="T18" s="327" t="str">
        <f>IF(AND('Mapa final'!$H$58="Alta",'Mapa final'!$L$58="Menor"),CONCATENATE("R",'Mapa final'!$A$58),"")</f>
        <v/>
      </c>
      <c r="U18" s="328"/>
      <c r="V18" s="344" t="str">
        <f>IF(AND('Mapa final'!$H$46="Alta",'Mapa final'!$L$46="Moderado"),CONCATENATE("R",'Mapa final'!$A$46),"")</f>
        <v/>
      </c>
      <c r="W18" s="345"/>
      <c r="X18" s="345" t="str">
        <f>IF(AND('Mapa final'!$H$52="Alta",'Mapa final'!$L$52="Moderado"),CONCATENATE("R",'Mapa final'!$A$52),"")</f>
        <v/>
      </c>
      <c r="Y18" s="345"/>
      <c r="Z18" s="345" t="str">
        <f>IF(AND('Mapa final'!$H$58="Alta",'Mapa final'!$L$58="Moderado"),CONCATENATE("R",'Mapa final'!$A$58),"")</f>
        <v/>
      </c>
      <c r="AA18" s="346"/>
      <c r="AB18" s="344" t="str">
        <f>IF(AND('Mapa final'!$H$46="Alta",'Mapa final'!$L$46="Mayor"),CONCATENATE("R",'Mapa final'!$A$46),"")</f>
        <v/>
      </c>
      <c r="AC18" s="345"/>
      <c r="AD18" s="345" t="str">
        <f>IF(AND('Mapa final'!$H$52="Alta",'Mapa final'!$L$52="Mayor"),CONCATENATE("R",'Mapa final'!$A$52),"")</f>
        <v/>
      </c>
      <c r="AE18" s="345"/>
      <c r="AF18" s="345" t="str">
        <f>IF(AND('Mapa final'!$H$58="Alta",'Mapa final'!$L$58="Mayor"),CONCATENATE("R",'Mapa final'!$A$58),"")</f>
        <v/>
      </c>
      <c r="AG18" s="346"/>
      <c r="AH18" s="335" t="str">
        <f>IF(AND('Mapa final'!$H$46="Alta",'Mapa final'!$L$46="Catastrófico"),CONCATENATE("R",'Mapa final'!$A$46),"")</f>
        <v/>
      </c>
      <c r="AI18" s="336"/>
      <c r="AJ18" s="336" t="str">
        <f>IF(AND('Mapa final'!$H$52="Alta",'Mapa final'!$L$52="Catastrófico"),CONCATENATE("R",'Mapa final'!$A$52),"")</f>
        <v/>
      </c>
      <c r="AK18" s="336"/>
      <c r="AL18" s="336" t="str">
        <f>IF(AND('Mapa final'!$H$58="Alta",'Mapa final'!$L$58="Catastrófico"),CONCATENATE("R",'Mapa final'!$A$58),"")</f>
        <v/>
      </c>
      <c r="AM18" s="337"/>
      <c r="AN18" s="97"/>
      <c r="AO18" s="378"/>
      <c r="AP18" s="379"/>
      <c r="AQ18" s="379"/>
      <c r="AR18" s="379"/>
      <c r="AS18" s="379"/>
      <c r="AT18" s="380"/>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row>
    <row r="19" spans="1:80" ht="15" customHeight="1" x14ac:dyDescent="0.25">
      <c r="A19" s="97"/>
      <c r="B19" s="364"/>
      <c r="C19" s="364"/>
      <c r="D19" s="365"/>
      <c r="E19" s="357"/>
      <c r="F19" s="358"/>
      <c r="G19" s="358"/>
      <c r="H19" s="358"/>
      <c r="I19" s="358"/>
      <c r="J19" s="326"/>
      <c r="K19" s="327"/>
      <c r="L19" s="327"/>
      <c r="M19" s="327"/>
      <c r="N19" s="327"/>
      <c r="O19" s="328"/>
      <c r="P19" s="326"/>
      <c r="Q19" s="327"/>
      <c r="R19" s="327"/>
      <c r="S19" s="327"/>
      <c r="T19" s="327"/>
      <c r="U19" s="328"/>
      <c r="V19" s="344"/>
      <c r="W19" s="345"/>
      <c r="X19" s="345"/>
      <c r="Y19" s="345"/>
      <c r="Z19" s="345"/>
      <c r="AA19" s="346"/>
      <c r="AB19" s="344"/>
      <c r="AC19" s="345"/>
      <c r="AD19" s="345"/>
      <c r="AE19" s="345"/>
      <c r="AF19" s="345"/>
      <c r="AG19" s="346"/>
      <c r="AH19" s="335"/>
      <c r="AI19" s="336"/>
      <c r="AJ19" s="336"/>
      <c r="AK19" s="336"/>
      <c r="AL19" s="336"/>
      <c r="AM19" s="337"/>
      <c r="AN19" s="97"/>
      <c r="AO19" s="378"/>
      <c r="AP19" s="379"/>
      <c r="AQ19" s="379"/>
      <c r="AR19" s="379"/>
      <c r="AS19" s="379"/>
      <c r="AT19" s="380"/>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row>
    <row r="20" spans="1:80" ht="15" customHeight="1" x14ac:dyDescent="0.25">
      <c r="A20" s="97"/>
      <c r="B20" s="364"/>
      <c r="C20" s="364"/>
      <c r="D20" s="365"/>
      <c r="E20" s="357"/>
      <c r="F20" s="358"/>
      <c r="G20" s="358"/>
      <c r="H20" s="358"/>
      <c r="I20" s="358"/>
      <c r="J20" s="326" t="str">
        <f>IF(AND('Mapa final'!$H$64="Alta",'Mapa final'!$L$64="Leve"),CONCATENATE("R",'Mapa final'!$A$64),"")</f>
        <v/>
      </c>
      <c r="K20" s="327"/>
      <c r="L20" s="327" t="str">
        <f>IF(AND('Mapa final'!$H$70="Alta",'Mapa final'!$L$70="Leve"),CONCATENATE("R",'Mapa final'!$A$70),"")</f>
        <v/>
      </c>
      <c r="M20" s="327"/>
      <c r="N20" s="327" t="str">
        <f>IF(AND('Mapa final'!$H$76="Alta",'Mapa final'!$L$76="Leve"),CONCATENATE("R",'Mapa final'!$A$76),"")</f>
        <v/>
      </c>
      <c r="O20" s="328"/>
      <c r="P20" s="326" t="str">
        <f>IF(AND('Mapa final'!$H$64="Alta",'Mapa final'!$L$64="Menor"),CONCATENATE("R",'Mapa final'!$A$64),"")</f>
        <v/>
      </c>
      <c r="Q20" s="327"/>
      <c r="R20" s="327" t="str">
        <f>IF(AND('Mapa final'!$H$70="Alta",'Mapa final'!$L$70="Menor"),CONCATENATE("R",'Mapa final'!$A$70),"")</f>
        <v/>
      </c>
      <c r="S20" s="327"/>
      <c r="T20" s="327" t="str">
        <f>IF(AND('Mapa final'!$H$76="Alta",'Mapa final'!$L$76="Menor"),CONCATENATE("R",'Mapa final'!$A$76),"")</f>
        <v/>
      </c>
      <c r="U20" s="328"/>
      <c r="V20" s="344" t="str">
        <f>IF(AND('Mapa final'!$H$64="Alta",'Mapa final'!$L$64="Moderado"),CONCATENATE("R",'Mapa final'!$A$64),"")</f>
        <v/>
      </c>
      <c r="W20" s="345"/>
      <c r="X20" s="345" t="str">
        <f>IF(AND('Mapa final'!$H$70="Alta",'Mapa final'!$L$70="Moderado"),CONCATENATE("R",'Mapa final'!$A$70),"")</f>
        <v/>
      </c>
      <c r="Y20" s="345"/>
      <c r="Z20" s="345" t="str">
        <f>IF(AND('Mapa final'!$H$76="Alta",'Mapa final'!$L$76="Moderado"),CONCATENATE("R",'Mapa final'!$A$76),"")</f>
        <v/>
      </c>
      <c r="AA20" s="346"/>
      <c r="AB20" s="344" t="str">
        <f>IF(AND('Mapa final'!$H$64="Alta",'Mapa final'!$L$64="Mayor"),CONCATENATE("R",'Mapa final'!$A$64),"")</f>
        <v/>
      </c>
      <c r="AC20" s="345"/>
      <c r="AD20" s="345" t="str">
        <f>IF(AND('Mapa final'!$H$70="Alta",'Mapa final'!$L$70="Mayor"),CONCATENATE("R",'Mapa final'!$A$70),"")</f>
        <v/>
      </c>
      <c r="AE20" s="345"/>
      <c r="AF20" s="345" t="str">
        <f>IF(AND('Mapa final'!$H$76="Alta",'Mapa final'!$L$76="Mayor"),CONCATENATE("R",'Mapa final'!$A$76),"")</f>
        <v/>
      </c>
      <c r="AG20" s="346"/>
      <c r="AH20" s="335" t="str">
        <f>IF(AND('Mapa final'!$H$64="Alta",'Mapa final'!$L$64="Catastrófico"),CONCATENATE("R",'Mapa final'!$A$64),"")</f>
        <v/>
      </c>
      <c r="AI20" s="336"/>
      <c r="AJ20" s="336" t="str">
        <f>IF(AND('Mapa final'!$H$70="Alta",'Mapa final'!$L$70="Catastrófico"),CONCATENATE("R",'Mapa final'!$A$70),"")</f>
        <v/>
      </c>
      <c r="AK20" s="336"/>
      <c r="AL20" s="336" t="str">
        <f>IF(AND('Mapa final'!$H$76="Alta",'Mapa final'!$L$76="Catastrófico"),CONCATENATE("R",'Mapa final'!$A$76),"")</f>
        <v/>
      </c>
      <c r="AM20" s="337"/>
      <c r="AN20" s="97"/>
      <c r="AO20" s="378"/>
      <c r="AP20" s="379"/>
      <c r="AQ20" s="379"/>
      <c r="AR20" s="379"/>
      <c r="AS20" s="379"/>
      <c r="AT20" s="380"/>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row>
    <row r="21" spans="1:80" ht="15.75" customHeight="1" thickBot="1" x14ac:dyDescent="0.3">
      <c r="A21" s="97"/>
      <c r="B21" s="364"/>
      <c r="C21" s="364"/>
      <c r="D21" s="365"/>
      <c r="E21" s="360"/>
      <c r="F21" s="361"/>
      <c r="G21" s="361"/>
      <c r="H21" s="361"/>
      <c r="I21" s="361"/>
      <c r="J21" s="329"/>
      <c r="K21" s="330"/>
      <c r="L21" s="330"/>
      <c r="M21" s="330"/>
      <c r="N21" s="330"/>
      <c r="O21" s="331"/>
      <c r="P21" s="329"/>
      <c r="Q21" s="330"/>
      <c r="R21" s="330"/>
      <c r="S21" s="330"/>
      <c r="T21" s="330"/>
      <c r="U21" s="331"/>
      <c r="V21" s="347"/>
      <c r="W21" s="348"/>
      <c r="X21" s="348"/>
      <c r="Y21" s="348"/>
      <c r="Z21" s="348"/>
      <c r="AA21" s="349"/>
      <c r="AB21" s="347"/>
      <c r="AC21" s="348"/>
      <c r="AD21" s="348"/>
      <c r="AE21" s="348"/>
      <c r="AF21" s="348"/>
      <c r="AG21" s="349"/>
      <c r="AH21" s="338"/>
      <c r="AI21" s="339"/>
      <c r="AJ21" s="339"/>
      <c r="AK21" s="339"/>
      <c r="AL21" s="339"/>
      <c r="AM21" s="340"/>
      <c r="AN21" s="97"/>
      <c r="AO21" s="381"/>
      <c r="AP21" s="382"/>
      <c r="AQ21" s="382"/>
      <c r="AR21" s="382"/>
      <c r="AS21" s="382"/>
      <c r="AT21" s="383"/>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row>
    <row r="22" spans="1:80" x14ac:dyDescent="0.25">
      <c r="A22" s="97"/>
      <c r="B22" s="364"/>
      <c r="C22" s="364"/>
      <c r="D22" s="365"/>
      <c r="E22" s="354" t="s">
        <v>187</v>
      </c>
      <c r="F22" s="355"/>
      <c r="G22" s="355"/>
      <c r="H22" s="355"/>
      <c r="I22" s="356"/>
      <c r="J22" s="332" t="str">
        <f>IF(AND('Mapa final'!$H$10="Media",'Mapa final'!$L$10="Leve"),CONCATENATE("R",'Mapa final'!$A$10),"")</f>
        <v/>
      </c>
      <c r="K22" s="333"/>
      <c r="L22" s="333" t="str">
        <f>IF(AND('Mapa final'!$H$16="Media",'Mapa final'!$L$16="Leve"),CONCATENATE("R",'Mapa final'!$A$16),"")</f>
        <v/>
      </c>
      <c r="M22" s="333"/>
      <c r="N22" s="333" t="str">
        <f>IF(AND('Mapa final'!$H$22="Media",'Mapa final'!$L$22="Leve"),CONCATENATE("R",'Mapa final'!$A$22),"")</f>
        <v/>
      </c>
      <c r="O22" s="334"/>
      <c r="P22" s="332" t="str">
        <f>IF(AND('Mapa final'!$H$10="Media",'Mapa final'!$L$10="Menor"),CONCATENATE("R",'Mapa final'!$A$10),"")</f>
        <v/>
      </c>
      <c r="Q22" s="333"/>
      <c r="R22" s="333" t="str">
        <f>IF(AND('Mapa final'!$H$16="Media",'Mapa final'!$L$16="Menor"),CONCATENATE("R",'Mapa final'!$A$16),"")</f>
        <v/>
      </c>
      <c r="S22" s="333"/>
      <c r="T22" s="333" t="str">
        <f>IF(AND('Mapa final'!$H$22="Media",'Mapa final'!$L$22="Menor"),CONCATENATE("R",'Mapa final'!$A$22),"")</f>
        <v/>
      </c>
      <c r="U22" s="334"/>
      <c r="V22" s="332" t="str">
        <f>IF(AND('Mapa final'!$H$10="Media",'Mapa final'!$L$10="Moderado"),CONCATENATE("R",'Mapa final'!$A$10),"")</f>
        <v/>
      </c>
      <c r="W22" s="333"/>
      <c r="X22" s="333" t="str">
        <f>IF(AND('Mapa final'!$H$16="Media",'Mapa final'!$L$16="Moderado"),CONCATENATE("R",'Mapa final'!$A$16),"")</f>
        <v/>
      </c>
      <c r="Y22" s="333"/>
      <c r="Z22" s="333" t="str">
        <f>IF(AND('Mapa final'!$H$22="Media",'Mapa final'!$L$22="Moderado"),CONCATENATE("R",'Mapa final'!$A$22),"")</f>
        <v/>
      </c>
      <c r="AA22" s="334"/>
      <c r="AB22" s="350" t="str">
        <f>IF(AND('Mapa final'!$H$10="Media",'Mapa final'!$L$10="Mayor"),CONCATENATE("R",'Mapa final'!$A$10),"")</f>
        <v/>
      </c>
      <c r="AC22" s="351"/>
      <c r="AD22" s="351" t="str">
        <f>IF(AND('Mapa final'!$H$16="Media",'Mapa final'!$L$16="Mayor"),CONCATENATE("R",'Mapa final'!$A$16),"")</f>
        <v/>
      </c>
      <c r="AE22" s="351"/>
      <c r="AF22" s="351" t="str">
        <f>IF(AND('Mapa final'!$H$22="Media",'Mapa final'!$L$22="Mayor"),CONCATENATE("R",'Mapa final'!$A$22),"")</f>
        <v/>
      </c>
      <c r="AG22" s="352"/>
      <c r="AH22" s="341" t="str">
        <f>IF(AND('Mapa final'!$H$10="Media",'Mapa final'!$L$10="Catastrófico"),CONCATENATE("R",'Mapa final'!$A$10),"")</f>
        <v/>
      </c>
      <c r="AI22" s="342"/>
      <c r="AJ22" s="342" t="str">
        <f>IF(AND('Mapa final'!$H$16="Media",'Mapa final'!$L$16="Catastrófico"),CONCATENATE("R",'Mapa final'!$A$16),"")</f>
        <v/>
      </c>
      <c r="AK22" s="342"/>
      <c r="AL22" s="342" t="str">
        <f>IF(AND('Mapa final'!$H$22="Media",'Mapa final'!$L$22="Catastrófico"),CONCATENATE("R",'Mapa final'!$A$22),"")</f>
        <v/>
      </c>
      <c r="AM22" s="343"/>
      <c r="AN22" s="97"/>
      <c r="AO22" s="384" t="s">
        <v>188</v>
      </c>
      <c r="AP22" s="385"/>
      <c r="AQ22" s="385"/>
      <c r="AR22" s="385"/>
      <c r="AS22" s="385"/>
      <c r="AT22" s="386"/>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row>
    <row r="23" spans="1:80" x14ac:dyDescent="0.25">
      <c r="A23" s="97"/>
      <c r="B23" s="364"/>
      <c r="C23" s="364"/>
      <c r="D23" s="365"/>
      <c r="E23" s="357"/>
      <c r="F23" s="358"/>
      <c r="G23" s="358"/>
      <c r="H23" s="358"/>
      <c r="I23" s="359"/>
      <c r="J23" s="326"/>
      <c r="K23" s="327"/>
      <c r="L23" s="327"/>
      <c r="M23" s="327"/>
      <c r="N23" s="327"/>
      <c r="O23" s="328"/>
      <c r="P23" s="326"/>
      <c r="Q23" s="327"/>
      <c r="R23" s="327"/>
      <c r="S23" s="327"/>
      <c r="T23" s="327"/>
      <c r="U23" s="328"/>
      <c r="V23" s="326"/>
      <c r="W23" s="327"/>
      <c r="X23" s="327"/>
      <c r="Y23" s="327"/>
      <c r="Z23" s="327"/>
      <c r="AA23" s="328"/>
      <c r="AB23" s="344"/>
      <c r="AC23" s="345"/>
      <c r="AD23" s="345"/>
      <c r="AE23" s="345"/>
      <c r="AF23" s="345"/>
      <c r="AG23" s="346"/>
      <c r="AH23" s="335"/>
      <c r="AI23" s="336"/>
      <c r="AJ23" s="336"/>
      <c r="AK23" s="336"/>
      <c r="AL23" s="336"/>
      <c r="AM23" s="337"/>
      <c r="AN23" s="97"/>
      <c r="AO23" s="387"/>
      <c r="AP23" s="388"/>
      <c r="AQ23" s="388"/>
      <c r="AR23" s="388"/>
      <c r="AS23" s="388"/>
      <c r="AT23" s="389"/>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row>
    <row r="24" spans="1:80" x14ac:dyDescent="0.25">
      <c r="A24" s="97"/>
      <c r="B24" s="364"/>
      <c r="C24" s="364"/>
      <c r="D24" s="365"/>
      <c r="E24" s="357"/>
      <c r="F24" s="358"/>
      <c r="G24" s="358"/>
      <c r="H24" s="358"/>
      <c r="I24" s="359"/>
      <c r="J24" s="326" t="str">
        <f>IF(AND('Mapa final'!$H$28="Media",'Mapa final'!$L$28="Leve"),CONCATENATE("R",'Mapa final'!$A$28),"")</f>
        <v/>
      </c>
      <c r="K24" s="327"/>
      <c r="L24" s="327" t="str">
        <f>IF(AND('Mapa final'!$H$34="Media",'Mapa final'!$L$34="Leve"),CONCATENATE("R",'Mapa final'!$A$34),"")</f>
        <v/>
      </c>
      <c r="M24" s="327"/>
      <c r="N24" s="327" t="str">
        <f>IF(AND('Mapa final'!$H$40="Media",'Mapa final'!$L$40="Leve"),CONCATENATE("R",'Mapa final'!$A$40),"")</f>
        <v/>
      </c>
      <c r="O24" s="328"/>
      <c r="P24" s="326" t="str">
        <f>IF(AND('Mapa final'!$H$28="Media",'Mapa final'!$L$28="Menor"),CONCATENATE("R",'Mapa final'!$A$28),"")</f>
        <v/>
      </c>
      <c r="Q24" s="327"/>
      <c r="R24" s="327" t="str">
        <f>IF(AND('Mapa final'!$H$34="Media",'Mapa final'!$L$34="Menor"),CONCATENATE("R",'Mapa final'!$A$34),"")</f>
        <v/>
      </c>
      <c r="S24" s="327"/>
      <c r="T24" s="327" t="str">
        <f>IF(AND('Mapa final'!$H$40="Media",'Mapa final'!$L$40="Menor"),CONCATENATE("R",'Mapa final'!$A$40),"")</f>
        <v/>
      </c>
      <c r="U24" s="328"/>
      <c r="V24" s="326" t="str">
        <f>IF(AND('Mapa final'!$H$28="Media",'Mapa final'!$L$28="Moderado"),CONCATENATE("R",'Mapa final'!$A$28),"")</f>
        <v/>
      </c>
      <c r="W24" s="327"/>
      <c r="X24" s="327" t="str">
        <f>IF(AND('Mapa final'!$H$34="Media",'Mapa final'!$L$34="Moderado"),CONCATENATE("R",'Mapa final'!$A$34),"")</f>
        <v/>
      </c>
      <c r="Y24" s="327"/>
      <c r="Z24" s="327" t="str">
        <f>IF(AND('Mapa final'!$H$40="Media",'Mapa final'!$L$40="Moderado"),CONCATENATE("R",'Mapa final'!$A$40),"")</f>
        <v/>
      </c>
      <c r="AA24" s="328"/>
      <c r="AB24" s="344" t="str">
        <f>IF(AND('Mapa final'!$H$28="Media",'Mapa final'!$L$28="Mayor"),CONCATENATE("R",'Mapa final'!$A$28),"")</f>
        <v/>
      </c>
      <c r="AC24" s="345"/>
      <c r="AD24" s="345" t="str">
        <f>IF(AND('Mapa final'!$H$34="Media",'Mapa final'!$L$34="Mayor"),CONCATENATE("R",'Mapa final'!$A$34),"")</f>
        <v/>
      </c>
      <c r="AE24" s="345"/>
      <c r="AF24" s="345" t="str">
        <f>IF(AND('Mapa final'!$H$40="Media",'Mapa final'!$L$40="Mayor"),CONCATENATE("R",'Mapa final'!$A$40),"")</f>
        <v/>
      </c>
      <c r="AG24" s="346"/>
      <c r="AH24" s="335" t="str">
        <f>IF(AND('Mapa final'!$H$28="Media",'Mapa final'!$L$28="Catastrófico"),CONCATENATE("R",'Mapa final'!$A$28),"")</f>
        <v/>
      </c>
      <c r="AI24" s="336"/>
      <c r="AJ24" s="336" t="str">
        <f>IF(AND('Mapa final'!$H$34="Media",'Mapa final'!$L$34="Catastrófico"),CONCATENATE("R",'Mapa final'!$A$34),"")</f>
        <v/>
      </c>
      <c r="AK24" s="336"/>
      <c r="AL24" s="336" t="str">
        <f>IF(AND('Mapa final'!$H$40="Media",'Mapa final'!$L$40="Catastrófico"),CONCATENATE("R",'Mapa final'!$A$40),"")</f>
        <v/>
      </c>
      <c r="AM24" s="337"/>
      <c r="AN24" s="97"/>
      <c r="AO24" s="387"/>
      <c r="AP24" s="388"/>
      <c r="AQ24" s="388"/>
      <c r="AR24" s="388"/>
      <c r="AS24" s="388"/>
      <c r="AT24" s="389"/>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row>
    <row r="25" spans="1:80" x14ac:dyDescent="0.25">
      <c r="A25" s="97"/>
      <c r="B25" s="364"/>
      <c r="C25" s="364"/>
      <c r="D25" s="365"/>
      <c r="E25" s="357"/>
      <c r="F25" s="358"/>
      <c r="G25" s="358"/>
      <c r="H25" s="358"/>
      <c r="I25" s="359"/>
      <c r="J25" s="326"/>
      <c r="K25" s="327"/>
      <c r="L25" s="327"/>
      <c r="M25" s="327"/>
      <c r="N25" s="327"/>
      <c r="O25" s="328"/>
      <c r="P25" s="326"/>
      <c r="Q25" s="327"/>
      <c r="R25" s="327"/>
      <c r="S25" s="327"/>
      <c r="T25" s="327"/>
      <c r="U25" s="328"/>
      <c r="V25" s="326"/>
      <c r="W25" s="327"/>
      <c r="X25" s="327"/>
      <c r="Y25" s="327"/>
      <c r="Z25" s="327"/>
      <c r="AA25" s="328"/>
      <c r="AB25" s="344"/>
      <c r="AC25" s="345"/>
      <c r="AD25" s="345"/>
      <c r="AE25" s="345"/>
      <c r="AF25" s="345"/>
      <c r="AG25" s="346"/>
      <c r="AH25" s="335"/>
      <c r="AI25" s="336"/>
      <c r="AJ25" s="336"/>
      <c r="AK25" s="336"/>
      <c r="AL25" s="336"/>
      <c r="AM25" s="337"/>
      <c r="AN25" s="97"/>
      <c r="AO25" s="387"/>
      <c r="AP25" s="388"/>
      <c r="AQ25" s="388"/>
      <c r="AR25" s="388"/>
      <c r="AS25" s="388"/>
      <c r="AT25" s="389"/>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row>
    <row r="26" spans="1:80" x14ac:dyDescent="0.25">
      <c r="A26" s="97"/>
      <c r="B26" s="364"/>
      <c r="C26" s="364"/>
      <c r="D26" s="365"/>
      <c r="E26" s="357"/>
      <c r="F26" s="358"/>
      <c r="G26" s="358"/>
      <c r="H26" s="358"/>
      <c r="I26" s="359"/>
      <c r="J26" s="326" t="str">
        <f>IF(AND('Mapa final'!$H$46="Media",'Mapa final'!$L$46="Leve"),CONCATENATE("R",'Mapa final'!$A$46),"")</f>
        <v/>
      </c>
      <c r="K26" s="327"/>
      <c r="L26" s="327" t="str">
        <f>IF(AND('Mapa final'!$H$52="Media",'Mapa final'!$L$52="Leve"),CONCATENATE("R",'Mapa final'!$A$52),"")</f>
        <v/>
      </c>
      <c r="M26" s="327"/>
      <c r="N26" s="327" t="str">
        <f>IF(AND('Mapa final'!$H$58="Media",'Mapa final'!$L$58="Leve"),CONCATENATE("R",'Mapa final'!$A$58),"")</f>
        <v/>
      </c>
      <c r="O26" s="328"/>
      <c r="P26" s="326" t="str">
        <f>IF(AND('Mapa final'!$H$46="Media",'Mapa final'!$L$46="Menor"),CONCATENATE("R",'Mapa final'!$A$46),"")</f>
        <v/>
      </c>
      <c r="Q26" s="327"/>
      <c r="R26" s="327" t="str">
        <f>IF(AND('Mapa final'!$H$52="Media",'Mapa final'!$L$52="Menor"),CONCATENATE("R",'Mapa final'!$A$52),"")</f>
        <v/>
      </c>
      <c r="S26" s="327"/>
      <c r="T26" s="327" t="str">
        <f>IF(AND('Mapa final'!$H$58="Media",'Mapa final'!$L$58="Menor"),CONCATENATE("R",'Mapa final'!$A$58),"")</f>
        <v/>
      </c>
      <c r="U26" s="328"/>
      <c r="V26" s="326" t="str">
        <f>IF(AND('Mapa final'!$H$46="Media",'Mapa final'!$L$46="Moderado"),CONCATENATE("R",'Mapa final'!$A$46),"")</f>
        <v/>
      </c>
      <c r="W26" s="327"/>
      <c r="X26" s="327" t="str">
        <f>IF(AND('Mapa final'!$H$52="Media",'Mapa final'!$L$52="Moderado"),CONCATENATE("R",'Mapa final'!$A$52),"")</f>
        <v/>
      </c>
      <c r="Y26" s="327"/>
      <c r="Z26" s="327" t="str">
        <f>IF(AND('Mapa final'!$H$58="Media",'Mapa final'!$L$58="Moderado"),CONCATENATE("R",'Mapa final'!$A$58),"")</f>
        <v/>
      </c>
      <c r="AA26" s="328"/>
      <c r="AB26" s="344" t="str">
        <f>IF(AND('Mapa final'!$H$46="Media",'Mapa final'!$L$46="Mayor"),CONCATENATE("R",'Mapa final'!$A$46),"")</f>
        <v/>
      </c>
      <c r="AC26" s="345"/>
      <c r="AD26" s="345" t="str">
        <f>IF(AND('Mapa final'!$H$52="Media",'Mapa final'!$L$52="Mayor"),CONCATENATE("R",'Mapa final'!$A$52),"")</f>
        <v/>
      </c>
      <c r="AE26" s="345"/>
      <c r="AF26" s="345" t="str">
        <f>IF(AND('Mapa final'!$H$58="Media",'Mapa final'!$L$58="Mayor"),CONCATENATE("R",'Mapa final'!$A$58),"")</f>
        <v/>
      </c>
      <c r="AG26" s="346"/>
      <c r="AH26" s="335" t="str">
        <f>IF(AND('Mapa final'!$H$46="Media",'Mapa final'!$L$46="Catastrófico"),CONCATENATE("R",'Mapa final'!$A$46),"")</f>
        <v/>
      </c>
      <c r="AI26" s="336"/>
      <c r="AJ26" s="336" t="str">
        <f>IF(AND('Mapa final'!$H$52="Media",'Mapa final'!$L$52="Catastrófico"),CONCATENATE("R",'Mapa final'!$A$52),"")</f>
        <v/>
      </c>
      <c r="AK26" s="336"/>
      <c r="AL26" s="336" t="str">
        <f>IF(AND('Mapa final'!$H$58="Media",'Mapa final'!$L$58="Catastrófico"),CONCATENATE("R",'Mapa final'!$A$58),"")</f>
        <v/>
      </c>
      <c r="AM26" s="337"/>
      <c r="AN26" s="97"/>
      <c r="AO26" s="387"/>
      <c r="AP26" s="388"/>
      <c r="AQ26" s="388"/>
      <c r="AR26" s="388"/>
      <c r="AS26" s="388"/>
      <c r="AT26" s="389"/>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row>
    <row r="27" spans="1:80" x14ac:dyDescent="0.25">
      <c r="A27" s="97"/>
      <c r="B27" s="364"/>
      <c r="C27" s="364"/>
      <c r="D27" s="365"/>
      <c r="E27" s="357"/>
      <c r="F27" s="358"/>
      <c r="G27" s="358"/>
      <c r="H27" s="358"/>
      <c r="I27" s="359"/>
      <c r="J27" s="326"/>
      <c r="K27" s="327"/>
      <c r="L27" s="327"/>
      <c r="M27" s="327"/>
      <c r="N27" s="327"/>
      <c r="O27" s="328"/>
      <c r="P27" s="326"/>
      <c r="Q27" s="327"/>
      <c r="R27" s="327"/>
      <c r="S27" s="327"/>
      <c r="T27" s="327"/>
      <c r="U27" s="328"/>
      <c r="V27" s="326"/>
      <c r="W27" s="327"/>
      <c r="X27" s="327"/>
      <c r="Y27" s="327"/>
      <c r="Z27" s="327"/>
      <c r="AA27" s="328"/>
      <c r="AB27" s="344"/>
      <c r="AC27" s="345"/>
      <c r="AD27" s="345"/>
      <c r="AE27" s="345"/>
      <c r="AF27" s="345"/>
      <c r="AG27" s="346"/>
      <c r="AH27" s="335"/>
      <c r="AI27" s="336"/>
      <c r="AJ27" s="336"/>
      <c r="AK27" s="336"/>
      <c r="AL27" s="336"/>
      <c r="AM27" s="337"/>
      <c r="AN27" s="97"/>
      <c r="AO27" s="387"/>
      <c r="AP27" s="388"/>
      <c r="AQ27" s="388"/>
      <c r="AR27" s="388"/>
      <c r="AS27" s="388"/>
      <c r="AT27" s="389"/>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row>
    <row r="28" spans="1:80" x14ac:dyDescent="0.25">
      <c r="A28" s="97"/>
      <c r="B28" s="364"/>
      <c r="C28" s="364"/>
      <c r="D28" s="365"/>
      <c r="E28" s="357"/>
      <c r="F28" s="358"/>
      <c r="G28" s="358"/>
      <c r="H28" s="358"/>
      <c r="I28" s="359"/>
      <c r="J28" s="326" t="str">
        <f>IF(AND('Mapa final'!$H$64="Media",'Mapa final'!$L$64="Leve"),CONCATENATE("R",'Mapa final'!$A$64),"")</f>
        <v/>
      </c>
      <c r="K28" s="327"/>
      <c r="L28" s="327" t="str">
        <f>IF(AND('Mapa final'!$H$70="Media",'Mapa final'!$L$70="Leve"),CONCATENATE("R",'Mapa final'!$A$70),"")</f>
        <v/>
      </c>
      <c r="M28" s="327"/>
      <c r="N28" s="327" t="str">
        <f>IF(AND('Mapa final'!$H$76="Media",'Mapa final'!$L$76="Leve"),CONCATENATE("R",'Mapa final'!$A$76),"")</f>
        <v/>
      </c>
      <c r="O28" s="328"/>
      <c r="P28" s="326" t="str">
        <f>IF(AND('Mapa final'!$H$64="Media",'Mapa final'!$L$64="Menor"),CONCATENATE("R",'Mapa final'!$A$64),"")</f>
        <v/>
      </c>
      <c r="Q28" s="327"/>
      <c r="R28" s="327" t="str">
        <f>IF(AND('Mapa final'!$H$70="Media",'Mapa final'!$L$70="Menor"),CONCATENATE("R",'Mapa final'!$A$70),"")</f>
        <v/>
      </c>
      <c r="S28" s="327"/>
      <c r="T28" s="327" t="str">
        <f>IF(AND('Mapa final'!$H$76="Media",'Mapa final'!$L$76="Menor"),CONCATENATE("R",'Mapa final'!$A$76),"")</f>
        <v/>
      </c>
      <c r="U28" s="328"/>
      <c r="V28" s="326" t="str">
        <f>IF(AND('Mapa final'!$H$64="Media",'Mapa final'!$L$64="Moderado"),CONCATENATE("R",'Mapa final'!$A$64),"")</f>
        <v/>
      </c>
      <c r="W28" s="327"/>
      <c r="X28" s="327" t="str">
        <f>IF(AND('Mapa final'!$H$70="Media",'Mapa final'!$L$70="Moderado"),CONCATENATE("R",'Mapa final'!$A$70),"")</f>
        <v/>
      </c>
      <c r="Y28" s="327"/>
      <c r="Z28" s="327" t="str">
        <f>IF(AND('Mapa final'!$H$76="Media",'Mapa final'!$L$76="Moderado"),CONCATENATE("R",'Mapa final'!$A$76),"")</f>
        <v/>
      </c>
      <c r="AA28" s="328"/>
      <c r="AB28" s="344" t="str">
        <f>IF(AND('Mapa final'!$H$64="Media",'Mapa final'!$L$64="Mayor"),CONCATENATE("R",'Mapa final'!$A$64),"")</f>
        <v/>
      </c>
      <c r="AC28" s="345"/>
      <c r="AD28" s="345" t="str">
        <f>IF(AND('Mapa final'!$H$70="Media",'Mapa final'!$L$70="Mayor"),CONCATENATE("R",'Mapa final'!$A$70),"")</f>
        <v/>
      </c>
      <c r="AE28" s="345"/>
      <c r="AF28" s="345" t="str">
        <f>IF(AND('Mapa final'!$H$76="Media",'Mapa final'!$L$76="Mayor"),CONCATENATE("R",'Mapa final'!$A$76),"")</f>
        <v/>
      </c>
      <c r="AG28" s="346"/>
      <c r="AH28" s="335" t="str">
        <f>IF(AND('Mapa final'!$H$64="Media",'Mapa final'!$L$64="Catastrófico"),CONCATENATE("R",'Mapa final'!$A$64),"")</f>
        <v/>
      </c>
      <c r="AI28" s="336"/>
      <c r="AJ28" s="336" t="str">
        <f>IF(AND('Mapa final'!$H$70="Media",'Mapa final'!$L$70="Catastrófico"),CONCATENATE("R",'Mapa final'!$A$70),"")</f>
        <v/>
      </c>
      <c r="AK28" s="336"/>
      <c r="AL28" s="336" t="str">
        <f>IF(AND('Mapa final'!$H$76="Media",'Mapa final'!$L$76="Catastrófico"),CONCATENATE("R",'Mapa final'!$A$76),"")</f>
        <v/>
      </c>
      <c r="AM28" s="337"/>
      <c r="AN28" s="97"/>
      <c r="AO28" s="387"/>
      <c r="AP28" s="388"/>
      <c r="AQ28" s="388"/>
      <c r="AR28" s="388"/>
      <c r="AS28" s="388"/>
      <c r="AT28" s="389"/>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row>
    <row r="29" spans="1:80" ht="15.75" thickBot="1" x14ac:dyDescent="0.3">
      <c r="A29" s="97"/>
      <c r="B29" s="364"/>
      <c r="C29" s="364"/>
      <c r="D29" s="365"/>
      <c r="E29" s="360"/>
      <c r="F29" s="361"/>
      <c r="G29" s="361"/>
      <c r="H29" s="361"/>
      <c r="I29" s="362"/>
      <c r="J29" s="326"/>
      <c r="K29" s="327"/>
      <c r="L29" s="327"/>
      <c r="M29" s="327"/>
      <c r="N29" s="327"/>
      <c r="O29" s="328"/>
      <c r="P29" s="329"/>
      <c r="Q29" s="330"/>
      <c r="R29" s="330"/>
      <c r="S29" s="330"/>
      <c r="T29" s="330"/>
      <c r="U29" s="331"/>
      <c r="V29" s="329"/>
      <c r="W29" s="330"/>
      <c r="X29" s="330"/>
      <c r="Y29" s="330"/>
      <c r="Z29" s="330"/>
      <c r="AA29" s="331"/>
      <c r="AB29" s="347"/>
      <c r="AC29" s="348"/>
      <c r="AD29" s="348"/>
      <c r="AE29" s="348"/>
      <c r="AF29" s="348"/>
      <c r="AG29" s="349"/>
      <c r="AH29" s="338"/>
      <c r="AI29" s="339"/>
      <c r="AJ29" s="339"/>
      <c r="AK29" s="339"/>
      <c r="AL29" s="339"/>
      <c r="AM29" s="340"/>
      <c r="AN29" s="97"/>
      <c r="AO29" s="390"/>
      <c r="AP29" s="391"/>
      <c r="AQ29" s="391"/>
      <c r="AR29" s="391"/>
      <c r="AS29" s="391"/>
      <c r="AT29" s="392"/>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row>
    <row r="30" spans="1:80" x14ac:dyDescent="0.25">
      <c r="A30" s="97"/>
      <c r="B30" s="364"/>
      <c r="C30" s="364"/>
      <c r="D30" s="365"/>
      <c r="E30" s="354" t="s">
        <v>189</v>
      </c>
      <c r="F30" s="355"/>
      <c r="G30" s="355"/>
      <c r="H30" s="355"/>
      <c r="I30" s="355"/>
      <c r="J30" s="323" t="str">
        <f>IF(AND('Mapa final'!$H$10="Baja",'Mapa final'!$L$10="Leve"),CONCATENATE("R",'Mapa final'!$A$10),"")</f>
        <v/>
      </c>
      <c r="K30" s="324"/>
      <c r="L30" s="324" t="str">
        <f>IF(AND('Mapa final'!$H$16="Baja",'Mapa final'!$L$16="Leve"),CONCATENATE("R",'Mapa final'!$A$16),"")</f>
        <v/>
      </c>
      <c r="M30" s="324"/>
      <c r="N30" s="324" t="str">
        <f>IF(AND('Mapa final'!$H$22="Baja",'Mapa final'!$L$22="Leve"),CONCATENATE("R",'Mapa final'!$A$22),"")</f>
        <v/>
      </c>
      <c r="O30" s="325"/>
      <c r="P30" s="333" t="str">
        <f>IF(AND('Mapa final'!$H$10="Baja",'Mapa final'!$L$10="Menor"),CONCATENATE("R",'Mapa final'!$A$10),"")</f>
        <v/>
      </c>
      <c r="Q30" s="333"/>
      <c r="R30" s="333" t="str">
        <f>IF(AND('Mapa final'!$H$16="Baja",'Mapa final'!$L$16="Menor"),CONCATENATE("R",'Mapa final'!$A$16),"")</f>
        <v/>
      </c>
      <c r="S30" s="333"/>
      <c r="T30" s="333" t="str">
        <f>IF(AND('Mapa final'!$H$22="Baja",'Mapa final'!$L$22="Menor"),CONCATENATE("R",'Mapa final'!$A$22),"")</f>
        <v/>
      </c>
      <c r="U30" s="334"/>
      <c r="V30" s="332" t="str">
        <f>IF(AND('Mapa final'!$H$10="Baja",'Mapa final'!$L$10="Moderado"),CONCATENATE("R",'Mapa final'!$A$10),"")</f>
        <v>R1</v>
      </c>
      <c r="W30" s="333"/>
      <c r="X30" s="333" t="str">
        <f>IF(AND('Mapa final'!$H$16="Baja",'Mapa final'!$L$16="Moderado"),CONCATENATE("R",'Mapa final'!$A$16),"")</f>
        <v>R2</v>
      </c>
      <c r="Y30" s="333"/>
      <c r="Z30" s="333" t="str">
        <f>IF(AND('Mapa final'!$H$22="Baja",'Mapa final'!$L$22="Moderado"),CONCATENATE("R",'Mapa final'!$A$22),"")</f>
        <v/>
      </c>
      <c r="AA30" s="334"/>
      <c r="AB30" s="350" t="str">
        <f>IF(AND('Mapa final'!$H$10="Baja",'Mapa final'!$L$10="Mayor"),CONCATENATE("R",'Mapa final'!$A$10),"")</f>
        <v/>
      </c>
      <c r="AC30" s="351"/>
      <c r="AD30" s="351" t="str">
        <f>IF(AND('Mapa final'!$H$16="Baja",'Mapa final'!$L$16="Mayor"),CONCATENATE("R",'Mapa final'!$A$16),"")</f>
        <v/>
      </c>
      <c r="AE30" s="351"/>
      <c r="AF30" s="351" t="str">
        <f>IF(AND('Mapa final'!$H$22="Baja",'Mapa final'!$L$22="Mayor"),CONCATENATE("R",'Mapa final'!$A$22),"")</f>
        <v>R3</v>
      </c>
      <c r="AG30" s="352"/>
      <c r="AH30" s="341" t="str">
        <f>IF(AND('Mapa final'!$H$10="Baja",'Mapa final'!$L$10="Catastrófico"),CONCATENATE("R",'Mapa final'!$A$10),"")</f>
        <v/>
      </c>
      <c r="AI30" s="342"/>
      <c r="AJ30" s="342" t="str">
        <f>IF(AND('Mapa final'!$H$16="Baja",'Mapa final'!$L$16="Catastrófico"),CONCATENATE("R",'Mapa final'!$A$16),"")</f>
        <v/>
      </c>
      <c r="AK30" s="342"/>
      <c r="AL30" s="342" t="str">
        <f>IF(AND('Mapa final'!$H$22="Baja",'Mapa final'!$L$22="Catastrófico"),CONCATENATE("R",'Mapa final'!$A$22),"")</f>
        <v/>
      </c>
      <c r="AM30" s="343"/>
      <c r="AN30" s="97"/>
      <c r="AO30" s="393" t="s">
        <v>190</v>
      </c>
      <c r="AP30" s="394"/>
      <c r="AQ30" s="394"/>
      <c r="AR30" s="394"/>
      <c r="AS30" s="394"/>
      <c r="AT30" s="395"/>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row>
    <row r="31" spans="1:80" x14ac:dyDescent="0.25">
      <c r="A31" s="97"/>
      <c r="B31" s="364"/>
      <c r="C31" s="364"/>
      <c r="D31" s="365"/>
      <c r="E31" s="357"/>
      <c r="F31" s="358"/>
      <c r="G31" s="358"/>
      <c r="H31" s="358"/>
      <c r="I31" s="358"/>
      <c r="J31" s="317"/>
      <c r="K31" s="318"/>
      <c r="L31" s="318"/>
      <c r="M31" s="318"/>
      <c r="N31" s="318"/>
      <c r="O31" s="319"/>
      <c r="P31" s="327"/>
      <c r="Q31" s="327"/>
      <c r="R31" s="327"/>
      <c r="S31" s="327"/>
      <c r="T31" s="327"/>
      <c r="U31" s="328"/>
      <c r="V31" s="326"/>
      <c r="W31" s="327"/>
      <c r="X31" s="327"/>
      <c r="Y31" s="327"/>
      <c r="Z31" s="327"/>
      <c r="AA31" s="328"/>
      <c r="AB31" s="344"/>
      <c r="AC31" s="345"/>
      <c r="AD31" s="345"/>
      <c r="AE31" s="345"/>
      <c r="AF31" s="345"/>
      <c r="AG31" s="346"/>
      <c r="AH31" s="335"/>
      <c r="AI31" s="336"/>
      <c r="AJ31" s="336"/>
      <c r="AK31" s="336"/>
      <c r="AL31" s="336"/>
      <c r="AM31" s="337"/>
      <c r="AN31" s="97"/>
      <c r="AO31" s="396"/>
      <c r="AP31" s="397"/>
      <c r="AQ31" s="397"/>
      <c r="AR31" s="397"/>
      <c r="AS31" s="397"/>
      <c r="AT31" s="398"/>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row>
    <row r="32" spans="1:80" x14ac:dyDescent="0.25">
      <c r="A32" s="97"/>
      <c r="B32" s="364"/>
      <c r="C32" s="364"/>
      <c r="D32" s="365"/>
      <c r="E32" s="357"/>
      <c r="F32" s="358"/>
      <c r="G32" s="358"/>
      <c r="H32" s="358"/>
      <c r="I32" s="358"/>
      <c r="J32" s="317" t="str">
        <f>IF(AND('Mapa final'!$H$28="Baja",'Mapa final'!$L$28="Leve"),CONCATENATE("R",'Mapa final'!$A$28),"")</f>
        <v/>
      </c>
      <c r="K32" s="318"/>
      <c r="L32" s="318" t="str">
        <f>IF(AND('Mapa final'!$H$34="Baja",'Mapa final'!$L$34="Leve"),CONCATENATE("R",'Mapa final'!$A$34),"")</f>
        <v/>
      </c>
      <c r="M32" s="318"/>
      <c r="N32" s="318" t="str">
        <f>IF(AND('Mapa final'!$H$40="Baja",'Mapa final'!$L$40="Leve"),CONCATENATE("R",'Mapa final'!$A$40),"")</f>
        <v/>
      </c>
      <c r="O32" s="319"/>
      <c r="P32" s="327" t="str">
        <f>IF(AND('Mapa final'!$H$28="Baja",'Mapa final'!$L$28="Menor"),CONCATENATE("R",'Mapa final'!$A$28),"")</f>
        <v/>
      </c>
      <c r="Q32" s="327"/>
      <c r="R32" s="327" t="str">
        <f>IF(AND('Mapa final'!$H$34="Baja",'Mapa final'!$L$34="Menor"),CONCATENATE("R",'Mapa final'!$A$34),"")</f>
        <v/>
      </c>
      <c r="S32" s="327"/>
      <c r="T32" s="327" t="str">
        <f>IF(AND('Mapa final'!$H$40="Baja",'Mapa final'!$L$40="Menor"),CONCATENATE("R",'Mapa final'!$A$40),"")</f>
        <v/>
      </c>
      <c r="U32" s="328"/>
      <c r="V32" s="326" t="str">
        <f>IF(AND('Mapa final'!$H$28="Baja",'Mapa final'!$L$28="Moderado"),CONCATENATE("R",'Mapa final'!$A$28),"")</f>
        <v/>
      </c>
      <c r="W32" s="327"/>
      <c r="X32" s="327" t="str">
        <f>IF(AND('Mapa final'!$H$34="Baja",'Mapa final'!$L$34="Moderado"),CONCATENATE("R",'Mapa final'!$A$34),"")</f>
        <v/>
      </c>
      <c r="Y32" s="327"/>
      <c r="Z32" s="327" t="str">
        <f>IF(AND('Mapa final'!$H$40="Baja",'Mapa final'!$L$40="Moderado"),CONCATENATE("R",'Mapa final'!$A$40),"")</f>
        <v/>
      </c>
      <c r="AA32" s="328"/>
      <c r="AB32" s="344" t="str">
        <f>IF(AND('Mapa final'!$H$28="Baja",'Mapa final'!$L$28="Mayor"),CONCATENATE("R",'Mapa final'!$A$28),"")</f>
        <v/>
      </c>
      <c r="AC32" s="345"/>
      <c r="AD32" s="345" t="str">
        <f>IF(AND('Mapa final'!$H$34="Baja",'Mapa final'!$L$34="Mayor"),CONCATENATE("R",'Mapa final'!$A$34),"")</f>
        <v/>
      </c>
      <c r="AE32" s="345"/>
      <c r="AF32" s="345" t="str">
        <f>IF(AND('Mapa final'!$H$40="Baja",'Mapa final'!$L$40="Mayor"),CONCATENATE("R",'Mapa final'!$A$40),"")</f>
        <v/>
      </c>
      <c r="AG32" s="346"/>
      <c r="AH32" s="335" t="str">
        <f>IF(AND('Mapa final'!$H$28="Baja",'Mapa final'!$L$28="Catastrófico"),CONCATENATE("R",'Mapa final'!$A$28),"")</f>
        <v/>
      </c>
      <c r="AI32" s="336"/>
      <c r="AJ32" s="336" t="str">
        <f>IF(AND('Mapa final'!$H$34="Baja",'Mapa final'!$L$34="Catastrófico"),CONCATENATE("R",'Mapa final'!$A$34),"")</f>
        <v/>
      </c>
      <c r="AK32" s="336"/>
      <c r="AL32" s="336" t="str">
        <f>IF(AND('Mapa final'!$H$40="Baja",'Mapa final'!$L$40="Catastrófico"),CONCATENATE("R",'Mapa final'!$A$40),"")</f>
        <v/>
      </c>
      <c r="AM32" s="337"/>
      <c r="AN32" s="97"/>
      <c r="AO32" s="396"/>
      <c r="AP32" s="397"/>
      <c r="AQ32" s="397"/>
      <c r="AR32" s="397"/>
      <c r="AS32" s="397"/>
      <c r="AT32" s="398"/>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row>
    <row r="33" spans="1:80" x14ac:dyDescent="0.25">
      <c r="A33" s="97"/>
      <c r="B33" s="364"/>
      <c r="C33" s="364"/>
      <c r="D33" s="365"/>
      <c r="E33" s="357"/>
      <c r="F33" s="358"/>
      <c r="G33" s="358"/>
      <c r="H33" s="358"/>
      <c r="I33" s="358"/>
      <c r="J33" s="317"/>
      <c r="K33" s="318"/>
      <c r="L33" s="318"/>
      <c r="M33" s="318"/>
      <c r="N33" s="318"/>
      <c r="O33" s="319"/>
      <c r="P33" s="327"/>
      <c r="Q33" s="327"/>
      <c r="R33" s="327"/>
      <c r="S33" s="327"/>
      <c r="T33" s="327"/>
      <c r="U33" s="328"/>
      <c r="V33" s="326"/>
      <c r="W33" s="327"/>
      <c r="X33" s="327"/>
      <c r="Y33" s="327"/>
      <c r="Z33" s="327"/>
      <c r="AA33" s="328"/>
      <c r="AB33" s="344"/>
      <c r="AC33" s="345"/>
      <c r="AD33" s="345"/>
      <c r="AE33" s="345"/>
      <c r="AF33" s="345"/>
      <c r="AG33" s="346"/>
      <c r="AH33" s="335"/>
      <c r="AI33" s="336"/>
      <c r="AJ33" s="336"/>
      <c r="AK33" s="336"/>
      <c r="AL33" s="336"/>
      <c r="AM33" s="337"/>
      <c r="AN33" s="97"/>
      <c r="AO33" s="396"/>
      <c r="AP33" s="397"/>
      <c r="AQ33" s="397"/>
      <c r="AR33" s="397"/>
      <c r="AS33" s="397"/>
      <c r="AT33" s="398"/>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row>
    <row r="34" spans="1:80" x14ac:dyDescent="0.25">
      <c r="A34" s="97"/>
      <c r="B34" s="364"/>
      <c r="C34" s="364"/>
      <c r="D34" s="365"/>
      <c r="E34" s="357"/>
      <c r="F34" s="358"/>
      <c r="G34" s="358"/>
      <c r="H34" s="358"/>
      <c r="I34" s="358"/>
      <c r="J34" s="317" t="str">
        <f>IF(AND('Mapa final'!$H$46="Baja",'Mapa final'!$L$46="Leve"),CONCATENATE("R",'Mapa final'!$A$46),"")</f>
        <v/>
      </c>
      <c r="K34" s="318"/>
      <c r="L34" s="318" t="str">
        <f>IF(AND('Mapa final'!$H$52="Baja",'Mapa final'!$L$52="Leve"),CONCATENATE("R",'Mapa final'!$A$52),"")</f>
        <v/>
      </c>
      <c r="M34" s="318"/>
      <c r="N34" s="318" t="str">
        <f>IF(AND('Mapa final'!$H$58="Baja",'Mapa final'!$L$58="Leve"),CONCATENATE("R",'Mapa final'!$A$58),"")</f>
        <v/>
      </c>
      <c r="O34" s="319"/>
      <c r="P34" s="327" t="str">
        <f>IF(AND('Mapa final'!$H$46="Baja",'Mapa final'!$L$46="Menor"),CONCATENATE("R",'Mapa final'!$A$46),"")</f>
        <v/>
      </c>
      <c r="Q34" s="327"/>
      <c r="R34" s="327" t="str">
        <f>IF(AND('Mapa final'!$H$52="Baja",'Mapa final'!$L$52="Menor"),CONCATENATE("R",'Mapa final'!$A$52),"")</f>
        <v/>
      </c>
      <c r="S34" s="327"/>
      <c r="T34" s="327" t="str">
        <f>IF(AND('Mapa final'!$H$58="Baja",'Mapa final'!$L$58="Menor"),CONCATENATE("R",'Mapa final'!$A$58),"")</f>
        <v/>
      </c>
      <c r="U34" s="328"/>
      <c r="V34" s="326" t="str">
        <f>IF(AND('Mapa final'!$H$46="Baja",'Mapa final'!$L$46="Moderado"),CONCATENATE("R",'Mapa final'!$A$46),"")</f>
        <v/>
      </c>
      <c r="W34" s="327"/>
      <c r="X34" s="327" t="str">
        <f>IF(AND('Mapa final'!$H$52="Baja",'Mapa final'!$L$52="Moderado"),CONCATENATE("R",'Mapa final'!$A$52),"")</f>
        <v/>
      </c>
      <c r="Y34" s="327"/>
      <c r="Z34" s="327" t="str">
        <f>IF(AND('Mapa final'!$H$58="Baja",'Mapa final'!$L$58="Moderado"),CONCATENATE("R",'Mapa final'!$A$58),"")</f>
        <v/>
      </c>
      <c r="AA34" s="328"/>
      <c r="AB34" s="344" t="str">
        <f>IF(AND('Mapa final'!$H$46="Baja",'Mapa final'!$L$46="Mayor"),CONCATENATE("R",'Mapa final'!$A$46),"")</f>
        <v/>
      </c>
      <c r="AC34" s="345"/>
      <c r="AD34" s="345" t="str">
        <f>IF(AND('Mapa final'!$H$52="Baja",'Mapa final'!$L$52="Mayor"),CONCATENATE("R",'Mapa final'!$A$52),"")</f>
        <v/>
      </c>
      <c r="AE34" s="345"/>
      <c r="AF34" s="345" t="str">
        <f>IF(AND('Mapa final'!$H$58="Baja",'Mapa final'!$L$58="Mayor"),CONCATENATE("R",'Mapa final'!$A$58),"")</f>
        <v/>
      </c>
      <c r="AG34" s="346"/>
      <c r="AH34" s="335" t="str">
        <f>IF(AND('Mapa final'!$H$46="Baja",'Mapa final'!$L$46="Catastrófico"),CONCATENATE("R",'Mapa final'!$A$46),"")</f>
        <v/>
      </c>
      <c r="AI34" s="336"/>
      <c r="AJ34" s="336" t="str">
        <f>IF(AND('Mapa final'!$H$52="Baja",'Mapa final'!$L$52="Catastrófico"),CONCATENATE("R",'Mapa final'!$A$52),"")</f>
        <v/>
      </c>
      <c r="AK34" s="336"/>
      <c r="AL34" s="336" t="str">
        <f>IF(AND('Mapa final'!$H$58="Baja",'Mapa final'!$L$58="Catastrófico"),CONCATENATE("R",'Mapa final'!$A$58),"")</f>
        <v/>
      </c>
      <c r="AM34" s="337"/>
      <c r="AN34" s="97"/>
      <c r="AO34" s="396"/>
      <c r="AP34" s="397"/>
      <c r="AQ34" s="397"/>
      <c r="AR34" s="397"/>
      <c r="AS34" s="397"/>
      <c r="AT34" s="398"/>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row>
    <row r="35" spans="1:80" x14ac:dyDescent="0.25">
      <c r="A35" s="97"/>
      <c r="B35" s="364"/>
      <c r="C35" s="364"/>
      <c r="D35" s="365"/>
      <c r="E35" s="357"/>
      <c r="F35" s="358"/>
      <c r="G35" s="358"/>
      <c r="H35" s="358"/>
      <c r="I35" s="358"/>
      <c r="J35" s="317"/>
      <c r="K35" s="318"/>
      <c r="L35" s="318"/>
      <c r="M35" s="318"/>
      <c r="N35" s="318"/>
      <c r="O35" s="319"/>
      <c r="P35" s="327"/>
      <c r="Q35" s="327"/>
      <c r="R35" s="327"/>
      <c r="S35" s="327"/>
      <c r="T35" s="327"/>
      <c r="U35" s="328"/>
      <c r="V35" s="326"/>
      <c r="W35" s="327"/>
      <c r="X35" s="327"/>
      <c r="Y35" s="327"/>
      <c r="Z35" s="327"/>
      <c r="AA35" s="328"/>
      <c r="AB35" s="344"/>
      <c r="AC35" s="345"/>
      <c r="AD35" s="345"/>
      <c r="AE35" s="345"/>
      <c r="AF35" s="345"/>
      <c r="AG35" s="346"/>
      <c r="AH35" s="335"/>
      <c r="AI35" s="336"/>
      <c r="AJ35" s="336"/>
      <c r="AK35" s="336"/>
      <c r="AL35" s="336"/>
      <c r="AM35" s="337"/>
      <c r="AN35" s="97"/>
      <c r="AO35" s="396"/>
      <c r="AP35" s="397"/>
      <c r="AQ35" s="397"/>
      <c r="AR35" s="397"/>
      <c r="AS35" s="397"/>
      <c r="AT35" s="398"/>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row>
    <row r="36" spans="1:80" x14ac:dyDescent="0.25">
      <c r="A36" s="97"/>
      <c r="B36" s="364"/>
      <c r="C36" s="364"/>
      <c r="D36" s="365"/>
      <c r="E36" s="357"/>
      <c r="F36" s="358"/>
      <c r="G36" s="358"/>
      <c r="H36" s="358"/>
      <c r="I36" s="358"/>
      <c r="J36" s="317" t="str">
        <f>IF(AND('Mapa final'!$H$64="Baja",'Mapa final'!$L$64="Leve"),CONCATENATE("R",'Mapa final'!$A$64),"")</f>
        <v/>
      </c>
      <c r="K36" s="318"/>
      <c r="L36" s="318" t="str">
        <f>IF(AND('Mapa final'!$H$70="Baja",'Mapa final'!$L$70="Leve"),CONCATENATE("R",'Mapa final'!$A$70),"")</f>
        <v/>
      </c>
      <c r="M36" s="318"/>
      <c r="N36" s="318" t="str">
        <f>IF(AND('Mapa final'!$H$76="Baja",'Mapa final'!$L$76="Leve"),CONCATENATE("R",'Mapa final'!$A$76),"")</f>
        <v/>
      </c>
      <c r="O36" s="319"/>
      <c r="P36" s="327" t="str">
        <f>IF(AND('Mapa final'!$H$64="Baja",'Mapa final'!$L$64="Menor"),CONCATENATE("R",'Mapa final'!$A$64),"")</f>
        <v/>
      </c>
      <c r="Q36" s="327"/>
      <c r="R36" s="327" t="str">
        <f>IF(AND('Mapa final'!$H$70="Baja",'Mapa final'!$L$70="Menor"),CONCATENATE("R",'Mapa final'!$A$70),"")</f>
        <v/>
      </c>
      <c r="S36" s="327"/>
      <c r="T36" s="327" t="str">
        <f>IF(AND('Mapa final'!$H$76="Baja",'Mapa final'!$L$76="Menor"),CONCATENATE("R",'Mapa final'!$A$76),"")</f>
        <v/>
      </c>
      <c r="U36" s="328"/>
      <c r="V36" s="326" t="str">
        <f>IF(AND('Mapa final'!$H$64="Baja",'Mapa final'!$L$64="Moderado"),CONCATENATE("R",'Mapa final'!$A$64),"")</f>
        <v/>
      </c>
      <c r="W36" s="327"/>
      <c r="X36" s="327" t="str">
        <f>IF(AND('Mapa final'!$H$70="Baja",'Mapa final'!$L$70="Moderado"),CONCATENATE("R",'Mapa final'!$A$70),"")</f>
        <v/>
      </c>
      <c r="Y36" s="327"/>
      <c r="Z36" s="327" t="str">
        <f>IF(AND('Mapa final'!$H$76="Baja",'Mapa final'!$L$76="Moderado"),CONCATENATE("R",'Mapa final'!$A$76),"")</f>
        <v/>
      </c>
      <c r="AA36" s="328"/>
      <c r="AB36" s="344" t="str">
        <f>IF(AND('Mapa final'!$H$64="Baja",'Mapa final'!$L$64="Mayor"),CONCATENATE("R",'Mapa final'!$A$64),"")</f>
        <v/>
      </c>
      <c r="AC36" s="345"/>
      <c r="AD36" s="345" t="str">
        <f>IF(AND('Mapa final'!$H$70="Baja",'Mapa final'!$L$70="Mayor"),CONCATENATE("R",'Mapa final'!$A$70),"")</f>
        <v/>
      </c>
      <c r="AE36" s="345"/>
      <c r="AF36" s="345" t="str">
        <f>IF(AND('Mapa final'!$H$76="Baja",'Mapa final'!$L$76="Mayor"),CONCATENATE("R",'Mapa final'!$A$76),"")</f>
        <v/>
      </c>
      <c r="AG36" s="346"/>
      <c r="AH36" s="335" t="str">
        <f>IF(AND('Mapa final'!$H$64="Baja",'Mapa final'!$L$64="Catastrófico"),CONCATENATE("R",'Mapa final'!$A$64),"")</f>
        <v/>
      </c>
      <c r="AI36" s="336"/>
      <c r="AJ36" s="336" t="str">
        <f>IF(AND('Mapa final'!$H$70="Baja",'Mapa final'!$L$70="Catastrófico"),CONCATENATE("R",'Mapa final'!$A$70),"")</f>
        <v/>
      </c>
      <c r="AK36" s="336"/>
      <c r="AL36" s="336" t="str">
        <f>IF(AND('Mapa final'!$H$76="Baja",'Mapa final'!$L$76="Catastrófico"),CONCATENATE("R",'Mapa final'!$A$76),"")</f>
        <v/>
      </c>
      <c r="AM36" s="337"/>
      <c r="AN36" s="97"/>
      <c r="AO36" s="396"/>
      <c r="AP36" s="397"/>
      <c r="AQ36" s="397"/>
      <c r="AR36" s="397"/>
      <c r="AS36" s="397"/>
      <c r="AT36" s="398"/>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row>
    <row r="37" spans="1:80" ht="15.75" thickBot="1" x14ac:dyDescent="0.3">
      <c r="A37" s="97"/>
      <c r="B37" s="364"/>
      <c r="C37" s="364"/>
      <c r="D37" s="365"/>
      <c r="E37" s="360"/>
      <c r="F37" s="361"/>
      <c r="G37" s="361"/>
      <c r="H37" s="361"/>
      <c r="I37" s="361"/>
      <c r="J37" s="320"/>
      <c r="K37" s="321"/>
      <c r="L37" s="321"/>
      <c r="M37" s="321"/>
      <c r="N37" s="321"/>
      <c r="O37" s="322"/>
      <c r="P37" s="330"/>
      <c r="Q37" s="330"/>
      <c r="R37" s="330"/>
      <c r="S37" s="330"/>
      <c r="T37" s="330"/>
      <c r="U37" s="331"/>
      <c r="V37" s="329"/>
      <c r="W37" s="330"/>
      <c r="X37" s="330"/>
      <c r="Y37" s="330"/>
      <c r="Z37" s="330"/>
      <c r="AA37" s="331"/>
      <c r="AB37" s="347"/>
      <c r="AC37" s="348"/>
      <c r="AD37" s="348"/>
      <c r="AE37" s="348"/>
      <c r="AF37" s="348"/>
      <c r="AG37" s="349"/>
      <c r="AH37" s="338"/>
      <c r="AI37" s="339"/>
      <c r="AJ37" s="339"/>
      <c r="AK37" s="339"/>
      <c r="AL37" s="339"/>
      <c r="AM37" s="340"/>
      <c r="AN37" s="97"/>
      <c r="AO37" s="399"/>
      <c r="AP37" s="400"/>
      <c r="AQ37" s="400"/>
      <c r="AR37" s="400"/>
      <c r="AS37" s="400"/>
      <c r="AT37" s="401"/>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row>
    <row r="38" spans="1:80" x14ac:dyDescent="0.25">
      <c r="A38" s="97"/>
      <c r="B38" s="364"/>
      <c r="C38" s="364"/>
      <c r="D38" s="365"/>
      <c r="E38" s="354" t="s">
        <v>191</v>
      </c>
      <c r="F38" s="355"/>
      <c r="G38" s="355"/>
      <c r="H38" s="355"/>
      <c r="I38" s="356"/>
      <c r="J38" s="323" t="str">
        <f>IF(AND('Mapa final'!$H$10="Muy Baja",'Mapa final'!$L$10="Leve"),CONCATENATE("R",'Mapa final'!$A$10),"")</f>
        <v/>
      </c>
      <c r="K38" s="324"/>
      <c r="L38" s="324" t="str">
        <f>IF(AND('Mapa final'!$H$16="Muy Baja",'Mapa final'!$L$16="Leve"),CONCATENATE("R",'Mapa final'!$A$16),"")</f>
        <v/>
      </c>
      <c r="M38" s="324"/>
      <c r="N38" s="324" t="str">
        <f>IF(AND('Mapa final'!$H$22="Muy Baja",'Mapa final'!$L$22="Leve"),CONCATENATE("R",'Mapa final'!$A$22),"")</f>
        <v/>
      </c>
      <c r="O38" s="325"/>
      <c r="P38" s="323" t="str">
        <f>IF(AND('Mapa final'!$H$10="Muy Baja",'Mapa final'!$L$10="Menor"),CONCATENATE("R",'Mapa final'!$A$10),"")</f>
        <v/>
      </c>
      <c r="Q38" s="324"/>
      <c r="R38" s="324" t="str">
        <f>IF(AND('Mapa final'!$H$16="Muy Baja",'Mapa final'!$L$16="Menor"),CONCATENATE("R",'Mapa final'!$A$16),"")</f>
        <v/>
      </c>
      <c r="S38" s="324"/>
      <c r="T38" s="324" t="str">
        <f>IF(AND('Mapa final'!$H$22="Muy Baja",'Mapa final'!$L$22="Menor"),CONCATENATE("R",'Mapa final'!$A$22),"")</f>
        <v/>
      </c>
      <c r="U38" s="325"/>
      <c r="V38" s="332" t="str">
        <f>IF(AND('Mapa final'!$H$10="Muy Baja",'Mapa final'!$L$10="Moderado"),CONCATENATE("R",'Mapa final'!$A$10),"")</f>
        <v/>
      </c>
      <c r="W38" s="333"/>
      <c r="X38" s="333" t="str">
        <f>IF(AND('Mapa final'!$H$16="Muy Baja",'Mapa final'!$L$16="Moderado"),CONCATENATE("R",'Mapa final'!$A$16),"")</f>
        <v/>
      </c>
      <c r="Y38" s="333"/>
      <c r="Z38" s="333" t="str">
        <f>IF(AND('Mapa final'!$H$22="Muy Baja",'Mapa final'!$L$22="Moderado"),CONCATENATE("R",'Mapa final'!$A$22),"")</f>
        <v/>
      </c>
      <c r="AA38" s="334"/>
      <c r="AB38" s="350" t="str">
        <f>IF(AND('Mapa final'!$H$10="Muy Baja",'Mapa final'!$L$10="Mayor"),CONCATENATE("R",'Mapa final'!$A$10),"")</f>
        <v/>
      </c>
      <c r="AC38" s="351"/>
      <c r="AD38" s="351" t="str">
        <f>IF(AND('Mapa final'!$H$16="Muy Baja",'Mapa final'!$L$16="Mayor"),CONCATENATE("R",'Mapa final'!$A$16),"")</f>
        <v/>
      </c>
      <c r="AE38" s="351"/>
      <c r="AF38" s="351" t="str">
        <f>IF(AND('Mapa final'!$H$22="Muy Baja",'Mapa final'!$L$22="Mayor"),CONCATENATE("R",'Mapa final'!$A$22),"")</f>
        <v/>
      </c>
      <c r="AG38" s="352"/>
      <c r="AH38" s="341" t="str">
        <f>IF(AND('Mapa final'!$H$10="Muy Baja",'Mapa final'!$L$10="Catastrófico"),CONCATENATE("R",'Mapa final'!$A$10),"")</f>
        <v/>
      </c>
      <c r="AI38" s="342"/>
      <c r="AJ38" s="342" t="str">
        <f>IF(AND('Mapa final'!$H$16="Muy Baja",'Mapa final'!$L$16="Catastrófico"),CONCATENATE("R",'Mapa final'!$A$16),"")</f>
        <v/>
      </c>
      <c r="AK38" s="342"/>
      <c r="AL38" s="342" t="str">
        <f>IF(AND('Mapa final'!$H$22="Muy Baja",'Mapa final'!$L$22="Catastrófico"),CONCATENATE("R",'Mapa final'!$A$22),"")</f>
        <v/>
      </c>
      <c r="AM38" s="343"/>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row>
    <row r="39" spans="1:80" x14ac:dyDescent="0.25">
      <c r="A39" s="97"/>
      <c r="B39" s="364"/>
      <c r="C39" s="364"/>
      <c r="D39" s="365"/>
      <c r="E39" s="357"/>
      <c r="F39" s="358"/>
      <c r="G39" s="358"/>
      <c r="H39" s="358"/>
      <c r="I39" s="359"/>
      <c r="J39" s="317"/>
      <c r="K39" s="318"/>
      <c r="L39" s="318"/>
      <c r="M39" s="318"/>
      <c r="N39" s="318"/>
      <c r="O39" s="319"/>
      <c r="P39" s="317"/>
      <c r="Q39" s="318"/>
      <c r="R39" s="318"/>
      <c r="S39" s="318"/>
      <c r="T39" s="318"/>
      <c r="U39" s="319"/>
      <c r="V39" s="326"/>
      <c r="W39" s="327"/>
      <c r="X39" s="327"/>
      <c r="Y39" s="327"/>
      <c r="Z39" s="327"/>
      <c r="AA39" s="328"/>
      <c r="AB39" s="344"/>
      <c r="AC39" s="345"/>
      <c r="AD39" s="345"/>
      <c r="AE39" s="345"/>
      <c r="AF39" s="345"/>
      <c r="AG39" s="346"/>
      <c r="AH39" s="335"/>
      <c r="AI39" s="336"/>
      <c r="AJ39" s="336"/>
      <c r="AK39" s="336"/>
      <c r="AL39" s="336"/>
      <c r="AM39" s="33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row>
    <row r="40" spans="1:80" x14ac:dyDescent="0.25">
      <c r="A40" s="97"/>
      <c r="B40" s="364"/>
      <c r="C40" s="364"/>
      <c r="D40" s="365"/>
      <c r="E40" s="357"/>
      <c r="F40" s="358"/>
      <c r="G40" s="358"/>
      <c r="H40" s="358"/>
      <c r="I40" s="359"/>
      <c r="J40" s="317" t="str">
        <f>IF(AND('Mapa final'!$H$28="Muy Baja",'Mapa final'!$L$28="Leve"),CONCATENATE("R",'Mapa final'!$A$28),"")</f>
        <v/>
      </c>
      <c r="K40" s="318"/>
      <c r="L40" s="318" t="str">
        <f>IF(AND('Mapa final'!$H$34="Muy Baja",'Mapa final'!$L$34="Leve"),CONCATENATE("R",'Mapa final'!$A$34),"")</f>
        <v/>
      </c>
      <c r="M40" s="318"/>
      <c r="N40" s="318" t="str">
        <f>IF(AND('Mapa final'!$H$40="Muy Baja",'Mapa final'!$L$40="Leve"),CONCATENATE("R",'Mapa final'!$A$40),"")</f>
        <v/>
      </c>
      <c r="O40" s="319"/>
      <c r="P40" s="317" t="str">
        <f>IF(AND('Mapa final'!$H$28="Muy Baja",'Mapa final'!$L$28="Menor"),CONCATENATE("R",'Mapa final'!$A$28),"")</f>
        <v/>
      </c>
      <c r="Q40" s="318"/>
      <c r="R40" s="318" t="str">
        <f>IF(AND('Mapa final'!$H$34="Muy Baja",'Mapa final'!$L$34="Menor"),CONCATENATE("R",'Mapa final'!$A$34),"")</f>
        <v/>
      </c>
      <c r="S40" s="318"/>
      <c r="T40" s="318" t="str">
        <f>IF(AND('Mapa final'!$H$40="Muy Baja",'Mapa final'!$L$40="Menor"),CONCATENATE("R",'Mapa final'!$A$40),"")</f>
        <v/>
      </c>
      <c r="U40" s="319"/>
      <c r="V40" s="326" t="str">
        <f>IF(AND('Mapa final'!$H$28="Muy Baja",'Mapa final'!$L$28="Moderado"),CONCATENATE("R",'Mapa final'!$A$28),"")</f>
        <v/>
      </c>
      <c r="W40" s="327"/>
      <c r="X40" s="327" t="str">
        <f>IF(AND('Mapa final'!$H$34="Muy Baja",'Mapa final'!$L$34="Moderado"),CONCATENATE("R",'Mapa final'!$A$34),"")</f>
        <v/>
      </c>
      <c r="Y40" s="327"/>
      <c r="Z40" s="327" t="str">
        <f>IF(AND('Mapa final'!$H$40="Muy Baja",'Mapa final'!$L$40="Moderado"),CONCATENATE("R",'Mapa final'!$A$40),"")</f>
        <v/>
      </c>
      <c r="AA40" s="328"/>
      <c r="AB40" s="344" t="str">
        <f>IF(AND('Mapa final'!$H$28="Muy Baja",'Mapa final'!$L$28="Mayor"),CONCATENATE("R",'Mapa final'!$A$28),"")</f>
        <v/>
      </c>
      <c r="AC40" s="345"/>
      <c r="AD40" s="345" t="str">
        <f>IF(AND('Mapa final'!$H$34="Muy Baja",'Mapa final'!$L$34="Mayor"),CONCATENATE("R",'Mapa final'!$A$34),"")</f>
        <v/>
      </c>
      <c r="AE40" s="345"/>
      <c r="AF40" s="345" t="str">
        <f>IF(AND('Mapa final'!$H$40="Muy Baja",'Mapa final'!$L$40="Mayor"),CONCATENATE("R",'Mapa final'!$A$40),"")</f>
        <v/>
      </c>
      <c r="AG40" s="346"/>
      <c r="AH40" s="335" t="str">
        <f>IF(AND('Mapa final'!$H$28="Muy Baja",'Mapa final'!$L$28="Catastrófico"),CONCATENATE("R",'Mapa final'!$A$28),"")</f>
        <v>R4</v>
      </c>
      <c r="AI40" s="336"/>
      <c r="AJ40" s="336" t="str">
        <f>IF(AND('Mapa final'!$H$34="Muy Baja",'Mapa final'!$L$34="Catastrófico"),CONCATENATE("R",'Mapa final'!$A$34),"")</f>
        <v>R5</v>
      </c>
      <c r="AK40" s="336"/>
      <c r="AL40" s="336" t="str">
        <f>IF(AND('Mapa final'!$H$40="Muy Baja",'Mapa final'!$L$40="Catastrófico"),CONCATENATE("R",'Mapa final'!$A$40),"")</f>
        <v/>
      </c>
      <c r="AM40" s="33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row>
    <row r="41" spans="1:80" x14ac:dyDescent="0.25">
      <c r="A41" s="97"/>
      <c r="B41" s="364"/>
      <c r="C41" s="364"/>
      <c r="D41" s="365"/>
      <c r="E41" s="357"/>
      <c r="F41" s="358"/>
      <c r="G41" s="358"/>
      <c r="H41" s="358"/>
      <c r="I41" s="359"/>
      <c r="J41" s="317"/>
      <c r="K41" s="318"/>
      <c r="L41" s="318"/>
      <c r="M41" s="318"/>
      <c r="N41" s="318"/>
      <c r="O41" s="319"/>
      <c r="P41" s="317"/>
      <c r="Q41" s="318"/>
      <c r="R41" s="318"/>
      <c r="S41" s="318"/>
      <c r="T41" s="318"/>
      <c r="U41" s="319"/>
      <c r="V41" s="326"/>
      <c r="W41" s="327"/>
      <c r="X41" s="327"/>
      <c r="Y41" s="327"/>
      <c r="Z41" s="327"/>
      <c r="AA41" s="328"/>
      <c r="AB41" s="344"/>
      <c r="AC41" s="345"/>
      <c r="AD41" s="345"/>
      <c r="AE41" s="345"/>
      <c r="AF41" s="345"/>
      <c r="AG41" s="346"/>
      <c r="AH41" s="335"/>
      <c r="AI41" s="336"/>
      <c r="AJ41" s="336"/>
      <c r="AK41" s="336"/>
      <c r="AL41" s="336"/>
      <c r="AM41" s="33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row>
    <row r="42" spans="1:80" x14ac:dyDescent="0.25">
      <c r="A42" s="97"/>
      <c r="B42" s="364"/>
      <c r="C42" s="364"/>
      <c r="D42" s="365"/>
      <c r="E42" s="357"/>
      <c r="F42" s="358"/>
      <c r="G42" s="358"/>
      <c r="H42" s="358"/>
      <c r="I42" s="359"/>
      <c r="J42" s="317" t="str">
        <f>IF(AND('Mapa final'!$H$46="Muy Baja",'Mapa final'!$L$46="Leve"),CONCATENATE("R",'Mapa final'!$A$46),"")</f>
        <v/>
      </c>
      <c r="K42" s="318"/>
      <c r="L42" s="318" t="str">
        <f>IF(AND('Mapa final'!$H$52="Muy Baja",'Mapa final'!$L$52="Leve"),CONCATENATE("R",'Mapa final'!$A$52),"")</f>
        <v/>
      </c>
      <c r="M42" s="318"/>
      <c r="N42" s="318" t="str">
        <f>IF(AND('Mapa final'!$H$58="Muy Baja",'Mapa final'!$L$58="Leve"),CONCATENATE("R",'Mapa final'!$A$58),"")</f>
        <v/>
      </c>
      <c r="O42" s="319"/>
      <c r="P42" s="317" t="str">
        <f>IF(AND('Mapa final'!$H$46="Muy Baja",'Mapa final'!$L$46="Menor"),CONCATENATE("R",'Mapa final'!$A$46),"")</f>
        <v/>
      </c>
      <c r="Q42" s="318"/>
      <c r="R42" s="318" t="str">
        <f>IF(AND('Mapa final'!$H$52="Muy Baja",'Mapa final'!$L$52="Menor"),CONCATENATE("R",'Mapa final'!$A$52),"")</f>
        <v/>
      </c>
      <c r="S42" s="318"/>
      <c r="T42" s="318" t="str">
        <f>IF(AND('Mapa final'!$H$58="Muy Baja",'Mapa final'!$L$58="Menor"),CONCATENATE("R",'Mapa final'!$A$58),"")</f>
        <v/>
      </c>
      <c r="U42" s="319"/>
      <c r="V42" s="326" t="str">
        <f>IF(AND('Mapa final'!$H$46="Muy Baja",'Mapa final'!$L$46="Moderado"),CONCATENATE("R",'Mapa final'!$A$46),"")</f>
        <v/>
      </c>
      <c r="W42" s="327"/>
      <c r="X42" s="327" t="str">
        <f>IF(AND('Mapa final'!$H$52="Muy Baja",'Mapa final'!$L$52="Moderado"),CONCATENATE("R",'Mapa final'!$A$52),"")</f>
        <v/>
      </c>
      <c r="Y42" s="327"/>
      <c r="Z42" s="327" t="str">
        <f>IF(AND('Mapa final'!$H$58="Muy Baja",'Mapa final'!$L$58="Moderado"),CONCATENATE("R",'Mapa final'!$A$58),"")</f>
        <v/>
      </c>
      <c r="AA42" s="328"/>
      <c r="AB42" s="344" t="str">
        <f>IF(AND('Mapa final'!$H$46="Muy Baja",'Mapa final'!$L$46="Mayor"),CONCATENATE("R",'Mapa final'!$A$46),"")</f>
        <v/>
      </c>
      <c r="AC42" s="345"/>
      <c r="AD42" s="345" t="str">
        <f>IF(AND('Mapa final'!$H$52="Muy Baja",'Mapa final'!$L$52="Mayor"),CONCATENATE("R",'Mapa final'!$A$52),"")</f>
        <v/>
      </c>
      <c r="AE42" s="345"/>
      <c r="AF42" s="345" t="str">
        <f>IF(AND('Mapa final'!$H$58="Muy Baja",'Mapa final'!$L$58="Mayor"),CONCATENATE("R",'Mapa final'!$A$58),"")</f>
        <v/>
      </c>
      <c r="AG42" s="346"/>
      <c r="AH42" s="335" t="str">
        <f>IF(AND('Mapa final'!$H$46="Muy Baja",'Mapa final'!$L$46="Catastrófico"),CONCATENATE("R",'Mapa final'!$A$46),"")</f>
        <v/>
      </c>
      <c r="AI42" s="336"/>
      <c r="AJ42" s="336" t="str">
        <f>IF(AND('Mapa final'!$H$52="Muy Baja",'Mapa final'!$L$52="Catastrófico"),CONCATENATE("R",'Mapa final'!$A$52),"")</f>
        <v/>
      </c>
      <c r="AK42" s="336"/>
      <c r="AL42" s="336" t="str">
        <f>IF(AND('Mapa final'!$H$58="Muy Baja",'Mapa final'!$L$58="Catastrófico"),CONCATENATE("R",'Mapa final'!$A$58),"")</f>
        <v/>
      </c>
      <c r="AM42" s="33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row>
    <row r="43" spans="1:80" x14ac:dyDescent="0.25">
      <c r="A43" s="97"/>
      <c r="B43" s="364"/>
      <c r="C43" s="364"/>
      <c r="D43" s="365"/>
      <c r="E43" s="357"/>
      <c r="F43" s="358"/>
      <c r="G43" s="358"/>
      <c r="H43" s="358"/>
      <c r="I43" s="359"/>
      <c r="J43" s="317"/>
      <c r="K43" s="318"/>
      <c r="L43" s="318"/>
      <c r="M43" s="318"/>
      <c r="N43" s="318"/>
      <c r="O43" s="319"/>
      <c r="P43" s="317"/>
      <c r="Q43" s="318"/>
      <c r="R43" s="318"/>
      <c r="S43" s="318"/>
      <c r="T43" s="318"/>
      <c r="U43" s="319"/>
      <c r="V43" s="326"/>
      <c r="W43" s="327"/>
      <c r="X43" s="327"/>
      <c r="Y43" s="327"/>
      <c r="Z43" s="327"/>
      <c r="AA43" s="328"/>
      <c r="AB43" s="344"/>
      <c r="AC43" s="345"/>
      <c r="AD43" s="345"/>
      <c r="AE43" s="345"/>
      <c r="AF43" s="345"/>
      <c r="AG43" s="346"/>
      <c r="AH43" s="335"/>
      <c r="AI43" s="336"/>
      <c r="AJ43" s="336"/>
      <c r="AK43" s="336"/>
      <c r="AL43" s="336"/>
      <c r="AM43" s="33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row>
    <row r="44" spans="1:80" x14ac:dyDescent="0.25">
      <c r="A44" s="97"/>
      <c r="B44" s="364"/>
      <c r="C44" s="364"/>
      <c r="D44" s="365"/>
      <c r="E44" s="357"/>
      <c r="F44" s="358"/>
      <c r="G44" s="358"/>
      <c r="H44" s="358"/>
      <c r="I44" s="359"/>
      <c r="J44" s="317" t="str">
        <f>IF(AND('Mapa final'!$H$64="Muy Baja",'Mapa final'!$L$64="Leve"),CONCATENATE("R",'Mapa final'!$A$64),"")</f>
        <v/>
      </c>
      <c r="K44" s="318"/>
      <c r="L44" s="318" t="str">
        <f>IF(AND('Mapa final'!$H$70="Muy Baja",'Mapa final'!$L$70="Leve"),CONCATENATE("R",'Mapa final'!$A$70),"")</f>
        <v/>
      </c>
      <c r="M44" s="318"/>
      <c r="N44" s="318" t="str">
        <f>IF(AND('Mapa final'!$H$76="Muy Baja",'Mapa final'!$L$76="Leve"),CONCATENATE("R",'Mapa final'!$A$76),"")</f>
        <v/>
      </c>
      <c r="O44" s="319"/>
      <c r="P44" s="317" t="str">
        <f>IF(AND('Mapa final'!$H$64="Muy Baja",'Mapa final'!$L$64="Menor"),CONCATENATE("R",'Mapa final'!$A$64),"")</f>
        <v/>
      </c>
      <c r="Q44" s="318"/>
      <c r="R44" s="318" t="str">
        <f>IF(AND('Mapa final'!$H$70="Muy Baja",'Mapa final'!$L$70="Menor"),CONCATENATE("R",'Mapa final'!$A$70),"")</f>
        <v/>
      </c>
      <c r="S44" s="318"/>
      <c r="T44" s="318" t="str">
        <f>IF(AND('Mapa final'!$H$76="Muy Baja",'Mapa final'!$L$76="Menor"),CONCATENATE("R",'Mapa final'!$A$76),"")</f>
        <v/>
      </c>
      <c r="U44" s="319"/>
      <c r="V44" s="326" t="str">
        <f>IF(AND('Mapa final'!$H$64="Muy Baja",'Mapa final'!$L$64="Moderado"),CONCATENATE("R",'Mapa final'!$A$64),"")</f>
        <v/>
      </c>
      <c r="W44" s="327"/>
      <c r="X44" s="327" t="str">
        <f>IF(AND('Mapa final'!$H$70="Muy Baja",'Mapa final'!$L$70="Moderado"),CONCATENATE("R",'Mapa final'!$A$70),"")</f>
        <v/>
      </c>
      <c r="Y44" s="327"/>
      <c r="Z44" s="327" t="str">
        <f>IF(AND('Mapa final'!$H$76="Muy Baja",'Mapa final'!$L$76="Moderado"),CONCATENATE("R",'Mapa final'!$A$76),"")</f>
        <v/>
      </c>
      <c r="AA44" s="328"/>
      <c r="AB44" s="344" t="str">
        <f>IF(AND('Mapa final'!$H$64="Muy Baja",'Mapa final'!$L$64="Mayor"),CONCATENATE("R",'Mapa final'!$A$64),"")</f>
        <v/>
      </c>
      <c r="AC44" s="345"/>
      <c r="AD44" s="345" t="str">
        <f>IF(AND('Mapa final'!$H$70="Muy Baja",'Mapa final'!$L$70="Mayor"),CONCATENATE("R",'Mapa final'!$A$70),"")</f>
        <v/>
      </c>
      <c r="AE44" s="345"/>
      <c r="AF44" s="345" t="str">
        <f>IF(AND('Mapa final'!$H$76="Muy Baja",'Mapa final'!$L$76="Mayor"),CONCATENATE("R",'Mapa final'!$A$76),"")</f>
        <v/>
      </c>
      <c r="AG44" s="346"/>
      <c r="AH44" s="335" t="str">
        <f>IF(AND('Mapa final'!$H$64="Muy Baja",'Mapa final'!$L$64="Catastrófico"),CONCATENATE("R",'Mapa final'!$A$64),"")</f>
        <v/>
      </c>
      <c r="AI44" s="336"/>
      <c r="AJ44" s="336" t="str">
        <f>IF(AND('Mapa final'!$H$70="Muy Baja",'Mapa final'!$L$70="Catastrófico"),CONCATENATE("R",'Mapa final'!$A$70),"")</f>
        <v/>
      </c>
      <c r="AK44" s="336"/>
      <c r="AL44" s="336" t="str">
        <f>IF(AND('Mapa final'!$H$76="Muy Baja",'Mapa final'!$L$76="Catastrófico"),CONCATENATE("R",'Mapa final'!$A$76),"")</f>
        <v/>
      </c>
      <c r="AM44" s="33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row>
    <row r="45" spans="1:80" ht="15.75" thickBot="1" x14ac:dyDescent="0.3">
      <c r="A45" s="97"/>
      <c r="B45" s="364"/>
      <c r="C45" s="364"/>
      <c r="D45" s="365"/>
      <c r="E45" s="360"/>
      <c r="F45" s="361"/>
      <c r="G45" s="361"/>
      <c r="H45" s="361"/>
      <c r="I45" s="362"/>
      <c r="J45" s="320"/>
      <c r="K45" s="321"/>
      <c r="L45" s="321"/>
      <c r="M45" s="321"/>
      <c r="N45" s="321"/>
      <c r="O45" s="322"/>
      <c r="P45" s="320"/>
      <c r="Q45" s="321"/>
      <c r="R45" s="321"/>
      <c r="S45" s="321"/>
      <c r="T45" s="321"/>
      <c r="U45" s="322"/>
      <c r="V45" s="329"/>
      <c r="W45" s="330"/>
      <c r="X45" s="330"/>
      <c r="Y45" s="330"/>
      <c r="Z45" s="330"/>
      <c r="AA45" s="331"/>
      <c r="AB45" s="347"/>
      <c r="AC45" s="348"/>
      <c r="AD45" s="348"/>
      <c r="AE45" s="348"/>
      <c r="AF45" s="348"/>
      <c r="AG45" s="349"/>
      <c r="AH45" s="338"/>
      <c r="AI45" s="339"/>
      <c r="AJ45" s="339"/>
      <c r="AK45" s="339"/>
      <c r="AL45" s="339"/>
      <c r="AM45" s="340"/>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row>
    <row r="46" spans="1:80" x14ac:dyDescent="0.25">
      <c r="A46" s="97"/>
      <c r="B46" s="97"/>
      <c r="C46" s="97"/>
      <c r="D46" s="97"/>
      <c r="E46" s="97"/>
      <c r="F46" s="97"/>
      <c r="G46" s="97"/>
      <c r="H46" s="97"/>
      <c r="I46" s="97"/>
      <c r="J46" s="354" t="s">
        <v>192</v>
      </c>
      <c r="K46" s="355"/>
      <c r="L46" s="355"/>
      <c r="M46" s="355"/>
      <c r="N46" s="355"/>
      <c r="O46" s="356"/>
      <c r="P46" s="354" t="s">
        <v>193</v>
      </c>
      <c r="Q46" s="355"/>
      <c r="R46" s="355"/>
      <c r="S46" s="355"/>
      <c r="T46" s="355"/>
      <c r="U46" s="356"/>
      <c r="V46" s="354" t="s">
        <v>194</v>
      </c>
      <c r="W46" s="355"/>
      <c r="X46" s="355"/>
      <c r="Y46" s="355"/>
      <c r="Z46" s="355"/>
      <c r="AA46" s="356"/>
      <c r="AB46" s="354" t="s">
        <v>195</v>
      </c>
      <c r="AC46" s="363"/>
      <c r="AD46" s="355"/>
      <c r="AE46" s="355"/>
      <c r="AF46" s="355"/>
      <c r="AG46" s="356"/>
      <c r="AH46" s="354" t="s">
        <v>196</v>
      </c>
      <c r="AI46" s="355"/>
      <c r="AJ46" s="355"/>
      <c r="AK46" s="355"/>
      <c r="AL46" s="355"/>
      <c r="AM46" s="356"/>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row>
    <row r="47" spans="1:80" x14ac:dyDescent="0.25">
      <c r="A47" s="97"/>
      <c r="B47" s="97"/>
      <c r="C47" s="97"/>
      <c r="D47" s="97"/>
      <c r="E47" s="97"/>
      <c r="F47" s="97"/>
      <c r="G47" s="97"/>
      <c r="H47" s="97"/>
      <c r="I47" s="97"/>
      <c r="J47" s="357"/>
      <c r="K47" s="358"/>
      <c r="L47" s="358"/>
      <c r="M47" s="358"/>
      <c r="N47" s="358"/>
      <c r="O47" s="359"/>
      <c r="P47" s="357"/>
      <c r="Q47" s="358"/>
      <c r="R47" s="358"/>
      <c r="S47" s="358"/>
      <c r="T47" s="358"/>
      <c r="U47" s="359"/>
      <c r="V47" s="357"/>
      <c r="W47" s="358"/>
      <c r="X47" s="358"/>
      <c r="Y47" s="358"/>
      <c r="Z47" s="358"/>
      <c r="AA47" s="359"/>
      <c r="AB47" s="357"/>
      <c r="AC47" s="358"/>
      <c r="AD47" s="358"/>
      <c r="AE47" s="358"/>
      <c r="AF47" s="358"/>
      <c r="AG47" s="359"/>
      <c r="AH47" s="357"/>
      <c r="AI47" s="358"/>
      <c r="AJ47" s="358"/>
      <c r="AK47" s="358"/>
      <c r="AL47" s="358"/>
      <c r="AM47" s="359"/>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row>
    <row r="48" spans="1:80" x14ac:dyDescent="0.25">
      <c r="A48" s="97"/>
      <c r="B48" s="97"/>
      <c r="C48" s="97"/>
      <c r="D48" s="97"/>
      <c r="E48" s="97"/>
      <c r="F48" s="97"/>
      <c r="G48" s="97"/>
      <c r="H48" s="97"/>
      <c r="I48" s="97"/>
      <c r="J48" s="357"/>
      <c r="K48" s="358"/>
      <c r="L48" s="358"/>
      <c r="M48" s="358"/>
      <c r="N48" s="358"/>
      <c r="O48" s="359"/>
      <c r="P48" s="357"/>
      <c r="Q48" s="358"/>
      <c r="R48" s="358"/>
      <c r="S48" s="358"/>
      <c r="T48" s="358"/>
      <c r="U48" s="359"/>
      <c r="V48" s="357"/>
      <c r="W48" s="358"/>
      <c r="X48" s="358"/>
      <c r="Y48" s="358"/>
      <c r="Z48" s="358"/>
      <c r="AA48" s="359"/>
      <c r="AB48" s="357"/>
      <c r="AC48" s="358"/>
      <c r="AD48" s="358"/>
      <c r="AE48" s="358"/>
      <c r="AF48" s="358"/>
      <c r="AG48" s="359"/>
      <c r="AH48" s="357"/>
      <c r="AI48" s="358"/>
      <c r="AJ48" s="358"/>
      <c r="AK48" s="358"/>
      <c r="AL48" s="358"/>
      <c r="AM48" s="359"/>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row>
    <row r="49" spans="1:80" x14ac:dyDescent="0.25">
      <c r="A49" s="97"/>
      <c r="B49" s="97"/>
      <c r="C49" s="97"/>
      <c r="D49" s="97"/>
      <c r="E49" s="97"/>
      <c r="F49" s="97"/>
      <c r="G49" s="97"/>
      <c r="H49" s="97"/>
      <c r="I49" s="97"/>
      <c r="J49" s="357"/>
      <c r="K49" s="358"/>
      <c r="L49" s="358"/>
      <c r="M49" s="358"/>
      <c r="N49" s="358"/>
      <c r="O49" s="359"/>
      <c r="P49" s="357"/>
      <c r="Q49" s="358"/>
      <c r="R49" s="358"/>
      <c r="S49" s="358"/>
      <c r="T49" s="358"/>
      <c r="U49" s="359"/>
      <c r="V49" s="357"/>
      <c r="W49" s="358"/>
      <c r="X49" s="358"/>
      <c r="Y49" s="358"/>
      <c r="Z49" s="358"/>
      <c r="AA49" s="359"/>
      <c r="AB49" s="357"/>
      <c r="AC49" s="358"/>
      <c r="AD49" s="358"/>
      <c r="AE49" s="358"/>
      <c r="AF49" s="358"/>
      <c r="AG49" s="359"/>
      <c r="AH49" s="357"/>
      <c r="AI49" s="358"/>
      <c r="AJ49" s="358"/>
      <c r="AK49" s="358"/>
      <c r="AL49" s="358"/>
      <c r="AM49" s="359"/>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row>
    <row r="50" spans="1:80" x14ac:dyDescent="0.25">
      <c r="A50" s="97"/>
      <c r="B50" s="97"/>
      <c r="C50" s="97"/>
      <c r="D50" s="97"/>
      <c r="E50" s="97"/>
      <c r="F50" s="97"/>
      <c r="G50" s="97"/>
      <c r="H50" s="97"/>
      <c r="I50" s="97"/>
      <c r="J50" s="357"/>
      <c r="K50" s="358"/>
      <c r="L50" s="358"/>
      <c r="M50" s="358"/>
      <c r="N50" s="358"/>
      <c r="O50" s="359"/>
      <c r="P50" s="357"/>
      <c r="Q50" s="358"/>
      <c r="R50" s="358"/>
      <c r="S50" s="358"/>
      <c r="T50" s="358"/>
      <c r="U50" s="359"/>
      <c r="V50" s="357"/>
      <c r="W50" s="358"/>
      <c r="X50" s="358"/>
      <c r="Y50" s="358"/>
      <c r="Z50" s="358"/>
      <c r="AA50" s="359"/>
      <c r="AB50" s="357"/>
      <c r="AC50" s="358"/>
      <c r="AD50" s="358"/>
      <c r="AE50" s="358"/>
      <c r="AF50" s="358"/>
      <c r="AG50" s="359"/>
      <c r="AH50" s="357"/>
      <c r="AI50" s="358"/>
      <c r="AJ50" s="358"/>
      <c r="AK50" s="358"/>
      <c r="AL50" s="358"/>
      <c r="AM50" s="359"/>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row>
    <row r="51" spans="1:80" ht="15.75" thickBot="1" x14ac:dyDescent="0.3">
      <c r="A51" s="97"/>
      <c r="B51" s="97"/>
      <c r="C51" s="97"/>
      <c r="D51" s="97"/>
      <c r="E51" s="97"/>
      <c r="F51" s="97"/>
      <c r="G51" s="97"/>
      <c r="H51" s="97"/>
      <c r="I51" s="97"/>
      <c r="J51" s="360"/>
      <c r="K51" s="361"/>
      <c r="L51" s="361"/>
      <c r="M51" s="361"/>
      <c r="N51" s="361"/>
      <c r="O51" s="362"/>
      <c r="P51" s="360"/>
      <c r="Q51" s="361"/>
      <c r="R51" s="361"/>
      <c r="S51" s="361"/>
      <c r="T51" s="361"/>
      <c r="U51" s="362"/>
      <c r="V51" s="360"/>
      <c r="W51" s="361"/>
      <c r="X51" s="361"/>
      <c r="Y51" s="361"/>
      <c r="Z51" s="361"/>
      <c r="AA51" s="362"/>
      <c r="AB51" s="360"/>
      <c r="AC51" s="361"/>
      <c r="AD51" s="361"/>
      <c r="AE51" s="361"/>
      <c r="AF51" s="361"/>
      <c r="AG51" s="362"/>
      <c r="AH51" s="360"/>
      <c r="AI51" s="361"/>
      <c r="AJ51" s="361"/>
      <c r="AK51" s="361"/>
      <c r="AL51" s="361"/>
      <c r="AM51" s="362"/>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row>
    <row r="52" spans="1:80" x14ac:dyDescent="0.25">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row>
    <row r="53" spans="1:80" ht="15" customHeight="1" x14ac:dyDescent="0.25">
      <c r="A53" s="97"/>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row>
    <row r="54" spans="1:80" ht="15" customHeight="1" x14ac:dyDescent="0.25">
      <c r="A54" s="97"/>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row>
    <row r="55" spans="1:80" x14ac:dyDescent="0.25">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row>
    <row r="56" spans="1:80" x14ac:dyDescent="0.25">
      <c r="A56" s="97"/>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row>
    <row r="57" spans="1:80" x14ac:dyDescent="0.25">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row>
    <row r="58" spans="1:80" x14ac:dyDescent="0.25">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row>
    <row r="59" spans="1:80" x14ac:dyDescent="0.25">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row>
    <row r="60" spans="1:80" x14ac:dyDescent="0.25">
      <c r="A60" s="97"/>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row>
    <row r="61" spans="1:80" x14ac:dyDescent="0.25">
      <c r="A61" s="97"/>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row>
    <row r="62" spans="1:80" x14ac:dyDescent="0.25">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row>
    <row r="63" spans="1:80" x14ac:dyDescent="0.25">
      <c r="A63" s="97"/>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row>
    <row r="64" spans="1:80" x14ac:dyDescent="0.25">
      <c r="A64" s="97"/>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row>
    <row r="65" spans="1:80" x14ac:dyDescent="0.25">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row>
    <row r="66" spans="1:80" x14ac:dyDescent="0.25">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row>
    <row r="67" spans="1:80" x14ac:dyDescent="0.25">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row>
    <row r="68" spans="1:80" x14ac:dyDescent="0.25">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row>
    <row r="69" spans="1:80" x14ac:dyDescent="0.25">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row>
    <row r="70" spans="1:80" x14ac:dyDescent="0.25">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row>
    <row r="71" spans="1:80" x14ac:dyDescent="0.25">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7"/>
      <c r="BR71" s="97"/>
      <c r="BS71" s="97"/>
      <c r="BT71" s="97"/>
      <c r="BU71" s="97"/>
      <c r="BV71" s="97"/>
      <c r="BW71" s="97"/>
      <c r="BX71" s="97"/>
      <c r="BY71" s="97"/>
      <c r="BZ71" s="97"/>
      <c r="CA71" s="97"/>
      <c r="CB71" s="97"/>
    </row>
    <row r="72" spans="1:80" x14ac:dyDescent="0.25">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row>
    <row r="73" spans="1:80" x14ac:dyDescent="0.25">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row>
    <row r="74" spans="1:80" x14ac:dyDescent="0.25">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row>
    <row r="75" spans="1:80" x14ac:dyDescent="0.25">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row>
    <row r="76" spans="1:80" x14ac:dyDescent="0.25">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row>
    <row r="77" spans="1:80" x14ac:dyDescent="0.25">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row>
    <row r="78" spans="1:80" x14ac:dyDescent="0.25">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row>
    <row r="79" spans="1:80" x14ac:dyDescent="0.25">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row>
    <row r="80" spans="1:80" x14ac:dyDescent="0.25">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row>
    <row r="81" spans="1:63" x14ac:dyDescent="0.25">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row>
    <row r="82" spans="1:63" x14ac:dyDescent="0.25">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row>
    <row r="83" spans="1:63" x14ac:dyDescent="0.25">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row>
    <row r="84" spans="1:63" x14ac:dyDescent="0.25">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row>
    <row r="85" spans="1:63" x14ac:dyDescent="0.25">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row>
    <row r="86" spans="1:63" x14ac:dyDescent="0.25">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row>
    <row r="87" spans="1:63" x14ac:dyDescent="0.25">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row>
    <row r="88" spans="1:63" x14ac:dyDescent="0.25">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row>
    <row r="89" spans="1:63" x14ac:dyDescent="0.25">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row>
    <row r="90" spans="1:63" x14ac:dyDescent="0.25">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row>
    <row r="91" spans="1:63" x14ac:dyDescent="0.25">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row>
    <row r="92" spans="1:63" x14ac:dyDescent="0.25">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row>
    <row r="93" spans="1:63" x14ac:dyDescent="0.25">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row>
    <row r="94" spans="1:63" x14ac:dyDescent="0.25">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row>
    <row r="95" spans="1:63" x14ac:dyDescent="0.25">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row>
    <row r="96" spans="1:63" x14ac:dyDescent="0.25">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row>
    <row r="97" spans="1:63" x14ac:dyDescent="0.25">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row>
    <row r="98" spans="1:63" x14ac:dyDescent="0.25">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row>
    <row r="99" spans="1:63" x14ac:dyDescent="0.25">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row>
    <row r="100" spans="1:63" x14ac:dyDescent="0.25">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row>
    <row r="101" spans="1:63" x14ac:dyDescent="0.25">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row>
    <row r="102" spans="1:63" x14ac:dyDescent="0.25">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row>
    <row r="103" spans="1:63" x14ac:dyDescent="0.25">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row>
    <row r="104" spans="1:63" x14ac:dyDescent="0.25">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row>
    <row r="105" spans="1:63" x14ac:dyDescent="0.25">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row>
    <row r="106" spans="1:63" x14ac:dyDescent="0.25">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row>
    <row r="107" spans="1:63" x14ac:dyDescent="0.25">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row>
    <row r="108" spans="1:63" x14ac:dyDescent="0.25">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c r="BI108" s="97"/>
      <c r="BJ108" s="97"/>
      <c r="BK108" s="97"/>
    </row>
    <row r="109" spans="1:63" x14ac:dyDescent="0.25">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row>
    <row r="110" spans="1:63" x14ac:dyDescent="0.25">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row>
    <row r="111" spans="1:63" x14ac:dyDescent="0.25">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row>
    <row r="112" spans="1:63" x14ac:dyDescent="0.25">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row>
    <row r="113" spans="1:63" x14ac:dyDescent="0.25">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row>
    <row r="114" spans="1:63" x14ac:dyDescent="0.25">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row>
    <row r="115" spans="1:63" x14ac:dyDescent="0.25">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row>
    <row r="116" spans="1:63" x14ac:dyDescent="0.25">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row>
    <row r="117" spans="1:63" x14ac:dyDescent="0.25">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row>
    <row r="118" spans="1:63" x14ac:dyDescent="0.25">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row>
    <row r="119" spans="1:63" x14ac:dyDescent="0.25">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row>
    <row r="120" spans="1:63" x14ac:dyDescent="0.25">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row>
    <row r="121" spans="1:63" x14ac:dyDescent="0.25">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row>
    <row r="122" spans="1:63" x14ac:dyDescent="0.25">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row>
    <row r="123" spans="1:63" x14ac:dyDescent="0.25">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c r="BI123" s="97"/>
      <c r="BJ123" s="97"/>
      <c r="BK123" s="97"/>
    </row>
    <row r="124" spans="1:63" x14ac:dyDescent="0.25">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row>
    <row r="125" spans="1:63" x14ac:dyDescent="0.25">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row>
    <row r="126" spans="1:63" x14ac:dyDescent="0.25">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row>
    <row r="127" spans="1:63" x14ac:dyDescent="0.25">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row>
    <row r="128" spans="1:63" x14ac:dyDescent="0.25">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row>
    <row r="129" spans="2:63" x14ac:dyDescent="0.25">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row>
    <row r="130" spans="2:63" x14ac:dyDescent="0.25">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row>
    <row r="131" spans="2:63" x14ac:dyDescent="0.25">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row>
    <row r="132" spans="2:63" x14ac:dyDescent="0.25">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row>
    <row r="133" spans="2:63" x14ac:dyDescent="0.25">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row>
    <row r="134" spans="2:63" x14ac:dyDescent="0.25">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row>
    <row r="135" spans="2:63" x14ac:dyDescent="0.25">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row>
    <row r="136" spans="2:63" x14ac:dyDescent="0.25">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row>
    <row r="137" spans="2:63" x14ac:dyDescent="0.25">
      <c r="B137" s="97"/>
      <c r="C137" s="97"/>
      <c r="D137" s="97"/>
      <c r="E137" s="97"/>
      <c r="F137" s="97"/>
      <c r="G137" s="97"/>
      <c r="H137" s="97"/>
      <c r="I137" s="97"/>
    </row>
    <row r="138" spans="2:63" x14ac:dyDescent="0.25">
      <c r="B138" s="97"/>
      <c r="C138" s="97"/>
      <c r="D138" s="97"/>
      <c r="E138" s="97"/>
      <c r="F138" s="97"/>
      <c r="G138" s="97"/>
      <c r="H138" s="97"/>
      <c r="I138" s="97"/>
    </row>
    <row r="139" spans="2:63" x14ac:dyDescent="0.25">
      <c r="B139" s="97"/>
      <c r="C139" s="97"/>
      <c r="D139" s="97"/>
      <c r="E139" s="97"/>
      <c r="F139" s="97"/>
      <c r="G139" s="97"/>
      <c r="H139" s="97"/>
      <c r="I139" s="97"/>
    </row>
    <row r="140" spans="2:63" x14ac:dyDescent="0.25">
      <c r="B140" s="97"/>
      <c r="C140" s="97"/>
      <c r="D140" s="97"/>
      <c r="E140" s="97"/>
      <c r="F140" s="97"/>
      <c r="G140" s="97"/>
      <c r="H140" s="97"/>
      <c r="I140" s="97"/>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election activeCell="W7" sqref="W7:X7"/>
    </sheetView>
  </sheetViews>
  <sheetFormatPr baseColWidth="10" defaultColWidth="11.42578125" defaultRowHeight="15" x14ac:dyDescent="0.25"/>
  <cols>
    <col min="2" max="18" width="5.7109375" customWidth="1"/>
    <col min="19" max="19" width="8.42578125" customWidth="1"/>
    <col min="20" max="22" width="5.7109375" customWidth="1"/>
    <col min="23" max="23" width="8"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97"/>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row>
    <row r="2" spans="1:91" ht="18" customHeight="1" x14ac:dyDescent="0.25">
      <c r="A2" s="97"/>
      <c r="B2" s="431" t="s">
        <v>197</v>
      </c>
      <c r="C2" s="432"/>
      <c r="D2" s="432"/>
      <c r="E2" s="432"/>
      <c r="F2" s="432"/>
      <c r="G2" s="432"/>
      <c r="H2" s="432"/>
      <c r="I2" s="432"/>
      <c r="J2" s="353" t="s">
        <v>15</v>
      </c>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row>
    <row r="3" spans="1:91" ht="18.75" customHeight="1" x14ac:dyDescent="0.25">
      <c r="A3" s="97"/>
      <c r="B3" s="432"/>
      <c r="C3" s="432"/>
      <c r="D3" s="432"/>
      <c r="E3" s="432"/>
      <c r="F3" s="432"/>
      <c r="G3" s="432"/>
      <c r="H3" s="432"/>
      <c r="I3" s="432"/>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row>
    <row r="4" spans="1:91" ht="15" customHeight="1" x14ac:dyDescent="0.25">
      <c r="A4" s="97"/>
      <c r="B4" s="432"/>
      <c r="C4" s="432"/>
      <c r="D4" s="432"/>
      <c r="E4" s="432"/>
      <c r="F4" s="432"/>
      <c r="G4" s="432"/>
      <c r="H4" s="432"/>
      <c r="I4" s="432"/>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row>
    <row r="5" spans="1:91" ht="15.75" thickBot="1" x14ac:dyDescent="0.3">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row>
    <row r="6" spans="1:91" ht="15" customHeight="1" x14ac:dyDescent="0.25">
      <c r="A6" s="97"/>
      <c r="B6" s="364" t="s">
        <v>182</v>
      </c>
      <c r="C6" s="364"/>
      <c r="D6" s="365"/>
      <c r="E6" s="402" t="s">
        <v>183</v>
      </c>
      <c r="F6" s="403"/>
      <c r="G6" s="403"/>
      <c r="H6" s="403"/>
      <c r="I6" s="404"/>
      <c r="J6" s="60" t="str">
        <f>IF(AND('Mapa final'!$Y$10="Muy Alta",'Mapa final'!$AA$10="Leve"),CONCATENATE("R1C",'Mapa final'!$O$10),"")</f>
        <v/>
      </c>
      <c r="K6" s="61" t="str">
        <f>IF(AND('Mapa final'!$Y$11="Muy Alta",'Mapa final'!$AA$11="Leve"),CONCATENATE("R1C",'Mapa final'!$O$11),"")</f>
        <v/>
      </c>
      <c r="L6" s="61" t="str">
        <f>IF(AND('Mapa final'!$Y$12="Muy Alta",'Mapa final'!$AA$12="Leve"),CONCATENATE("R1C",'Mapa final'!$O$12),"")</f>
        <v/>
      </c>
      <c r="M6" s="61" t="str">
        <f>IF(AND('Mapa final'!$Y$13="Muy Alta",'Mapa final'!$AA$13="Leve"),CONCATENATE("R1C",'Mapa final'!$O$13),"")</f>
        <v/>
      </c>
      <c r="N6" s="61" t="str">
        <f>IF(AND('Mapa final'!$Y$14="Muy Alta",'Mapa final'!$AA$14="Leve"),CONCATENATE("R1C",'Mapa final'!$O$14),"")</f>
        <v/>
      </c>
      <c r="O6" s="62" t="str">
        <f>IF(AND('Mapa final'!$Y$15="Muy Alta",'Mapa final'!$AA$15="Leve"),CONCATENATE("R1C",'Mapa final'!$O$15),"")</f>
        <v/>
      </c>
      <c r="P6" s="60" t="str">
        <f>IF(AND('Mapa final'!$Y$10="Muy Alta",'Mapa final'!$AA$10="Menor"),CONCATENATE("R1C",'Mapa final'!$O$10),"")</f>
        <v/>
      </c>
      <c r="Q6" s="61" t="str">
        <f>IF(AND('Mapa final'!$Y$11="Muy Alta",'Mapa final'!$AA$11="Menor"),CONCATENATE("R1C",'Mapa final'!$O$11),"")</f>
        <v/>
      </c>
      <c r="R6" s="61" t="str">
        <f>IF(AND('Mapa final'!$Y$12="Muy Alta",'Mapa final'!$AA$12="Menor"),CONCATENATE("R1C",'Mapa final'!$O$12),"")</f>
        <v/>
      </c>
      <c r="S6" s="61" t="str">
        <f>IF(AND('Mapa final'!$Y$13="Muy Alta",'Mapa final'!$AA$13="Menor"),CONCATENATE("R1C",'Mapa final'!$O$13),"")</f>
        <v/>
      </c>
      <c r="T6" s="61" t="str">
        <f>IF(AND('Mapa final'!$Y$14="Muy Alta",'Mapa final'!$AA$14="Menor"),CONCATENATE("R1C",'Mapa final'!$O$14),"")</f>
        <v/>
      </c>
      <c r="U6" s="62" t="str">
        <f>IF(AND('Mapa final'!$Y$15="Muy Alta",'Mapa final'!$AA$15="Menor"),CONCATENATE("R1C",'Mapa final'!$O$15),"")</f>
        <v/>
      </c>
      <c r="V6" s="60" t="str">
        <f>IF(AND('Mapa final'!$Y$10="Muy Alta",'Mapa final'!$AA$10="Moderado"),CONCATENATE("R1C",'Mapa final'!$O$10),"")</f>
        <v/>
      </c>
      <c r="W6" s="61" t="str">
        <f>IF(AND('Mapa final'!$Y$11="Muy Alta",'Mapa final'!$AA$11="Moderado"),CONCATENATE("R1C",'Mapa final'!$O$11),"")</f>
        <v/>
      </c>
      <c r="X6" s="61" t="str">
        <f>IF(AND('Mapa final'!$Y$12="Muy Alta",'Mapa final'!$AA$12="Moderado"),CONCATENATE("R1C",'Mapa final'!$O$12),"")</f>
        <v/>
      </c>
      <c r="Y6" s="61" t="str">
        <f>IF(AND('Mapa final'!$Y$13="Muy Alta",'Mapa final'!$AA$13="Moderado"),CONCATENATE("R1C",'Mapa final'!$O$13),"")</f>
        <v/>
      </c>
      <c r="Z6" s="61" t="str">
        <f>IF(AND('Mapa final'!$Y$14="Muy Alta",'Mapa final'!$AA$14="Moderado"),CONCATENATE("R1C",'Mapa final'!$O$14),"")</f>
        <v/>
      </c>
      <c r="AA6" s="62" t="str">
        <f>IF(AND('Mapa final'!$Y$15="Muy Alta",'Mapa final'!$AA$15="Moderado"),CONCATENATE("R1C",'Mapa final'!$O$15),"")</f>
        <v/>
      </c>
      <c r="AB6" s="60" t="str">
        <f>IF(AND('Mapa final'!$Y$10="Muy Alta",'Mapa final'!$AA$10="Mayor"),CONCATENATE("R1C",'Mapa final'!$O$10),"")</f>
        <v/>
      </c>
      <c r="AC6" s="61" t="str">
        <f>IF(AND('Mapa final'!$Y$11="Muy Alta",'Mapa final'!$AA$11="Mayor"),CONCATENATE("R1C",'Mapa final'!$O$11),"")</f>
        <v/>
      </c>
      <c r="AD6" s="61" t="str">
        <f>IF(AND('Mapa final'!$Y$12="Muy Alta",'Mapa final'!$AA$12="Mayor"),CONCATENATE("R1C",'Mapa final'!$O$12),"")</f>
        <v/>
      </c>
      <c r="AE6" s="61" t="str">
        <f>IF(AND('Mapa final'!$Y$13="Muy Alta",'Mapa final'!$AA$13="Mayor"),CONCATENATE("R1C",'Mapa final'!$O$13),"")</f>
        <v/>
      </c>
      <c r="AF6" s="61" t="str">
        <f>IF(AND('Mapa final'!$Y$14="Muy Alta",'Mapa final'!$AA$14="Mayor"),CONCATENATE("R1C",'Mapa final'!$O$14),"")</f>
        <v/>
      </c>
      <c r="AG6" s="62" t="str">
        <f>IF(AND('Mapa final'!$Y$15="Muy Alta",'Mapa final'!$AA$15="Mayor"),CONCATENATE("R1C",'Mapa final'!$O$15),"")</f>
        <v/>
      </c>
      <c r="AH6" s="63" t="str">
        <f>IF(AND('Mapa final'!$Y$10="Muy Alta",'Mapa final'!$AA$10="Catastrófico"),CONCATENATE("R1C",'Mapa final'!$O$10),"")</f>
        <v/>
      </c>
      <c r="AI6" s="64" t="str">
        <f>IF(AND('Mapa final'!$Y$11="Muy Alta",'Mapa final'!$AA$11="Catastrófico"),CONCATENATE("R1C",'Mapa final'!$O$11),"")</f>
        <v/>
      </c>
      <c r="AJ6" s="64" t="str">
        <f>IF(AND('Mapa final'!$Y$12="Muy Alta",'Mapa final'!$AA$12="Catastrófico"),CONCATENATE("R1C",'Mapa final'!$O$12),"")</f>
        <v/>
      </c>
      <c r="AK6" s="64" t="str">
        <f>IF(AND('Mapa final'!$Y$13="Muy Alta",'Mapa final'!$AA$13="Catastrófico"),CONCATENATE("R1C",'Mapa final'!$O$13),"")</f>
        <v/>
      </c>
      <c r="AL6" s="64" t="str">
        <f>IF(AND('Mapa final'!$Y$14="Muy Alta",'Mapa final'!$AA$14="Catastrófico"),CONCATENATE("R1C",'Mapa final'!$O$14),"")</f>
        <v/>
      </c>
      <c r="AM6" s="65" t="str">
        <f>IF(AND('Mapa final'!$Y$15="Muy Alta",'Mapa final'!$AA$15="Catastrófico"),CONCATENATE("R1C",'Mapa final'!$O$15),"")</f>
        <v/>
      </c>
      <c r="AN6" s="97"/>
      <c r="AO6" s="422" t="s">
        <v>184</v>
      </c>
      <c r="AP6" s="423"/>
      <c r="AQ6" s="423"/>
      <c r="AR6" s="423"/>
      <c r="AS6" s="423"/>
      <c r="AT6" s="424"/>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row>
    <row r="7" spans="1:91" ht="15" customHeight="1" x14ac:dyDescent="0.25">
      <c r="A7" s="97"/>
      <c r="B7" s="364"/>
      <c r="C7" s="364"/>
      <c r="D7" s="365"/>
      <c r="E7" s="405"/>
      <c r="F7" s="406"/>
      <c r="G7" s="406"/>
      <c r="H7" s="406"/>
      <c r="I7" s="407"/>
      <c r="J7" s="66" t="str">
        <f>IF(AND('Mapa final'!$Y$16="Muy Alta",'Mapa final'!$AA$16="Leve"),CONCATENATE("R2C",'Mapa final'!$O$16),"")</f>
        <v/>
      </c>
      <c r="K7" s="67" t="str">
        <f>IF(AND('Mapa final'!$Y$17="Muy Alta",'Mapa final'!$AA$17="Leve"),CONCATENATE("R2C",'Mapa final'!$O$17),"")</f>
        <v/>
      </c>
      <c r="L7" s="67" t="str">
        <f>IF(AND('Mapa final'!$Y$18="Muy Alta",'Mapa final'!$AA$18="Leve"),CONCATENATE("R2C",'Mapa final'!$O$18),"")</f>
        <v/>
      </c>
      <c r="M7" s="67" t="str">
        <f>IF(AND('Mapa final'!$Y$19="Muy Alta",'Mapa final'!$AA$19="Leve"),CONCATENATE("R2C",'Mapa final'!$O$19),"")</f>
        <v/>
      </c>
      <c r="N7" s="67" t="str">
        <f>IF(AND('Mapa final'!$Y$20="Muy Alta",'Mapa final'!$AA$20="Leve"),CONCATENATE("R2C",'Mapa final'!$O$20),"")</f>
        <v/>
      </c>
      <c r="O7" s="68" t="str">
        <f>IF(AND('Mapa final'!$Y$21="Muy Alta",'Mapa final'!$AA$21="Leve"),CONCATENATE("R2C",'Mapa final'!$O$21),"")</f>
        <v/>
      </c>
      <c r="P7" s="66" t="str">
        <f>IF(AND('Mapa final'!$Y$16="Muy Alta",'Mapa final'!$AA$16="Menor"),CONCATENATE("R2C",'Mapa final'!$O$16),"")</f>
        <v/>
      </c>
      <c r="Q7" s="67" t="str">
        <f>IF(AND('Mapa final'!$Y$17="Muy Alta",'Mapa final'!$AA$17="Menor"),CONCATENATE("R2C",'Mapa final'!$O$17),"")</f>
        <v/>
      </c>
      <c r="R7" s="67" t="str">
        <f>IF(AND('Mapa final'!$Y$18="Muy Alta",'Mapa final'!$AA$18="Menor"),CONCATENATE("R2C",'Mapa final'!$O$18),"")</f>
        <v/>
      </c>
      <c r="S7" s="67" t="str">
        <f>IF(AND('Mapa final'!$Y$19="Muy Alta",'Mapa final'!$AA$19="Menor"),CONCATENATE("R2C",'Mapa final'!$O$19),"")</f>
        <v/>
      </c>
      <c r="T7" s="67" t="str">
        <f>IF(AND('Mapa final'!$Y$20="Muy Alta",'Mapa final'!$AA$20="Menor"),CONCATENATE("R2C",'Mapa final'!$O$20),"")</f>
        <v/>
      </c>
      <c r="U7" s="68" t="str">
        <f>IF(AND('Mapa final'!$Y$21="Muy Alta",'Mapa final'!$AA$21="Menor"),CONCATENATE("R2C",'Mapa final'!$O$21),"")</f>
        <v/>
      </c>
      <c r="V7" s="66" t="str">
        <f>IF(AND('Mapa final'!$Y$16="Muy Alta",'Mapa final'!$AA$16="Moderado"),CONCATENATE("R2C",'Mapa final'!$O$16),"")</f>
        <v/>
      </c>
      <c r="W7" s="67" t="str">
        <f>IF(AND('Mapa final'!$Y$17="Muy Alta",'Mapa final'!$AA$17="Moderado"),CONCATENATE("R2C",'Mapa final'!$O$17),"")</f>
        <v/>
      </c>
      <c r="X7" s="67" t="str">
        <f>IF(AND('Mapa final'!$Y$18="Muy Alta",'Mapa final'!$AA$18="Moderado"),CONCATENATE("R2C",'Mapa final'!$O$18),"")</f>
        <v/>
      </c>
      <c r="Y7" s="67" t="str">
        <f>IF(AND('Mapa final'!$Y$19="Muy Alta",'Mapa final'!$AA$19="Moderado"),CONCATENATE("R2C",'Mapa final'!$O$19),"")</f>
        <v/>
      </c>
      <c r="Z7" s="67" t="str">
        <f>IF(AND('Mapa final'!$Y$20="Muy Alta",'Mapa final'!$AA$20="Moderado"),CONCATENATE("R2C",'Mapa final'!$O$20),"")</f>
        <v/>
      </c>
      <c r="AA7" s="68" t="str">
        <f>IF(AND('Mapa final'!$Y$21="Muy Alta",'Mapa final'!$AA$21="Moderado"),CONCATENATE("R2C",'Mapa final'!$O$21),"")</f>
        <v/>
      </c>
      <c r="AB7" s="66" t="str">
        <f>IF(AND('Mapa final'!$Y$16="Muy Alta",'Mapa final'!$AA$16="Mayor"),CONCATENATE("R2C",'Mapa final'!$O$16),"")</f>
        <v/>
      </c>
      <c r="AC7" s="67" t="str">
        <f>IF(AND('Mapa final'!$Y$17="Muy Alta",'Mapa final'!$AA$17="Mayor"),CONCATENATE("R2C",'Mapa final'!$O$17),"")</f>
        <v/>
      </c>
      <c r="AD7" s="67" t="str">
        <f>IF(AND('Mapa final'!$Y$18="Muy Alta",'Mapa final'!$AA$18="Mayor"),CONCATENATE("R2C",'Mapa final'!$O$18),"")</f>
        <v/>
      </c>
      <c r="AE7" s="67" t="str">
        <f>IF(AND('Mapa final'!$Y$19="Muy Alta",'Mapa final'!$AA$19="Mayor"),CONCATENATE("R2C",'Mapa final'!$O$19),"")</f>
        <v/>
      </c>
      <c r="AF7" s="67" t="str">
        <f>IF(AND('Mapa final'!$Y$20="Muy Alta",'Mapa final'!$AA$20="Mayor"),CONCATENATE("R2C",'Mapa final'!$O$20),"")</f>
        <v/>
      </c>
      <c r="AG7" s="68" t="str">
        <f>IF(AND('Mapa final'!$Y$21="Muy Alta",'Mapa final'!$AA$21="Mayor"),CONCATENATE("R2C",'Mapa final'!$O$21),"")</f>
        <v/>
      </c>
      <c r="AH7" s="69" t="str">
        <f>IF(AND('Mapa final'!$Y$16="Muy Alta",'Mapa final'!$AA$16="Catastrófico"),CONCATENATE("R2C",'Mapa final'!$O$16),"")</f>
        <v/>
      </c>
      <c r="AI7" s="70" t="str">
        <f>IF(AND('Mapa final'!$Y$17="Muy Alta",'Mapa final'!$AA$17="Catastrófico"),CONCATENATE("R2C",'Mapa final'!$O$17),"")</f>
        <v/>
      </c>
      <c r="AJ7" s="70" t="str">
        <f>IF(AND('Mapa final'!$Y$18="Muy Alta",'Mapa final'!$AA$18="Catastrófico"),CONCATENATE("R2C",'Mapa final'!$O$18),"")</f>
        <v/>
      </c>
      <c r="AK7" s="70" t="str">
        <f>IF(AND('Mapa final'!$Y$19="Muy Alta",'Mapa final'!$AA$19="Catastrófico"),CONCATENATE("R2C",'Mapa final'!$O$19),"")</f>
        <v/>
      </c>
      <c r="AL7" s="70" t="str">
        <f>IF(AND('Mapa final'!$Y$20="Muy Alta",'Mapa final'!$AA$20="Catastrófico"),CONCATENATE("R2C",'Mapa final'!$O$20),"")</f>
        <v/>
      </c>
      <c r="AM7" s="71" t="str">
        <f>IF(AND('Mapa final'!$Y$21="Muy Alta",'Mapa final'!$AA$21="Catastrófico"),CONCATENATE("R2C",'Mapa final'!$O$21),"")</f>
        <v/>
      </c>
      <c r="AN7" s="97"/>
      <c r="AO7" s="425"/>
      <c r="AP7" s="426"/>
      <c r="AQ7" s="426"/>
      <c r="AR7" s="426"/>
      <c r="AS7" s="426"/>
      <c r="AT7" s="42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row>
    <row r="8" spans="1:91" ht="15" customHeight="1" x14ac:dyDescent="0.25">
      <c r="A8" s="97"/>
      <c r="B8" s="364"/>
      <c r="C8" s="364"/>
      <c r="D8" s="365"/>
      <c r="E8" s="405"/>
      <c r="F8" s="406"/>
      <c r="G8" s="406"/>
      <c r="H8" s="406"/>
      <c r="I8" s="407"/>
      <c r="J8" s="66" t="str">
        <f>IF(AND('Mapa final'!$Y$22="Muy Alta",'Mapa final'!$AA$22="Leve"),CONCATENATE("R3C",'Mapa final'!$O$22),"")</f>
        <v/>
      </c>
      <c r="K8" s="67" t="str">
        <f>IF(AND('Mapa final'!$Y$23="Muy Alta",'Mapa final'!$AA$23="Leve"),CONCATENATE("R3C",'Mapa final'!$O$23),"")</f>
        <v/>
      </c>
      <c r="L8" s="67" t="str">
        <f>IF(AND('Mapa final'!$Y$24="Muy Alta",'Mapa final'!$AA$24="Leve"),CONCATENATE("R3C",'Mapa final'!$O$24),"")</f>
        <v/>
      </c>
      <c r="M8" s="67" t="str">
        <f>IF(AND('Mapa final'!$Y$25="Muy Alta",'Mapa final'!$AA$25="Leve"),CONCATENATE("R3C",'Mapa final'!$O$25),"")</f>
        <v/>
      </c>
      <c r="N8" s="67" t="str">
        <f>IF(AND('Mapa final'!$Y$26="Muy Alta",'Mapa final'!$AA$26="Leve"),CONCATENATE("R3C",'Mapa final'!$O$26),"")</f>
        <v/>
      </c>
      <c r="O8" s="68" t="str">
        <f>IF(AND('Mapa final'!$Y$27="Muy Alta",'Mapa final'!$AA$27="Leve"),CONCATENATE("R3C",'Mapa final'!$O$27),"")</f>
        <v/>
      </c>
      <c r="P8" s="66" t="str">
        <f>IF(AND('Mapa final'!$Y$22="Muy Alta",'Mapa final'!$AA$22="Menor"),CONCATENATE("R3C",'Mapa final'!$O$22),"")</f>
        <v/>
      </c>
      <c r="Q8" s="67" t="str">
        <f>IF(AND('Mapa final'!$Y$23="Muy Alta",'Mapa final'!$AA$23="Menor"),CONCATENATE("R3C",'Mapa final'!$O$23),"")</f>
        <v/>
      </c>
      <c r="R8" s="67" t="str">
        <f>IF(AND('Mapa final'!$Y$24="Muy Alta",'Mapa final'!$AA$24="Menor"),CONCATENATE("R3C",'Mapa final'!$O$24),"")</f>
        <v/>
      </c>
      <c r="S8" s="67" t="str">
        <f>IF(AND('Mapa final'!$Y$25="Muy Alta",'Mapa final'!$AA$25="Menor"),CONCATENATE("R3C",'Mapa final'!$O$25),"")</f>
        <v/>
      </c>
      <c r="T8" s="67" t="str">
        <f>IF(AND('Mapa final'!$Y$26="Muy Alta",'Mapa final'!$AA$26="Menor"),CONCATENATE("R3C",'Mapa final'!$O$26),"")</f>
        <v/>
      </c>
      <c r="U8" s="68" t="str">
        <f>IF(AND('Mapa final'!$Y$27="Muy Alta",'Mapa final'!$AA$27="Menor"),CONCATENATE("R3C",'Mapa final'!$O$27),"")</f>
        <v/>
      </c>
      <c r="V8" s="66" t="str">
        <f>IF(AND('Mapa final'!$Y$22="Muy Alta",'Mapa final'!$AA$22="Moderado"),CONCATENATE("R3C",'Mapa final'!$O$22),"")</f>
        <v/>
      </c>
      <c r="W8" s="67" t="str">
        <f>IF(AND('Mapa final'!$Y$23="Muy Alta",'Mapa final'!$AA$23="Moderado"),CONCATENATE("R3C",'Mapa final'!$O$23),"")</f>
        <v/>
      </c>
      <c r="X8" s="67" t="str">
        <f>IF(AND('Mapa final'!$Y$24="Muy Alta",'Mapa final'!$AA$24="Moderado"),CONCATENATE("R3C",'Mapa final'!$O$24),"")</f>
        <v/>
      </c>
      <c r="Y8" s="67" t="str">
        <f>IF(AND('Mapa final'!$Y$25="Muy Alta",'Mapa final'!$AA$25="Moderado"),CONCATENATE("R3C",'Mapa final'!$O$25),"")</f>
        <v/>
      </c>
      <c r="Z8" s="67" t="str">
        <f>IF(AND('Mapa final'!$Y$26="Muy Alta",'Mapa final'!$AA$26="Moderado"),CONCATENATE("R3C",'Mapa final'!$O$26),"")</f>
        <v/>
      </c>
      <c r="AA8" s="68" t="str">
        <f>IF(AND('Mapa final'!$Y$27="Muy Alta",'Mapa final'!$AA$27="Moderado"),CONCATENATE("R3C",'Mapa final'!$O$27),"")</f>
        <v/>
      </c>
      <c r="AB8" s="66" t="str">
        <f>IF(AND('Mapa final'!$Y$22="Muy Alta",'Mapa final'!$AA$22="Mayor"),CONCATENATE("R3C",'Mapa final'!$O$22),"")</f>
        <v/>
      </c>
      <c r="AC8" s="67" t="str">
        <f>IF(AND('Mapa final'!$Y$23="Muy Alta",'Mapa final'!$AA$23="Mayor"),CONCATENATE("R3C",'Mapa final'!$O$23),"")</f>
        <v/>
      </c>
      <c r="AD8" s="67" t="str">
        <f>IF(AND('Mapa final'!$Y$24="Muy Alta",'Mapa final'!$AA$24="Mayor"),CONCATENATE("R3C",'Mapa final'!$O$24),"")</f>
        <v/>
      </c>
      <c r="AE8" s="67" t="str">
        <f>IF(AND('Mapa final'!$Y$25="Muy Alta",'Mapa final'!$AA$25="Mayor"),CONCATENATE("R3C",'Mapa final'!$O$25),"")</f>
        <v/>
      </c>
      <c r="AF8" s="67" t="str">
        <f>IF(AND('Mapa final'!$Y$26="Muy Alta",'Mapa final'!$AA$26="Mayor"),CONCATENATE("R3C",'Mapa final'!$O$26),"")</f>
        <v/>
      </c>
      <c r="AG8" s="68" t="str">
        <f>IF(AND('Mapa final'!$Y$27="Muy Alta",'Mapa final'!$AA$27="Mayor"),CONCATENATE("R3C",'Mapa final'!$O$27),"")</f>
        <v/>
      </c>
      <c r="AH8" s="69" t="str">
        <f>IF(AND('Mapa final'!$Y$22="Muy Alta",'Mapa final'!$AA$22="Catastrófico"),CONCATENATE("R3C",'Mapa final'!$O$22),"")</f>
        <v/>
      </c>
      <c r="AI8" s="70" t="str">
        <f>IF(AND('Mapa final'!$Y$23="Muy Alta",'Mapa final'!$AA$23="Catastrófico"),CONCATENATE("R3C",'Mapa final'!$O$23),"")</f>
        <v/>
      </c>
      <c r="AJ8" s="70" t="str">
        <f>IF(AND('Mapa final'!$Y$24="Muy Alta",'Mapa final'!$AA$24="Catastrófico"),CONCATENATE("R3C",'Mapa final'!$O$24),"")</f>
        <v/>
      </c>
      <c r="AK8" s="70" t="str">
        <f>IF(AND('Mapa final'!$Y$25="Muy Alta",'Mapa final'!$AA$25="Catastrófico"),CONCATENATE("R3C",'Mapa final'!$O$25),"")</f>
        <v/>
      </c>
      <c r="AL8" s="70" t="str">
        <f>IF(AND('Mapa final'!$Y$26="Muy Alta",'Mapa final'!$AA$26="Catastrófico"),CONCATENATE("R3C",'Mapa final'!$O$26),"")</f>
        <v/>
      </c>
      <c r="AM8" s="71" t="str">
        <f>IF(AND('Mapa final'!$Y$27="Muy Alta",'Mapa final'!$AA$27="Catastrófico"),CONCATENATE("R3C",'Mapa final'!$O$27),"")</f>
        <v/>
      </c>
      <c r="AN8" s="97"/>
      <c r="AO8" s="425"/>
      <c r="AP8" s="426"/>
      <c r="AQ8" s="426"/>
      <c r="AR8" s="426"/>
      <c r="AS8" s="426"/>
      <c r="AT8" s="42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row>
    <row r="9" spans="1:91" ht="15" customHeight="1" x14ac:dyDescent="0.25">
      <c r="A9" s="97"/>
      <c r="B9" s="364"/>
      <c r="C9" s="364"/>
      <c r="D9" s="365"/>
      <c r="E9" s="405"/>
      <c r="F9" s="406"/>
      <c r="G9" s="406"/>
      <c r="H9" s="406"/>
      <c r="I9" s="407"/>
      <c r="J9" s="66" t="str">
        <f>IF(AND('Mapa final'!$Y$28="Muy Alta",'Mapa final'!$AA$28="Leve"),CONCATENATE("R4C",'Mapa final'!$O$28),"")</f>
        <v/>
      </c>
      <c r="K9" s="67" t="str">
        <f>IF(AND('Mapa final'!$Y$29="Muy Alta",'Mapa final'!$AA$29="Leve"),CONCATENATE("R4C",'Mapa final'!$O$29),"")</f>
        <v/>
      </c>
      <c r="L9" s="67" t="str">
        <f>IF(AND('Mapa final'!$Y$30="Muy Alta",'Mapa final'!$AA$30="Leve"),CONCATENATE("R4C",'Mapa final'!$O$30),"")</f>
        <v/>
      </c>
      <c r="M9" s="67" t="str">
        <f>IF(AND('Mapa final'!$Y$31="Muy Alta",'Mapa final'!$AA$31="Leve"),CONCATENATE("R4C",'Mapa final'!$O$31),"")</f>
        <v/>
      </c>
      <c r="N9" s="67" t="str">
        <f>IF(AND('Mapa final'!$Y$32="Muy Alta",'Mapa final'!$AA$32="Leve"),CONCATENATE("R4C",'Mapa final'!$O$32),"")</f>
        <v/>
      </c>
      <c r="O9" s="68" t="str">
        <f>IF(AND('Mapa final'!$Y$33="Muy Alta",'Mapa final'!$AA$33="Leve"),CONCATENATE("R4C",'Mapa final'!$O$33),"")</f>
        <v/>
      </c>
      <c r="P9" s="66" t="str">
        <f>IF(AND('Mapa final'!$Y$28="Muy Alta",'Mapa final'!$AA$28="Menor"),CONCATENATE("R4C",'Mapa final'!$O$28),"")</f>
        <v/>
      </c>
      <c r="Q9" s="67" t="str">
        <f>IF(AND('Mapa final'!$Y$29="Muy Alta",'Mapa final'!$AA$29="Menor"),CONCATENATE("R4C",'Mapa final'!$O$29),"")</f>
        <v/>
      </c>
      <c r="R9" s="67" t="str">
        <f>IF(AND('Mapa final'!$Y$30="Muy Alta",'Mapa final'!$AA$30="Menor"),CONCATENATE("R4C",'Mapa final'!$O$30),"")</f>
        <v/>
      </c>
      <c r="S9" s="67" t="str">
        <f>IF(AND('Mapa final'!$Y$31="Muy Alta",'Mapa final'!$AA$31="Menor"),CONCATENATE("R4C",'Mapa final'!$O$31),"")</f>
        <v/>
      </c>
      <c r="T9" s="67" t="str">
        <f>IF(AND('Mapa final'!$Y$32="Muy Alta",'Mapa final'!$AA$32="Menor"),CONCATENATE("R4C",'Mapa final'!$O$32),"")</f>
        <v/>
      </c>
      <c r="U9" s="68" t="str">
        <f>IF(AND('Mapa final'!$Y$33="Muy Alta",'Mapa final'!$AA$33="Menor"),CONCATENATE("R4C",'Mapa final'!$O$33),"")</f>
        <v/>
      </c>
      <c r="V9" s="66" t="str">
        <f>IF(AND('Mapa final'!$Y$28="Muy Alta",'Mapa final'!$AA$28="Moderado"),CONCATENATE("R4C",'Mapa final'!$O$28),"")</f>
        <v/>
      </c>
      <c r="W9" s="67" t="str">
        <f>IF(AND('Mapa final'!$Y$29="Muy Alta",'Mapa final'!$AA$29="Moderado"),CONCATENATE("R4C",'Mapa final'!$O$29),"")</f>
        <v/>
      </c>
      <c r="X9" s="67" t="str">
        <f>IF(AND('Mapa final'!$Y$30="Muy Alta",'Mapa final'!$AA$30="Moderado"),CONCATENATE("R4C",'Mapa final'!$O$30),"")</f>
        <v/>
      </c>
      <c r="Y9" s="67" t="str">
        <f>IF(AND('Mapa final'!$Y$31="Muy Alta",'Mapa final'!$AA$31="Moderado"),CONCATENATE("R4C",'Mapa final'!$O$31),"")</f>
        <v/>
      </c>
      <c r="Z9" s="67" t="str">
        <f>IF(AND('Mapa final'!$Y$32="Muy Alta",'Mapa final'!$AA$32="Moderado"),CONCATENATE("R4C",'Mapa final'!$O$32),"")</f>
        <v/>
      </c>
      <c r="AA9" s="68" t="str">
        <f>IF(AND('Mapa final'!$Y$33="Muy Alta",'Mapa final'!$AA$33="Moderado"),CONCATENATE("R4C",'Mapa final'!$O$33),"")</f>
        <v/>
      </c>
      <c r="AB9" s="66" t="str">
        <f>IF(AND('Mapa final'!$Y$28="Muy Alta",'Mapa final'!$AA$28="Mayor"),CONCATENATE("R4C",'Mapa final'!$O$28),"")</f>
        <v/>
      </c>
      <c r="AC9" s="67" t="str">
        <f>IF(AND('Mapa final'!$Y$29="Muy Alta",'Mapa final'!$AA$29="Mayor"),CONCATENATE("R4C",'Mapa final'!$O$29),"")</f>
        <v/>
      </c>
      <c r="AD9" s="67" t="str">
        <f>IF(AND('Mapa final'!$Y$30="Muy Alta",'Mapa final'!$AA$30="Mayor"),CONCATENATE("R4C",'Mapa final'!$O$30),"")</f>
        <v/>
      </c>
      <c r="AE9" s="67" t="str">
        <f>IF(AND('Mapa final'!$Y$31="Muy Alta",'Mapa final'!$AA$31="Mayor"),CONCATENATE("R4C",'Mapa final'!$O$31),"")</f>
        <v/>
      </c>
      <c r="AF9" s="67" t="str">
        <f>IF(AND('Mapa final'!$Y$32="Muy Alta",'Mapa final'!$AA$32="Mayor"),CONCATENATE("R4C",'Mapa final'!$O$32),"")</f>
        <v/>
      </c>
      <c r="AG9" s="68" t="str">
        <f>IF(AND('Mapa final'!$Y$33="Muy Alta",'Mapa final'!$AA$33="Mayor"),CONCATENATE("R4C",'Mapa final'!$O$33),"")</f>
        <v/>
      </c>
      <c r="AH9" s="69" t="str">
        <f>IF(AND('Mapa final'!$Y$28="Muy Alta",'Mapa final'!$AA$28="Catastrófico"),CONCATENATE("R4C",'Mapa final'!$O$28),"")</f>
        <v/>
      </c>
      <c r="AI9" s="70" t="str">
        <f>IF(AND('Mapa final'!$Y$29="Muy Alta",'Mapa final'!$AA$29="Catastrófico"),CONCATENATE("R4C",'Mapa final'!$O$29),"")</f>
        <v/>
      </c>
      <c r="AJ9" s="70" t="str">
        <f>IF(AND('Mapa final'!$Y$30="Muy Alta",'Mapa final'!$AA$30="Catastrófico"),CONCATENATE("R4C",'Mapa final'!$O$30),"")</f>
        <v/>
      </c>
      <c r="AK9" s="70" t="str">
        <f>IF(AND('Mapa final'!$Y$31="Muy Alta",'Mapa final'!$AA$31="Catastrófico"),CONCATENATE("R4C",'Mapa final'!$O$31),"")</f>
        <v/>
      </c>
      <c r="AL9" s="70" t="str">
        <f>IF(AND('Mapa final'!$Y$32="Muy Alta",'Mapa final'!$AA$32="Catastrófico"),CONCATENATE("R4C",'Mapa final'!$O$32),"")</f>
        <v/>
      </c>
      <c r="AM9" s="71" t="str">
        <f>IF(AND('Mapa final'!$Y$33="Muy Alta",'Mapa final'!$AA$33="Catastrófico"),CONCATENATE("R4C",'Mapa final'!$O$33),"")</f>
        <v/>
      </c>
      <c r="AN9" s="97"/>
      <c r="AO9" s="425"/>
      <c r="AP9" s="426"/>
      <c r="AQ9" s="426"/>
      <c r="AR9" s="426"/>
      <c r="AS9" s="426"/>
      <c r="AT9" s="42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row>
    <row r="10" spans="1:91" ht="15" customHeight="1" x14ac:dyDescent="0.25">
      <c r="A10" s="97"/>
      <c r="B10" s="364"/>
      <c r="C10" s="364"/>
      <c r="D10" s="365"/>
      <c r="E10" s="405"/>
      <c r="F10" s="406"/>
      <c r="G10" s="406"/>
      <c r="H10" s="406"/>
      <c r="I10" s="407"/>
      <c r="J10" s="66" t="str">
        <f>IF(AND('Mapa final'!$Y$34="Muy Alta",'Mapa final'!$AA$34="Leve"),CONCATENATE("R5C",'Mapa final'!$O$34),"")</f>
        <v/>
      </c>
      <c r="K10" s="67" t="str">
        <f>IF(AND('Mapa final'!$Y$35="Muy Alta",'Mapa final'!$AA$35="Leve"),CONCATENATE("R5C",'Mapa final'!$O$35),"")</f>
        <v/>
      </c>
      <c r="L10" s="67" t="str">
        <f>IF(AND('Mapa final'!$Y$36="Muy Alta",'Mapa final'!$AA$36="Leve"),CONCATENATE("R5C",'Mapa final'!$O$36),"")</f>
        <v/>
      </c>
      <c r="M10" s="67" t="str">
        <f>IF(AND('Mapa final'!$Y$37="Muy Alta",'Mapa final'!$AA$37="Leve"),CONCATENATE("R5C",'Mapa final'!$O$37),"")</f>
        <v/>
      </c>
      <c r="N10" s="67" t="str">
        <f>IF(AND('Mapa final'!$Y$38="Muy Alta",'Mapa final'!$AA$38="Leve"),CONCATENATE("R5C",'Mapa final'!$O$38),"")</f>
        <v/>
      </c>
      <c r="O10" s="68" t="str">
        <f>IF(AND('Mapa final'!$Y$39="Muy Alta",'Mapa final'!$AA$39="Leve"),CONCATENATE("R5C",'Mapa final'!$O$39),"")</f>
        <v/>
      </c>
      <c r="P10" s="66" t="str">
        <f>IF(AND('Mapa final'!$Y$34="Muy Alta",'Mapa final'!$AA$34="Menor"),CONCATENATE("R5C",'Mapa final'!$O$34),"")</f>
        <v/>
      </c>
      <c r="Q10" s="67" t="str">
        <f>IF(AND('Mapa final'!$Y$35="Muy Alta",'Mapa final'!$AA$35="Menor"),CONCATENATE("R5C",'Mapa final'!$O$35),"")</f>
        <v/>
      </c>
      <c r="R10" s="67" t="str">
        <f>IF(AND('Mapa final'!$Y$36="Muy Alta",'Mapa final'!$AA$36="Menor"),CONCATENATE("R5C",'Mapa final'!$O$36),"")</f>
        <v/>
      </c>
      <c r="S10" s="67" t="str">
        <f>IF(AND('Mapa final'!$Y$37="Muy Alta",'Mapa final'!$AA$37="Menor"),CONCATENATE("R5C",'Mapa final'!$O$37),"")</f>
        <v/>
      </c>
      <c r="T10" s="67" t="str">
        <f>IF(AND('Mapa final'!$Y$38="Muy Alta",'Mapa final'!$AA$38="Menor"),CONCATENATE("R5C",'Mapa final'!$O$38),"")</f>
        <v/>
      </c>
      <c r="U10" s="68" t="str">
        <f>IF(AND('Mapa final'!$Y$39="Muy Alta",'Mapa final'!$AA$39="Menor"),CONCATENATE("R5C",'Mapa final'!$O$39),"")</f>
        <v/>
      </c>
      <c r="V10" s="66" t="str">
        <f>IF(AND('Mapa final'!$Y$34="Muy Alta",'Mapa final'!$AA$34="Moderado"),CONCATENATE("R5C",'Mapa final'!$O$34),"")</f>
        <v/>
      </c>
      <c r="W10" s="67" t="str">
        <f>IF(AND('Mapa final'!$Y$35="Muy Alta",'Mapa final'!$AA$35="Moderado"),CONCATENATE("R5C",'Mapa final'!$O$35),"")</f>
        <v/>
      </c>
      <c r="X10" s="67" t="str">
        <f>IF(AND('Mapa final'!$Y$36="Muy Alta",'Mapa final'!$AA$36="Moderado"),CONCATENATE("R5C",'Mapa final'!$O$36),"")</f>
        <v/>
      </c>
      <c r="Y10" s="67" t="str">
        <f>IF(AND('Mapa final'!$Y$37="Muy Alta",'Mapa final'!$AA$37="Moderado"),CONCATENATE("R5C",'Mapa final'!$O$37),"")</f>
        <v/>
      </c>
      <c r="Z10" s="67" t="str">
        <f>IF(AND('Mapa final'!$Y$38="Muy Alta",'Mapa final'!$AA$38="Moderado"),CONCATENATE("R5C",'Mapa final'!$O$38),"")</f>
        <v/>
      </c>
      <c r="AA10" s="68" t="str">
        <f>IF(AND('Mapa final'!$Y$39="Muy Alta",'Mapa final'!$AA$39="Moderado"),CONCATENATE("R5C",'Mapa final'!$O$39),"")</f>
        <v/>
      </c>
      <c r="AB10" s="66" t="str">
        <f>IF(AND('Mapa final'!$Y$34="Muy Alta",'Mapa final'!$AA$34="Mayor"),CONCATENATE("R5C",'Mapa final'!$O$34),"")</f>
        <v/>
      </c>
      <c r="AC10" s="67" t="str">
        <f>IF(AND('Mapa final'!$Y$35="Muy Alta",'Mapa final'!$AA$35="Mayor"),CONCATENATE("R5C",'Mapa final'!$O$35),"")</f>
        <v/>
      </c>
      <c r="AD10" s="67" t="str">
        <f>IF(AND('Mapa final'!$Y$36="Muy Alta",'Mapa final'!$AA$36="Mayor"),CONCATENATE("R5C",'Mapa final'!$O$36),"")</f>
        <v/>
      </c>
      <c r="AE10" s="67" t="str">
        <f>IF(AND('Mapa final'!$Y$37="Muy Alta",'Mapa final'!$AA$37="Mayor"),CONCATENATE("R5C",'Mapa final'!$O$37),"")</f>
        <v/>
      </c>
      <c r="AF10" s="67" t="str">
        <f>IF(AND('Mapa final'!$Y$38="Muy Alta",'Mapa final'!$AA$38="Mayor"),CONCATENATE("R5C",'Mapa final'!$O$38),"")</f>
        <v/>
      </c>
      <c r="AG10" s="68" t="str">
        <f>IF(AND('Mapa final'!$Y$39="Muy Alta",'Mapa final'!$AA$39="Mayor"),CONCATENATE("R5C",'Mapa final'!$O$39),"")</f>
        <v/>
      </c>
      <c r="AH10" s="69" t="str">
        <f>IF(AND('Mapa final'!$Y$34="Muy Alta",'Mapa final'!$AA$34="Catastrófico"),CONCATENATE("R5C",'Mapa final'!$O$34),"")</f>
        <v/>
      </c>
      <c r="AI10" s="70" t="str">
        <f>IF(AND('Mapa final'!$Y$35="Muy Alta",'Mapa final'!$AA$35="Catastrófico"),CONCATENATE("R5C",'Mapa final'!$O$35),"")</f>
        <v/>
      </c>
      <c r="AJ10" s="70" t="str">
        <f>IF(AND('Mapa final'!$Y$36="Muy Alta",'Mapa final'!$AA$36="Catastrófico"),CONCATENATE("R5C",'Mapa final'!$O$36),"")</f>
        <v/>
      </c>
      <c r="AK10" s="70" t="str">
        <f>IF(AND('Mapa final'!$Y$37="Muy Alta",'Mapa final'!$AA$37="Catastrófico"),CONCATENATE("R5C",'Mapa final'!$O$37),"")</f>
        <v/>
      </c>
      <c r="AL10" s="70" t="str">
        <f>IF(AND('Mapa final'!$Y$38="Muy Alta",'Mapa final'!$AA$38="Catastrófico"),CONCATENATE("R5C",'Mapa final'!$O$38),"")</f>
        <v/>
      </c>
      <c r="AM10" s="71" t="str">
        <f>IF(AND('Mapa final'!$Y$39="Muy Alta",'Mapa final'!$AA$39="Catastrófico"),CONCATENATE("R5C",'Mapa final'!$O$39),"")</f>
        <v/>
      </c>
      <c r="AN10" s="97"/>
      <c r="AO10" s="425"/>
      <c r="AP10" s="426"/>
      <c r="AQ10" s="426"/>
      <c r="AR10" s="426"/>
      <c r="AS10" s="426"/>
      <c r="AT10" s="42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row>
    <row r="11" spans="1:91" ht="15" customHeight="1" x14ac:dyDescent="0.25">
      <c r="A11" s="97"/>
      <c r="B11" s="364"/>
      <c r="C11" s="364"/>
      <c r="D11" s="365"/>
      <c r="E11" s="405"/>
      <c r="F11" s="406"/>
      <c r="G11" s="406"/>
      <c r="H11" s="406"/>
      <c r="I11" s="407"/>
      <c r="J11" s="66" t="str">
        <f>IF(AND('Mapa final'!$Y$40="Muy Alta",'Mapa final'!$AA$40="Leve"),CONCATENATE("R6C",'Mapa final'!$O$40),"")</f>
        <v/>
      </c>
      <c r="K11" s="67" t="str">
        <f>IF(AND('Mapa final'!$Y$41="Muy Alta",'Mapa final'!$AA$41="Leve"),CONCATENATE("R6C",'Mapa final'!$O$41),"")</f>
        <v/>
      </c>
      <c r="L11" s="67" t="str">
        <f>IF(AND('Mapa final'!$Y$42="Muy Alta",'Mapa final'!$AA$42="Leve"),CONCATENATE("R6C",'Mapa final'!$O$42),"")</f>
        <v/>
      </c>
      <c r="M11" s="67" t="str">
        <f>IF(AND('Mapa final'!$Y$43="Muy Alta",'Mapa final'!$AA$43="Leve"),CONCATENATE("R6C",'Mapa final'!$O$43),"")</f>
        <v/>
      </c>
      <c r="N11" s="67" t="str">
        <f>IF(AND('Mapa final'!$Y$44="Muy Alta",'Mapa final'!$AA$44="Leve"),CONCATENATE("R6C",'Mapa final'!$O$44),"")</f>
        <v/>
      </c>
      <c r="O11" s="68" t="str">
        <f>IF(AND('Mapa final'!$Y$45="Muy Alta",'Mapa final'!$AA$45="Leve"),CONCATENATE("R6C",'Mapa final'!$O$45),"")</f>
        <v/>
      </c>
      <c r="P11" s="66" t="str">
        <f>IF(AND('Mapa final'!$Y$40="Muy Alta",'Mapa final'!$AA$40="Menor"),CONCATENATE("R6C",'Mapa final'!$O$40),"")</f>
        <v/>
      </c>
      <c r="Q11" s="67" t="str">
        <f>IF(AND('Mapa final'!$Y$41="Muy Alta",'Mapa final'!$AA$41="Menor"),CONCATENATE("R6C",'Mapa final'!$O$41),"")</f>
        <v/>
      </c>
      <c r="R11" s="67" t="str">
        <f>IF(AND('Mapa final'!$Y$42="Muy Alta",'Mapa final'!$AA$42="Menor"),CONCATENATE("R6C",'Mapa final'!$O$42),"")</f>
        <v/>
      </c>
      <c r="S11" s="67" t="str">
        <f>IF(AND('Mapa final'!$Y$43="Muy Alta",'Mapa final'!$AA$43="Menor"),CONCATENATE("R6C",'Mapa final'!$O$43),"")</f>
        <v/>
      </c>
      <c r="T11" s="67" t="str">
        <f>IF(AND('Mapa final'!$Y$44="Muy Alta",'Mapa final'!$AA$44="Menor"),CONCATENATE("R6C",'Mapa final'!$O$44),"")</f>
        <v/>
      </c>
      <c r="U11" s="68" t="str">
        <f>IF(AND('Mapa final'!$Y$45="Muy Alta",'Mapa final'!$AA$45="Menor"),CONCATENATE("R6C",'Mapa final'!$O$45),"")</f>
        <v/>
      </c>
      <c r="V11" s="66" t="str">
        <f>IF(AND('Mapa final'!$Y$40="Muy Alta",'Mapa final'!$AA$40="Moderado"),CONCATENATE("R6C",'Mapa final'!$O$40),"")</f>
        <v/>
      </c>
      <c r="W11" s="67" t="str">
        <f>IF(AND('Mapa final'!$Y$41="Muy Alta",'Mapa final'!$AA$41="Moderado"),CONCATENATE("R6C",'Mapa final'!$O$41),"")</f>
        <v/>
      </c>
      <c r="X11" s="67" t="str">
        <f>IF(AND('Mapa final'!$Y$42="Muy Alta",'Mapa final'!$AA$42="Moderado"),CONCATENATE("R6C",'Mapa final'!$O$42),"")</f>
        <v/>
      </c>
      <c r="Y11" s="67" t="str">
        <f>IF(AND('Mapa final'!$Y$43="Muy Alta",'Mapa final'!$AA$43="Moderado"),CONCATENATE("R6C",'Mapa final'!$O$43),"")</f>
        <v/>
      </c>
      <c r="Z11" s="67" t="str">
        <f>IF(AND('Mapa final'!$Y$44="Muy Alta",'Mapa final'!$AA$44="Moderado"),CONCATENATE("R6C",'Mapa final'!$O$44),"")</f>
        <v/>
      </c>
      <c r="AA11" s="68" t="str">
        <f>IF(AND('Mapa final'!$Y$45="Muy Alta",'Mapa final'!$AA$45="Moderado"),CONCATENATE("R6C",'Mapa final'!$O$45),"")</f>
        <v/>
      </c>
      <c r="AB11" s="66" t="str">
        <f>IF(AND('Mapa final'!$Y$40="Muy Alta",'Mapa final'!$AA$40="Mayor"),CONCATENATE("R6C",'Mapa final'!$O$40),"")</f>
        <v/>
      </c>
      <c r="AC11" s="67" t="str">
        <f>IF(AND('Mapa final'!$Y$41="Muy Alta",'Mapa final'!$AA$41="Mayor"),CONCATENATE("R6C",'Mapa final'!$O$41),"")</f>
        <v/>
      </c>
      <c r="AD11" s="67" t="str">
        <f>IF(AND('Mapa final'!$Y$42="Muy Alta",'Mapa final'!$AA$42="Mayor"),CONCATENATE("R6C",'Mapa final'!$O$42),"")</f>
        <v/>
      </c>
      <c r="AE11" s="67" t="str">
        <f>IF(AND('Mapa final'!$Y$43="Muy Alta",'Mapa final'!$AA$43="Mayor"),CONCATENATE("R6C",'Mapa final'!$O$43),"")</f>
        <v/>
      </c>
      <c r="AF11" s="67" t="str">
        <f>IF(AND('Mapa final'!$Y$44="Muy Alta",'Mapa final'!$AA$44="Mayor"),CONCATENATE("R6C",'Mapa final'!$O$44),"")</f>
        <v/>
      </c>
      <c r="AG11" s="68" t="str">
        <f>IF(AND('Mapa final'!$Y$45="Muy Alta",'Mapa final'!$AA$45="Mayor"),CONCATENATE("R6C",'Mapa final'!$O$45),"")</f>
        <v/>
      </c>
      <c r="AH11" s="69" t="str">
        <f>IF(AND('Mapa final'!$Y$40="Muy Alta",'Mapa final'!$AA$40="Catastrófico"),CONCATENATE("R6C",'Mapa final'!$O$40),"")</f>
        <v/>
      </c>
      <c r="AI11" s="70" t="str">
        <f>IF(AND('Mapa final'!$Y$41="Muy Alta",'Mapa final'!$AA$41="Catastrófico"),CONCATENATE("R6C",'Mapa final'!$O$41),"")</f>
        <v/>
      </c>
      <c r="AJ11" s="70" t="str">
        <f>IF(AND('Mapa final'!$Y$42="Muy Alta",'Mapa final'!$AA$42="Catastrófico"),CONCATENATE("R6C",'Mapa final'!$O$42),"")</f>
        <v/>
      </c>
      <c r="AK11" s="70" t="str">
        <f>IF(AND('Mapa final'!$Y$43="Muy Alta",'Mapa final'!$AA$43="Catastrófico"),CONCATENATE("R6C",'Mapa final'!$O$43),"")</f>
        <v/>
      </c>
      <c r="AL11" s="70" t="str">
        <f>IF(AND('Mapa final'!$Y$44="Muy Alta",'Mapa final'!$AA$44="Catastrófico"),CONCATENATE("R6C",'Mapa final'!$O$44),"")</f>
        <v/>
      </c>
      <c r="AM11" s="71" t="str">
        <f>IF(AND('Mapa final'!$Y$45="Muy Alta",'Mapa final'!$AA$45="Catastrófico"),CONCATENATE("R6C",'Mapa final'!$O$45),"")</f>
        <v/>
      </c>
      <c r="AN11" s="97"/>
      <c r="AO11" s="425"/>
      <c r="AP11" s="426"/>
      <c r="AQ11" s="426"/>
      <c r="AR11" s="426"/>
      <c r="AS11" s="426"/>
      <c r="AT11" s="42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row>
    <row r="12" spans="1:91" ht="15" customHeight="1" x14ac:dyDescent="0.25">
      <c r="A12" s="97"/>
      <c r="B12" s="364"/>
      <c r="C12" s="364"/>
      <c r="D12" s="365"/>
      <c r="E12" s="405"/>
      <c r="F12" s="406"/>
      <c r="G12" s="406"/>
      <c r="H12" s="406"/>
      <c r="I12" s="407"/>
      <c r="J12" s="66" t="str">
        <f>IF(AND('Mapa final'!$Y$46="Muy Alta",'Mapa final'!$AA$46="Leve"),CONCATENATE("R7C",'Mapa final'!$O$46),"")</f>
        <v/>
      </c>
      <c r="K12" s="67" t="str">
        <f>IF(AND('Mapa final'!$Y$47="Muy Alta",'Mapa final'!$AA$47="Leve"),CONCATENATE("R7C",'Mapa final'!$O$47),"")</f>
        <v/>
      </c>
      <c r="L12" s="67" t="str">
        <f>IF(AND('Mapa final'!$Y$48="Muy Alta",'Mapa final'!$AA$48="Leve"),CONCATENATE("R7C",'Mapa final'!$O$48),"")</f>
        <v/>
      </c>
      <c r="M12" s="67" t="str">
        <f>IF(AND('Mapa final'!$Y$49="Muy Alta",'Mapa final'!$AA$49="Leve"),CONCATENATE("R7C",'Mapa final'!$O$49),"")</f>
        <v/>
      </c>
      <c r="N12" s="67" t="str">
        <f>IF(AND('Mapa final'!$Y$50="Muy Alta",'Mapa final'!$AA$50="Leve"),CONCATENATE("R7C",'Mapa final'!$O$50),"")</f>
        <v/>
      </c>
      <c r="O12" s="68" t="str">
        <f>IF(AND('Mapa final'!$Y$51="Muy Alta",'Mapa final'!$AA$51="Leve"),CONCATENATE("R7C",'Mapa final'!$O$51),"")</f>
        <v/>
      </c>
      <c r="P12" s="66" t="str">
        <f>IF(AND('Mapa final'!$Y$46="Muy Alta",'Mapa final'!$AA$46="Menor"),CONCATENATE("R7C",'Mapa final'!$O$46),"")</f>
        <v/>
      </c>
      <c r="Q12" s="67" t="str">
        <f>IF(AND('Mapa final'!$Y$47="Muy Alta",'Mapa final'!$AA$47="Menor"),CONCATENATE("R7C",'Mapa final'!$O$47),"")</f>
        <v/>
      </c>
      <c r="R12" s="67" t="str">
        <f>IF(AND('Mapa final'!$Y$48="Muy Alta",'Mapa final'!$AA$48="Menor"),CONCATENATE("R7C",'Mapa final'!$O$48),"")</f>
        <v/>
      </c>
      <c r="S12" s="67" t="str">
        <f>IF(AND('Mapa final'!$Y$49="Muy Alta",'Mapa final'!$AA$49="Menor"),CONCATENATE("R7C",'Mapa final'!$O$49),"")</f>
        <v/>
      </c>
      <c r="T12" s="67" t="str">
        <f>IF(AND('Mapa final'!$Y$50="Muy Alta",'Mapa final'!$AA$50="Menor"),CONCATENATE("R7C",'Mapa final'!$O$50),"")</f>
        <v/>
      </c>
      <c r="U12" s="68" t="str">
        <f>IF(AND('Mapa final'!$Y$51="Muy Alta",'Mapa final'!$AA$51="Menor"),CONCATENATE("R7C",'Mapa final'!$O$51),"")</f>
        <v/>
      </c>
      <c r="V12" s="66" t="str">
        <f>IF(AND('Mapa final'!$Y$46="Muy Alta",'Mapa final'!$AA$46="Moderado"),CONCATENATE("R7C",'Mapa final'!$O$46),"")</f>
        <v/>
      </c>
      <c r="W12" s="67" t="str">
        <f>IF(AND('Mapa final'!$Y$47="Muy Alta",'Mapa final'!$AA$47="Moderado"),CONCATENATE("R7C",'Mapa final'!$O$47),"")</f>
        <v/>
      </c>
      <c r="X12" s="67" t="str">
        <f>IF(AND('Mapa final'!$Y$48="Muy Alta",'Mapa final'!$AA$48="Moderado"),CONCATENATE("R7C",'Mapa final'!$O$48),"")</f>
        <v/>
      </c>
      <c r="Y12" s="67" t="str">
        <f>IF(AND('Mapa final'!$Y$49="Muy Alta",'Mapa final'!$AA$49="Moderado"),CONCATENATE("R7C",'Mapa final'!$O$49),"")</f>
        <v/>
      </c>
      <c r="Z12" s="67" t="str">
        <f>IF(AND('Mapa final'!$Y$50="Muy Alta",'Mapa final'!$AA$50="Moderado"),CONCATENATE("R7C",'Mapa final'!$O$50),"")</f>
        <v/>
      </c>
      <c r="AA12" s="68" t="str">
        <f>IF(AND('Mapa final'!$Y$51="Muy Alta",'Mapa final'!$AA$51="Moderado"),CONCATENATE("R7C",'Mapa final'!$O$51),"")</f>
        <v/>
      </c>
      <c r="AB12" s="66" t="str">
        <f>IF(AND('Mapa final'!$Y$46="Muy Alta",'Mapa final'!$AA$46="Mayor"),CONCATENATE("R7C",'Mapa final'!$O$46),"")</f>
        <v/>
      </c>
      <c r="AC12" s="67" t="str">
        <f>IF(AND('Mapa final'!$Y$47="Muy Alta",'Mapa final'!$AA$47="Mayor"),CONCATENATE("R7C",'Mapa final'!$O$47),"")</f>
        <v/>
      </c>
      <c r="AD12" s="67" t="str">
        <f>IF(AND('Mapa final'!$Y$48="Muy Alta",'Mapa final'!$AA$48="Mayor"),CONCATENATE("R7C",'Mapa final'!$O$48),"")</f>
        <v/>
      </c>
      <c r="AE12" s="67" t="str">
        <f>IF(AND('Mapa final'!$Y$49="Muy Alta",'Mapa final'!$AA$49="Mayor"),CONCATENATE("R7C",'Mapa final'!$O$49),"")</f>
        <v/>
      </c>
      <c r="AF12" s="67" t="str">
        <f>IF(AND('Mapa final'!$Y$50="Muy Alta",'Mapa final'!$AA$50="Mayor"),CONCATENATE("R7C",'Mapa final'!$O$50),"")</f>
        <v/>
      </c>
      <c r="AG12" s="68" t="str">
        <f>IF(AND('Mapa final'!$Y$51="Muy Alta",'Mapa final'!$AA$51="Mayor"),CONCATENATE("R7C",'Mapa final'!$O$51),"")</f>
        <v/>
      </c>
      <c r="AH12" s="69" t="str">
        <f>IF(AND('Mapa final'!$Y$46="Muy Alta",'Mapa final'!$AA$46="Catastrófico"),CONCATENATE("R7C",'Mapa final'!$O$46),"")</f>
        <v/>
      </c>
      <c r="AI12" s="70" t="str">
        <f>IF(AND('Mapa final'!$Y$47="Muy Alta",'Mapa final'!$AA$47="Catastrófico"),CONCATENATE("R7C",'Mapa final'!$O$47),"")</f>
        <v/>
      </c>
      <c r="AJ12" s="70" t="str">
        <f>IF(AND('Mapa final'!$Y$48="Muy Alta",'Mapa final'!$AA$48="Catastrófico"),CONCATENATE("R7C",'Mapa final'!$O$48),"")</f>
        <v/>
      </c>
      <c r="AK12" s="70" t="str">
        <f>IF(AND('Mapa final'!$Y$49="Muy Alta",'Mapa final'!$AA$49="Catastrófico"),CONCATENATE("R7C",'Mapa final'!$O$49),"")</f>
        <v/>
      </c>
      <c r="AL12" s="70" t="str">
        <f>IF(AND('Mapa final'!$Y$50="Muy Alta",'Mapa final'!$AA$50="Catastrófico"),CONCATENATE("R7C",'Mapa final'!$O$50),"")</f>
        <v/>
      </c>
      <c r="AM12" s="71" t="str">
        <f>IF(AND('Mapa final'!$Y$51="Muy Alta",'Mapa final'!$AA$51="Catastrófico"),CONCATENATE("R7C",'Mapa final'!$O$51),"")</f>
        <v/>
      </c>
      <c r="AN12" s="97"/>
      <c r="AO12" s="425"/>
      <c r="AP12" s="426"/>
      <c r="AQ12" s="426"/>
      <c r="AR12" s="426"/>
      <c r="AS12" s="426"/>
      <c r="AT12" s="42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row>
    <row r="13" spans="1:91" ht="15" customHeight="1" x14ac:dyDescent="0.25">
      <c r="A13" s="97"/>
      <c r="B13" s="364"/>
      <c r="C13" s="364"/>
      <c r="D13" s="365"/>
      <c r="E13" s="405"/>
      <c r="F13" s="406"/>
      <c r="G13" s="406"/>
      <c r="H13" s="406"/>
      <c r="I13" s="407"/>
      <c r="J13" s="66" t="str">
        <f>IF(AND('Mapa final'!$Y$52="Muy Alta",'Mapa final'!$AA$52="Leve"),CONCATENATE("R8C",'Mapa final'!$O$52),"")</f>
        <v/>
      </c>
      <c r="K13" s="67" t="str">
        <f>IF(AND('Mapa final'!$Y$53="Muy Alta",'Mapa final'!$AA$53="Leve"),CONCATENATE("R8C",'Mapa final'!$O$53),"")</f>
        <v/>
      </c>
      <c r="L13" s="67" t="str">
        <f>IF(AND('Mapa final'!$Y$54="Muy Alta",'Mapa final'!$AA$54="Leve"),CONCATENATE("R8C",'Mapa final'!$O$54),"")</f>
        <v/>
      </c>
      <c r="M13" s="67" t="str">
        <f>IF(AND('Mapa final'!$Y$55="Muy Alta",'Mapa final'!$AA$55="Leve"),CONCATENATE("R8C",'Mapa final'!$O$55),"")</f>
        <v/>
      </c>
      <c r="N13" s="67" t="str">
        <f>IF(AND('Mapa final'!$Y$56="Muy Alta",'Mapa final'!$AA$56="Leve"),CONCATENATE("R8C",'Mapa final'!$O$56),"")</f>
        <v/>
      </c>
      <c r="O13" s="68" t="str">
        <f>IF(AND('Mapa final'!$Y$57="Muy Alta",'Mapa final'!$AA$57="Leve"),CONCATENATE("R8C",'Mapa final'!$O$57),"")</f>
        <v/>
      </c>
      <c r="P13" s="66" t="str">
        <f>IF(AND('Mapa final'!$Y$52="Muy Alta",'Mapa final'!$AA$52="Menor"),CONCATENATE("R8C",'Mapa final'!$O$52),"")</f>
        <v/>
      </c>
      <c r="Q13" s="67" t="str">
        <f>IF(AND('Mapa final'!$Y$53="Muy Alta",'Mapa final'!$AA$53="Menor"),CONCATENATE("R8C",'Mapa final'!$O$53),"")</f>
        <v/>
      </c>
      <c r="R13" s="67" t="str">
        <f>IF(AND('Mapa final'!$Y$54="Muy Alta",'Mapa final'!$AA$54="Menor"),CONCATENATE("R8C",'Mapa final'!$O$54),"")</f>
        <v/>
      </c>
      <c r="S13" s="67" t="str">
        <f>IF(AND('Mapa final'!$Y$55="Muy Alta",'Mapa final'!$AA$55="Menor"),CONCATENATE("R8C",'Mapa final'!$O$55),"")</f>
        <v/>
      </c>
      <c r="T13" s="67" t="str">
        <f>IF(AND('Mapa final'!$Y$56="Muy Alta",'Mapa final'!$AA$56="Menor"),CONCATENATE("R8C",'Mapa final'!$O$56),"")</f>
        <v/>
      </c>
      <c r="U13" s="68" t="str">
        <f>IF(AND('Mapa final'!$Y$57="Muy Alta",'Mapa final'!$AA$57="Menor"),CONCATENATE("R8C",'Mapa final'!$O$57),"")</f>
        <v/>
      </c>
      <c r="V13" s="66" t="str">
        <f>IF(AND('Mapa final'!$Y$52="Muy Alta",'Mapa final'!$AA$52="Moderado"),CONCATENATE("R8C",'Mapa final'!$O$52),"")</f>
        <v/>
      </c>
      <c r="W13" s="67" t="str">
        <f>IF(AND('Mapa final'!$Y$53="Muy Alta",'Mapa final'!$AA$53="Moderado"),CONCATENATE("R8C",'Mapa final'!$O$53),"")</f>
        <v/>
      </c>
      <c r="X13" s="67" t="str">
        <f>IF(AND('Mapa final'!$Y$54="Muy Alta",'Mapa final'!$AA$54="Moderado"),CONCATENATE("R8C",'Mapa final'!$O$54),"")</f>
        <v/>
      </c>
      <c r="Y13" s="67" t="str">
        <f>IF(AND('Mapa final'!$Y$55="Muy Alta",'Mapa final'!$AA$55="Moderado"),CONCATENATE("R8C",'Mapa final'!$O$55),"")</f>
        <v/>
      </c>
      <c r="Z13" s="67" t="str">
        <f>IF(AND('Mapa final'!$Y$56="Muy Alta",'Mapa final'!$AA$56="Moderado"),CONCATENATE("R8C",'Mapa final'!$O$56),"")</f>
        <v/>
      </c>
      <c r="AA13" s="68" t="str">
        <f>IF(AND('Mapa final'!$Y$57="Muy Alta",'Mapa final'!$AA$57="Moderado"),CONCATENATE("R8C",'Mapa final'!$O$57),"")</f>
        <v/>
      </c>
      <c r="AB13" s="66" t="str">
        <f>IF(AND('Mapa final'!$Y$52="Muy Alta",'Mapa final'!$AA$52="Mayor"),CONCATENATE("R8C",'Mapa final'!$O$52),"")</f>
        <v/>
      </c>
      <c r="AC13" s="67" t="str">
        <f>IF(AND('Mapa final'!$Y$53="Muy Alta",'Mapa final'!$AA$53="Mayor"),CONCATENATE("R8C",'Mapa final'!$O$53),"")</f>
        <v/>
      </c>
      <c r="AD13" s="67" t="str">
        <f>IF(AND('Mapa final'!$Y$54="Muy Alta",'Mapa final'!$AA$54="Mayor"),CONCATENATE("R8C",'Mapa final'!$O$54),"")</f>
        <v/>
      </c>
      <c r="AE13" s="67" t="str">
        <f>IF(AND('Mapa final'!$Y$55="Muy Alta",'Mapa final'!$AA$55="Mayor"),CONCATENATE("R8C",'Mapa final'!$O$55),"")</f>
        <v/>
      </c>
      <c r="AF13" s="67" t="str">
        <f>IF(AND('Mapa final'!$Y$56="Muy Alta",'Mapa final'!$AA$56="Mayor"),CONCATENATE("R8C",'Mapa final'!$O$56),"")</f>
        <v/>
      </c>
      <c r="AG13" s="68" t="str">
        <f>IF(AND('Mapa final'!$Y$57="Muy Alta",'Mapa final'!$AA$57="Mayor"),CONCATENATE("R8C",'Mapa final'!$O$57),"")</f>
        <v/>
      </c>
      <c r="AH13" s="69" t="str">
        <f>IF(AND('Mapa final'!$Y$52="Muy Alta",'Mapa final'!$AA$52="Catastrófico"),CONCATENATE("R8C",'Mapa final'!$O$52),"")</f>
        <v/>
      </c>
      <c r="AI13" s="70" t="str">
        <f>IF(AND('Mapa final'!$Y$53="Muy Alta",'Mapa final'!$AA$53="Catastrófico"),CONCATENATE("R8C",'Mapa final'!$O$53),"")</f>
        <v/>
      </c>
      <c r="AJ13" s="70" t="str">
        <f>IF(AND('Mapa final'!$Y$54="Muy Alta",'Mapa final'!$AA$54="Catastrófico"),CONCATENATE("R8C",'Mapa final'!$O$54),"")</f>
        <v/>
      </c>
      <c r="AK13" s="70" t="str">
        <f>IF(AND('Mapa final'!$Y$55="Muy Alta",'Mapa final'!$AA$55="Catastrófico"),CONCATENATE("R8C",'Mapa final'!$O$55),"")</f>
        <v/>
      </c>
      <c r="AL13" s="70" t="str">
        <f>IF(AND('Mapa final'!$Y$56="Muy Alta",'Mapa final'!$AA$56="Catastrófico"),CONCATENATE("R8C",'Mapa final'!$O$56),"")</f>
        <v/>
      </c>
      <c r="AM13" s="71" t="str">
        <f>IF(AND('Mapa final'!$Y$57="Muy Alta",'Mapa final'!$AA$57="Catastrófico"),CONCATENATE("R8C",'Mapa final'!$O$57),"")</f>
        <v/>
      </c>
      <c r="AN13" s="97"/>
      <c r="AO13" s="425"/>
      <c r="AP13" s="426"/>
      <c r="AQ13" s="426"/>
      <c r="AR13" s="426"/>
      <c r="AS13" s="426"/>
      <c r="AT13" s="42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row>
    <row r="14" spans="1:91" ht="15" customHeight="1" x14ac:dyDescent="0.25">
      <c r="A14" s="97"/>
      <c r="B14" s="364"/>
      <c r="C14" s="364"/>
      <c r="D14" s="365"/>
      <c r="E14" s="405"/>
      <c r="F14" s="406"/>
      <c r="G14" s="406"/>
      <c r="H14" s="406"/>
      <c r="I14" s="407"/>
      <c r="J14" s="66" t="str">
        <f>IF(AND('Mapa final'!$Y$58="Muy Alta",'Mapa final'!$AA$58="Leve"),CONCATENATE("R9C",'Mapa final'!$O$58),"")</f>
        <v/>
      </c>
      <c r="K14" s="67" t="str">
        <f>IF(AND('Mapa final'!$Y$59="Muy Alta",'Mapa final'!$AA$59="Leve"),CONCATENATE("R9C",'Mapa final'!$O$59),"")</f>
        <v/>
      </c>
      <c r="L14" s="67" t="str">
        <f>IF(AND('Mapa final'!$Y$60="Muy Alta",'Mapa final'!$AA$60="Leve"),CONCATENATE("R9C",'Mapa final'!$O$60),"")</f>
        <v/>
      </c>
      <c r="M14" s="67" t="str">
        <f>IF(AND('Mapa final'!$Y$61="Muy Alta",'Mapa final'!$AA$61="Leve"),CONCATENATE("R9C",'Mapa final'!$O$61),"")</f>
        <v/>
      </c>
      <c r="N14" s="67" t="str">
        <f>IF(AND('Mapa final'!$Y$62="Muy Alta",'Mapa final'!$AA$62="Leve"),CONCATENATE("R9C",'Mapa final'!$O$62),"")</f>
        <v/>
      </c>
      <c r="O14" s="68" t="str">
        <f>IF(AND('Mapa final'!$Y$63="Muy Alta",'Mapa final'!$AA$63="Leve"),CONCATENATE("R9C",'Mapa final'!$O$63),"")</f>
        <v/>
      </c>
      <c r="P14" s="66" t="str">
        <f>IF(AND('Mapa final'!$Y$58="Muy Alta",'Mapa final'!$AA$58="Menor"),CONCATENATE("R9C",'Mapa final'!$O$58),"")</f>
        <v/>
      </c>
      <c r="Q14" s="67" t="str">
        <f>IF(AND('Mapa final'!$Y$59="Muy Alta",'Mapa final'!$AA$59="Menor"),CONCATENATE("R9C",'Mapa final'!$O$59),"")</f>
        <v/>
      </c>
      <c r="R14" s="67" t="str">
        <f>IF(AND('Mapa final'!$Y$60="Muy Alta",'Mapa final'!$AA$60="Menor"),CONCATENATE("R9C",'Mapa final'!$O$60),"")</f>
        <v/>
      </c>
      <c r="S14" s="67" t="str">
        <f>IF(AND('Mapa final'!$Y$61="Muy Alta",'Mapa final'!$AA$61="Menor"),CONCATENATE("R9C",'Mapa final'!$O$61),"")</f>
        <v/>
      </c>
      <c r="T14" s="67" t="str">
        <f>IF(AND('Mapa final'!$Y$62="Muy Alta",'Mapa final'!$AA$62="Menor"),CONCATENATE("R9C",'Mapa final'!$O$62),"")</f>
        <v/>
      </c>
      <c r="U14" s="68" t="str">
        <f>IF(AND('Mapa final'!$Y$63="Muy Alta",'Mapa final'!$AA$63="Menor"),CONCATENATE("R9C",'Mapa final'!$O$63),"")</f>
        <v/>
      </c>
      <c r="V14" s="66" t="str">
        <f>IF(AND('Mapa final'!$Y$58="Muy Alta",'Mapa final'!$AA$58="Moderado"),CONCATENATE("R9C",'Mapa final'!$O$58),"")</f>
        <v/>
      </c>
      <c r="W14" s="67" t="str">
        <f>IF(AND('Mapa final'!$Y$59="Muy Alta",'Mapa final'!$AA$59="Moderado"),CONCATENATE("R9C",'Mapa final'!$O$59),"")</f>
        <v/>
      </c>
      <c r="X14" s="67" t="str">
        <f>IF(AND('Mapa final'!$Y$60="Muy Alta",'Mapa final'!$AA$60="Moderado"),CONCATENATE("R9C",'Mapa final'!$O$60),"")</f>
        <v/>
      </c>
      <c r="Y14" s="67" t="str">
        <f>IF(AND('Mapa final'!$Y$61="Muy Alta",'Mapa final'!$AA$61="Moderado"),CONCATENATE("R9C",'Mapa final'!$O$61),"")</f>
        <v/>
      </c>
      <c r="Z14" s="67" t="str">
        <f>IF(AND('Mapa final'!$Y$62="Muy Alta",'Mapa final'!$AA$62="Moderado"),CONCATENATE("R9C",'Mapa final'!$O$62),"")</f>
        <v/>
      </c>
      <c r="AA14" s="68" t="str">
        <f>IF(AND('Mapa final'!$Y$63="Muy Alta",'Mapa final'!$AA$63="Moderado"),CONCATENATE("R9C",'Mapa final'!$O$63),"")</f>
        <v/>
      </c>
      <c r="AB14" s="66" t="str">
        <f>IF(AND('Mapa final'!$Y$58="Muy Alta",'Mapa final'!$AA$58="Mayor"),CONCATENATE("R9C",'Mapa final'!$O$58),"")</f>
        <v/>
      </c>
      <c r="AC14" s="67" t="str">
        <f>IF(AND('Mapa final'!$Y$59="Muy Alta",'Mapa final'!$AA$59="Mayor"),CONCATENATE("R9C",'Mapa final'!$O$59),"")</f>
        <v/>
      </c>
      <c r="AD14" s="67" t="str">
        <f>IF(AND('Mapa final'!$Y$60="Muy Alta",'Mapa final'!$AA$60="Mayor"),CONCATENATE("R9C",'Mapa final'!$O$60),"")</f>
        <v/>
      </c>
      <c r="AE14" s="67" t="str">
        <f>IF(AND('Mapa final'!$Y$61="Muy Alta",'Mapa final'!$AA$61="Mayor"),CONCATENATE("R9C",'Mapa final'!$O$61),"")</f>
        <v/>
      </c>
      <c r="AF14" s="67" t="str">
        <f>IF(AND('Mapa final'!$Y$62="Muy Alta",'Mapa final'!$AA$62="Mayor"),CONCATENATE("R9C",'Mapa final'!$O$62),"")</f>
        <v/>
      </c>
      <c r="AG14" s="68" t="str">
        <f>IF(AND('Mapa final'!$Y$63="Muy Alta",'Mapa final'!$AA$63="Mayor"),CONCATENATE("R9C",'Mapa final'!$O$63),"")</f>
        <v/>
      </c>
      <c r="AH14" s="69" t="str">
        <f>IF(AND('Mapa final'!$Y$58="Muy Alta",'Mapa final'!$AA$58="Catastrófico"),CONCATENATE("R9C",'Mapa final'!$O$58),"")</f>
        <v/>
      </c>
      <c r="AI14" s="70" t="str">
        <f>IF(AND('Mapa final'!$Y$59="Muy Alta",'Mapa final'!$AA$59="Catastrófico"),CONCATENATE("R9C",'Mapa final'!$O$59),"")</f>
        <v/>
      </c>
      <c r="AJ14" s="70" t="str">
        <f>IF(AND('Mapa final'!$Y$60="Muy Alta",'Mapa final'!$AA$60="Catastrófico"),CONCATENATE("R9C",'Mapa final'!$O$60),"")</f>
        <v/>
      </c>
      <c r="AK14" s="70" t="str">
        <f>IF(AND('Mapa final'!$Y$61="Muy Alta",'Mapa final'!$AA$61="Catastrófico"),CONCATENATE("R9C",'Mapa final'!$O$61),"")</f>
        <v/>
      </c>
      <c r="AL14" s="70" t="str">
        <f>IF(AND('Mapa final'!$Y$62="Muy Alta",'Mapa final'!$AA$62="Catastrófico"),CONCATENATE("R9C",'Mapa final'!$O$62),"")</f>
        <v/>
      </c>
      <c r="AM14" s="71" t="str">
        <f>IF(AND('Mapa final'!$Y$63="Muy Alta",'Mapa final'!$AA$63="Catastrófico"),CONCATENATE("R9C",'Mapa final'!$O$63),"")</f>
        <v/>
      </c>
      <c r="AN14" s="97"/>
      <c r="AO14" s="425"/>
      <c r="AP14" s="426"/>
      <c r="AQ14" s="426"/>
      <c r="AR14" s="426"/>
      <c r="AS14" s="426"/>
      <c r="AT14" s="42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row>
    <row r="15" spans="1:91" ht="15.75" customHeight="1" thickBot="1" x14ac:dyDescent="0.3">
      <c r="A15" s="97"/>
      <c r="B15" s="364"/>
      <c r="C15" s="364"/>
      <c r="D15" s="365"/>
      <c r="E15" s="408"/>
      <c r="F15" s="409"/>
      <c r="G15" s="409"/>
      <c r="H15" s="409"/>
      <c r="I15" s="410"/>
      <c r="J15" s="72" t="str">
        <f>IF(AND('Mapa final'!$Y$64="Muy Alta",'Mapa final'!$AA$64="Leve"),CONCATENATE("R10C",'Mapa final'!$O$64),"")</f>
        <v/>
      </c>
      <c r="K15" s="73" t="str">
        <f>IF(AND('Mapa final'!$Y$65="Muy Alta",'Mapa final'!$AA$65="Leve"),CONCATENATE("R10C",'Mapa final'!$O$65),"")</f>
        <v/>
      </c>
      <c r="L15" s="73" t="str">
        <f>IF(AND('Mapa final'!$Y$66="Muy Alta",'Mapa final'!$AA$66="Leve"),CONCATENATE("R10C",'Mapa final'!$O$66),"")</f>
        <v/>
      </c>
      <c r="M15" s="73" t="str">
        <f>IF(AND('Mapa final'!$Y$67="Muy Alta",'Mapa final'!$AA$67="Leve"),CONCATENATE("R10C",'Mapa final'!$O$67),"")</f>
        <v/>
      </c>
      <c r="N15" s="73" t="str">
        <f>IF(AND('Mapa final'!$Y$68="Muy Alta",'Mapa final'!$AA$68="Leve"),CONCATENATE("R10C",'Mapa final'!$O$68),"")</f>
        <v/>
      </c>
      <c r="O15" s="74" t="str">
        <f>IF(AND('Mapa final'!$Y$69="Muy Alta",'Mapa final'!$AA$69="Leve"),CONCATENATE("R10C",'Mapa final'!$O$69),"")</f>
        <v/>
      </c>
      <c r="P15" s="66" t="str">
        <f>IF(AND('Mapa final'!$Y$64="Muy Alta",'Mapa final'!$AA$64="Menor"),CONCATENATE("R10C",'Mapa final'!$O$64),"")</f>
        <v/>
      </c>
      <c r="Q15" s="67" t="str">
        <f>IF(AND('Mapa final'!$Y$65="Muy Alta",'Mapa final'!$AA$65="Menor"),CONCATENATE("R10C",'Mapa final'!$O$65),"")</f>
        <v/>
      </c>
      <c r="R15" s="67" t="str">
        <f>IF(AND('Mapa final'!$Y$66="Muy Alta",'Mapa final'!$AA$66="Menor"),CONCATENATE("R10C",'Mapa final'!$O$66),"")</f>
        <v/>
      </c>
      <c r="S15" s="67" t="str">
        <f>IF(AND('Mapa final'!$Y$67="Muy Alta",'Mapa final'!$AA$67="Menor"),CONCATENATE("R10C",'Mapa final'!$O$67),"")</f>
        <v/>
      </c>
      <c r="T15" s="67" t="str">
        <f>IF(AND('Mapa final'!$Y$68="Muy Alta",'Mapa final'!$AA$68="Menor"),CONCATENATE("R10C",'Mapa final'!$O$68),"")</f>
        <v/>
      </c>
      <c r="U15" s="68" t="str">
        <f>IF(AND('Mapa final'!$Y$69="Muy Alta",'Mapa final'!$AA$69="Menor"),CONCATENATE("R10C",'Mapa final'!$O$69),"")</f>
        <v/>
      </c>
      <c r="V15" s="72" t="str">
        <f>IF(AND('Mapa final'!$Y$64="Muy Alta",'Mapa final'!$AA$64="Moderado"),CONCATENATE("R10C",'Mapa final'!$O$64),"")</f>
        <v/>
      </c>
      <c r="W15" s="73" t="str">
        <f>IF(AND('Mapa final'!$Y$65="Muy Alta",'Mapa final'!$AA$65="Moderado"),CONCATENATE("R10C",'Mapa final'!$O$65),"")</f>
        <v/>
      </c>
      <c r="X15" s="73" t="str">
        <f>IF(AND('Mapa final'!$Y$66="Muy Alta",'Mapa final'!$AA$66="Moderado"),CONCATENATE("R10C",'Mapa final'!$O$66),"")</f>
        <v/>
      </c>
      <c r="Y15" s="73" t="str">
        <f>IF(AND('Mapa final'!$Y$67="Muy Alta",'Mapa final'!$AA$67="Moderado"),CONCATENATE("R10C",'Mapa final'!$O$67),"")</f>
        <v/>
      </c>
      <c r="Z15" s="73" t="str">
        <f>IF(AND('Mapa final'!$Y$68="Muy Alta",'Mapa final'!$AA$68="Moderado"),CONCATENATE("R10C",'Mapa final'!$O$68),"")</f>
        <v/>
      </c>
      <c r="AA15" s="74" t="str">
        <f>IF(AND('Mapa final'!$Y$69="Muy Alta",'Mapa final'!$AA$69="Moderado"),CONCATENATE("R10C",'Mapa final'!$O$69),"")</f>
        <v/>
      </c>
      <c r="AB15" s="66" t="str">
        <f>IF(AND('Mapa final'!$Y$64="Muy Alta",'Mapa final'!$AA$64="Mayor"),CONCATENATE("R10C",'Mapa final'!$O$64),"")</f>
        <v/>
      </c>
      <c r="AC15" s="67" t="str">
        <f>IF(AND('Mapa final'!$Y$65="Muy Alta",'Mapa final'!$AA$65="Mayor"),CONCATENATE("R10C",'Mapa final'!$O$65),"")</f>
        <v/>
      </c>
      <c r="AD15" s="67" t="str">
        <f>IF(AND('Mapa final'!$Y$66="Muy Alta",'Mapa final'!$AA$66="Mayor"),CONCATENATE("R10C",'Mapa final'!$O$66),"")</f>
        <v/>
      </c>
      <c r="AE15" s="67" t="str">
        <f>IF(AND('Mapa final'!$Y$67="Muy Alta",'Mapa final'!$AA$67="Mayor"),CONCATENATE("R10C",'Mapa final'!$O$67),"")</f>
        <v/>
      </c>
      <c r="AF15" s="67" t="str">
        <f>IF(AND('Mapa final'!$Y$68="Muy Alta",'Mapa final'!$AA$68="Mayor"),CONCATENATE("R10C",'Mapa final'!$O$68),"")</f>
        <v/>
      </c>
      <c r="AG15" s="68" t="str">
        <f>IF(AND('Mapa final'!$Y$69="Muy Alta",'Mapa final'!$AA$69="Mayor"),CONCATENATE("R10C",'Mapa final'!$O$69),"")</f>
        <v/>
      </c>
      <c r="AH15" s="75" t="str">
        <f>IF(AND('Mapa final'!$Y$64="Muy Alta",'Mapa final'!$AA$64="Catastrófico"),CONCATENATE("R10C",'Mapa final'!$O$64),"")</f>
        <v/>
      </c>
      <c r="AI15" s="76" t="str">
        <f>IF(AND('Mapa final'!$Y$65="Muy Alta",'Mapa final'!$AA$65="Catastrófico"),CONCATENATE("R10C",'Mapa final'!$O$65),"")</f>
        <v/>
      </c>
      <c r="AJ15" s="76" t="str">
        <f>IF(AND('Mapa final'!$Y$66="Muy Alta",'Mapa final'!$AA$66="Catastrófico"),CONCATENATE("R10C",'Mapa final'!$O$66),"")</f>
        <v/>
      </c>
      <c r="AK15" s="76" t="str">
        <f>IF(AND('Mapa final'!$Y$67="Muy Alta",'Mapa final'!$AA$67="Catastrófico"),CONCATENATE("R10C",'Mapa final'!$O$67),"")</f>
        <v/>
      </c>
      <c r="AL15" s="76" t="str">
        <f>IF(AND('Mapa final'!$Y$68="Muy Alta",'Mapa final'!$AA$68="Catastrófico"),CONCATENATE("R10C",'Mapa final'!$O$68),"")</f>
        <v/>
      </c>
      <c r="AM15" s="77" t="str">
        <f>IF(AND('Mapa final'!$Y$69="Muy Alta",'Mapa final'!$AA$69="Catastrófico"),CONCATENATE("R10C",'Mapa final'!$O$69),"")</f>
        <v/>
      </c>
      <c r="AN15" s="97"/>
      <c r="AO15" s="428"/>
      <c r="AP15" s="429"/>
      <c r="AQ15" s="429"/>
      <c r="AR15" s="429"/>
      <c r="AS15" s="429"/>
      <c r="AT15" s="430"/>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row>
    <row r="16" spans="1:91" ht="15" customHeight="1" x14ac:dyDescent="0.25">
      <c r="A16" s="97"/>
      <c r="B16" s="364"/>
      <c r="C16" s="364"/>
      <c r="D16" s="365"/>
      <c r="E16" s="402" t="s">
        <v>185</v>
      </c>
      <c r="F16" s="403"/>
      <c r="G16" s="403"/>
      <c r="H16" s="403"/>
      <c r="I16" s="403"/>
      <c r="J16" s="78" t="str">
        <f>IF(AND('Mapa final'!$Y$10="Alta",'Mapa final'!$AA$10="Leve"),CONCATENATE("R1C",'Mapa final'!$O$10),"")</f>
        <v/>
      </c>
      <c r="K16" s="79" t="str">
        <f>IF(AND('Mapa final'!$Y$11="Alta",'Mapa final'!$AA$11="Leve"),CONCATENATE("R1C",'Mapa final'!$O$11),"")</f>
        <v/>
      </c>
      <c r="L16" s="79" t="str">
        <f>IF(AND('Mapa final'!$Y$12="Alta",'Mapa final'!$AA$12="Leve"),CONCATENATE("R1C",'Mapa final'!$O$12),"")</f>
        <v/>
      </c>
      <c r="M16" s="79" t="str">
        <f>IF(AND('Mapa final'!$Y$13="Alta",'Mapa final'!$AA$13="Leve"),CONCATENATE("R1C",'Mapa final'!$O$13),"")</f>
        <v/>
      </c>
      <c r="N16" s="79" t="str">
        <f>IF(AND('Mapa final'!$Y$14="Alta",'Mapa final'!$AA$14="Leve"),CONCATENATE("R1C",'Mapa final'!$O$14),"")</f>
        <v/>
      </c>
      <c r="O16" s="80" t="str">
        <f>IF(AND('Mapa final'!$Y$15="Alta",'Mapa final'!$AA$15="Leve"),CONCATENATE("R1C",'Mapa final'!$O$15),"")</f>
        <v/>
      </c>
      <c r="P16" s="78" t="str">
        <f>IF(AND('Mapa final'!$Y$10="Alta",'Mapa final'!$AA$10="Menor"),CONCATENATE("R1C",'Mapa final'!$O$10),"")</f>
        <v/>
      </c>
      <c r="Q16" s="79" t="str">
        <f>IF(AND('Mapa final'!$Y$11="Alta",'Mapa final'!$AA$11="Menor"),CONCATENATE("R1C",'Mapa final'!$O$11),"")</f>
        <v/>
      </c>
      <c r="R16" s="79" t="str">
        <f>IF(AND('Mapa final'!$Y$12="Alta",'Mapa final'!$AA$12="Menor"),CONCATENATE("R1C",'Mapa final'!$O$12),"")</f>
        <v/>
      </c>
      <c r="S16" s="79" t="str">
        <f>IF(AND('Mapa final'!$Y$13="Alta",'Mapa final'!$AA$13="Menor"),CONCATENATE("R1C",'Mapa final'!$O$13),"")</f>
        <v/>
      </c>
      <c r="T16" s="79" t="str">
        <f>IF(AND('Mapa final'!$Y$14="Alta",'Mapa final'!$AA$14="Menor"),CONCATENATE("R1C",'Mapa final'!$O$14),"")</f>
        <v/>
      </c>
      <c r="U16" s="80" t="str">
        <f>IF(AND('Mapa final'!$Y$15="Alta",'Mapa final'!$AA$15="Menor"),CONCATENATE("R1C",'Mapa final'!$O$15),"")</f>
        <v/>
      </c>
      <c r="V16" s="60" t="str">
        <f>IF(AND('Mapa final'!$Y$10="Alta",'Mapa final'!$AA$10="Moderado"),CONCATENATE("R1C",'Mapa final'!$O$10),"")</f>
        <v/>
      </c>
      <c r="W16" s="61" t="str">
        <f>IF(AND('Mapa final'!$Y$11="Alta",'Mapa final'!$AA$11="Moderado"),CONCATENATE("R1C",'Mapa final'!$O$11),"")</f>
        <v/>
      </c>
      <c r="X16" s="61" t="str">
        <f>IF(AND('Mapa final'!$Y$12="Alta",'Mapa final'!$AA$12="Moderado"),CONCATENATE("R1C",'Mapa final'!$O$12),"")</f>
        <v/>
      </c>
      <c r="Y16" s="61" t="str">
        <f>IF(AND('Mapa final'!$Y$13="Alta",'Mapa final'!$AA$13="Moderado"),CONCATENATE("R1C",'Mapa final'!$O$13),"")</f>
        <v/>
      </c>
      <c r="Z16" s="61" t="str">
        <f>IF(AND('Mapa final'!$Y$14="Alta",'Mapa final'!$AA$14="Moderado"),CONCATENATE("R1C",'Mapa final'!$O$14),"")</f>
        <v/>
      </c>
      <c r="AA16" s="62" t="str">
        <f>IF(AND('Mapa final'!$Y$15="Alta",'Mapa final'!$AA$15="Moderado"),CONCATENATE("R1C",'Mapa final'!$O$15),"")</f>
        <v/>
      </c>
      <c r="AB16" s="60" t="str">
        <f>IF(AND('Mapa final'!$Y$10="Alta",'Mapa final'!$AA$10="Mayor"),CONCATENATE("R1C",'Mapa final'!$O$10),"")</f>
        <v/>
      </c>
      <c r="AC16" s="61" t="str">
        <f>IF(AND('Mapa final'!$Y$11="Alta",'Mapa final'!$AA$11="Mayor"),CONCATENATE("R1C",'Mapa final'!$O$11),"")</f>
        <v/>
      </c>
      <c r="AD16" s="61" t="str">
        <f>IF(AND('Mapa final'!$Y$12="Alta",'Mapa final'!$AA$12="Mayor"),CONCATENATE("R1C",'Mapa final'!$O$12),"")</f>
        <v/>
      </c>
      <c r="AE16" s="61" t="str">
        <f>IF(AND('Mapa final'!$Y$13="Alta",'Mapa final'!$AA$13="Mayor"),CONCATENATE("R1C",'Mapa final'!$O$13),"")</f>
        <v/>
      </c>
      <c r="AF16" s="61" t="str">
        <f>IF(AND('Mapa final'!$Y$14="Alta",'Mapa final'!$AA$14="Mayor"),CONCATENATE("R1C",'Mapa final'!$O$14),"")</f>
        <v/>
      </c>
      <c r="AG16" s="62" t="str">
        <f>IF(AND('Mapa final'!$Y$15="Alta",'Mapa final'!$AA$15="Mayor"),CONCATENATE("R1C",'Mapa final'!$O$15),"")</f>
        <v/>
      </c>
      <c r="AH16" s="63" t="str">
        <f>IF(AND('Mapa final'!$Y$10="Alta",'Mapa final'!$AA$10="Catastrófico"),CONCATENATE("R1C",'Mapa final'!$O$10),"")</f>
        <v/>
      </c>
      <c r="AI16" s="64" t="str">
        <f>IF(AND('Mapa final'!$Y$11="Alta",'Mapa final'!$AA$11="Catastrófico"),CONCATENATE("R1C",'Mapa final'!$O$11),"")</f>
        <v/>
      </c>
      <c r="AJ16" s="64" t="str">
        <f>IF(AND('Mapa final'!$Y$12="Alta",'Mapa final'!$AA$12="Catastrófico"),CONCATENATE("R1C",'Mapa final'!$O$12),"")</f>
        <v/>
      </c>
      <c r="AK16" s="64" t="str">
        <f>IF(AND('Mapa final'!$Y$13="Alta",'Mapa final'!$AA$13="Catastrófico"),CONCATENATE("R1C",'Mapa final'!$O$13),"")</f>
        <v/>
      </c>
      <c r="AL16" s="64" t="str">
        <f>IF(AND('Mapa final'!$Y$14="Alta",'Mapa final'!$AA$14="Catastrófico"),CONCATENATE("R1C",'Mapa final'!$O$14),"")</f>
        <v/>
      </c>
      <c r="AM16" s="65" t="str">
        <f>IF(AND('Mapa final'!$Y$15="Alta",'Mapa final'!$AA$15="Catastrófico"),CONCATENATE("R1C",'Mapa final'!$O$15),"")</f>
        <v/>
      </c>
      <c r="AN16" s="97"/>
      <c r="AO16" s="412" t="s">
        <v>186</v>
      </c>
      <c r="AP16" s="413"/>
      <c r="AQ16" s="413"/>
      <c r="AR16" s="413"/>
      <c r="AS16" s="413"/>
      <c r="AT16" s="414"/>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row>
    <row r="17" spans="1:76" ht="15" customHeight="1" x14ac:dyDescent="0.25">
      <c r="A17" s="97"/>
      <c r="B17" s="364"/>
      <c r="C17" s="364"/>
      <c r="D17" s="365"/>
      <c r="E17" s="421"/>
      <c r="F17" s="406"/>
      <c r="G17" s="406"/>
      <c r="H17" s="406"/>
      <c r="I17" s="406"/>
      <c r="J17" s="81" t="str">
        <f>IF(AND('Mapa final'!$Y$16="Alta",'Mapa final'!$AA$16="Leve"),CONCATENATE("R2C",'Mapa final'!$O$16),"")</f>
        <v/>
      </c>
      <c r="K17" s="82" t="str">
        <f>IF(AND('Mapa final'!$Y$17="Alta",'Mapa final'!$AA$17="Leve"),CONCATENATE("R2C",'Mapa final'!$O$17),"")</f>
        <v/>
      </c>
      <c r="L17" s="82" t="str">
        <f>IF(AND('Mapa final'!$Y$18="Alta",'Mapa final'!$AA$18="Leve"),CONCATENATE("R2C",'Mapa final'!$O$18),"")</f>
        <v/>
      </c>
      <c r="M17" s="82" t="str">
        <f>IF(AND('Mapa final'!$Y$19="Alta",'Mapa final'!$AA$19="Leve"),CONCATENATE("R2C",'Mapa final'!$O$19),"")</f>
        <v/>
      </c>
      <c r="N17" s="82" t="str">
        <f>IF(AND('Mapa final'!$Y$20="Alta",'Mapa final'!$AA$20="Leve"),CONCATENATE("R2C",'Mapa final'!$O$20),"")</f>
        <v/>
      </c>
      <c r="O17" s="83" t="str">
        <f>IF(AND('Mapa final'!$Y$21="Alta",'Mapa final'!$AA$21="Leve"),CONCATENATE("R2C",'Mapa final'!$O$21),"")</f>
        <v/>
      </c>
      <c r="P17" s="81" t="str">
        <f>IF(AND('Mapa final'!$Y$16="Alta",'Mapa final'!$AA$16="Menor"),CONCATENATE("R2C",'Mapa final'!$O$16),"")</f>
        <v/>
      </c>
      <c r="Q17" s="82" t="str">
        <f>IF(AND('Mapa final'!$Y$17="Alta",'Mapa final'!$AA$17="Menor"),CONCATENATE("R2C",'Mapa final'!$O$17),"")</f>
        <v/>
      </c>
      <c r="R17" s="82" t="str">
        <f>IF(AND('Mapa final'!$Y$18="Alta",'Mapa final'!$AA$18="Menor"),CONCATENATE("R2C",'Mapa final'!$O$18),"")</f>
        <v/>
      </c>
      <c r="S17" s="82" t="str">
        <f>IF(AND('Mapa final'!$Y$19="Alta",'Mapa final'!$AA$19="Menor"),CONCATENATE("R2C",'Mapa final'!$O$19),"")</f>
        <v/>
      </c>
      <c r="T17" s="82" t="str">
        <f>IF(AND('Mapa final'!$Y$20="Alta",'Mapa final'!$AA$20="Menor"),CONCATENATE("R2C",'Mapa final'!$O$20),"")</f>
        <v/>
      </c>
      <c r="U17" s="83" t="str">
        <f>IF(AND('Mapa final'!$Y$21="Alta",'Mapa final'!$AA$21="Menor"),CONCATENATE("R2C",'Mapa final'!$O$21),"")</f>
        <v/>
      </c>
      <c r="V17" s="66" t="str">
        <f>IF(AND('Mapa final'!$Y$16="Alta",'Mapa final'!$AA$16="Moderado"),CONCATENATE("R2C",'Mapa final'!$O$16),"")</f>
        <v/>
      </c>
      <c r="W17" s="67" t="str">
        <f>IF(AND('Mapa final'!$Y$17="Alta",'Mapa final'!$AA$17="Moderado"),CONCATENATE("R2C",'Mapa final'!$O$17),"")</f>
        <v/>
      </c>
      <c r="X17" s="67" t="str">
        <f>IF(AND('Mapa final'!$Y$18="Alta",'Mapa final'!$AA$18="Moderado"),CONCATENATE("R2C",'Mapa final'!$O$18),"")</f>
        <v/>
      </c>
      <c r="Y17" s="67" t="str">
        <f>IF(AND('Mapa final'!$Y$19="Alta",'Mapa final'!$AA$19="Moderado"),CONCATENATE("R2C",'Mapa final'!$O$19),"")</f>
        <v/>
      </c>
      <c r="Z17" s="67" t="str">
        <f>IF(AND('Mapa final'!$Y$20="Alta",'Mapa final'!$AA$20="Moderado"),CONCATENATE("R2C",'Mapa final'!$O$20),"")</f>
        <v/>
      </c>
      <c r="AA17" s="68" t="str">
        <f>IF(AND('Mapa final'!$Y$21="Alta",'Mapa final'!$AA$21="Moderado"),CONCATENATE("R2C",'Mapa final'!$O$21),"")</f>
        <v/>
      </c>
      <c r="AB17" s="66" t="str">
        <f>IF(AND('Mapa final'!$Y$16="Alta",'Mapa final'!$AA$16="Mayor"),CONCATENATE("R2C",'Mapa final'!$O$16),"")</f>
        <v/>
      </c>
      <c r="AC17" s="67" t="str">
        <f>IF(AND('Mapa final'!$Y$17="Alta",'Mapa final'!$AA$17="Mayor"),CONCATENATE("R2C",'Mapa final'!$O$17),"")</f>
        <v/>
      </c>
      <c r="AD17" s="67" t="str">
        <f>IF(AND('Mapa final'!$Y$18="Alta",'Mapa final'!$AA$18="Mayor"),CONCATENATE("R2C",'Mapa final'!$O$18),"")</f>
        <v/>
      </c>
      <c r="AE17" s="67" t="str">
        <f>IF(AND('Mapa final'!$Y$19="Alta",'Mapa final'!$AA$19="Mayor"),CONCATENATE("R2C",'Mapa final'!$O$19),"")</f>
        <v/>
      </c>
      <c r="AF17" s="67" t="str">
        <f>IF(AND('Mapa final'!$Y$20="Alta",'Mapa final'!$AA$20="Mayor"),CONCATENATE("R2C",'Mapa final'!$O$20),"")</f>
        <v/>
      </c>
      <c r="AG17" s="68" t="str">
        <f>IF(AND('Mapa final'!$Y$21="Alta",'Mapa final'!$AA$21="Mayor"),CONCATENATE("R2C",'Mapa final'!$O$21),"")</f>
        <v/>
      </c>
      <c r="AH17" s="69" t="str">
        <f>IF(AND('Mapa final'!$Y$16="Alta",'Mapa final'!$AA$16="Catastrófico"),CONCATENATE("R2C",'Mapa final'!$O$16),"")</f>
        <v/>
      </c>
      <c r="AI17" s="70" t="str">
        <f>IF(AND('Mapa final'!$Y$17="Alta",'Mapa final'!$AA$17="Catastrófico"),CONCATENATE("R2C",'Mapa final'!$O$17),"")</f>
        <v/>
      </c>
      <c r="AJ17" s="70" t="str">
        <f>IF(AND('Mapa final'!$Y$18="Alta",'Mapa final'!$AA$18="Catastrófico"),CONCATENATE("R2C",'Mapa final'!$O$18),"")</f>
        <v/>
      </c>
      <c r="AK17" s="70" t="str">
        <f>IF(AND('Mapa final'!$Y$19="Alta",'Mapa final'!$AA$19="Catastrófico"),CONCATENATE("R2C",'Mapa final'!$O$19),"")</f>
        <v/>
      </c>
      <c r="AL17" s="70" t="str">
        <f>IF(AND('Mapa final'!$Y$20="Alta",'Mapa final'!$AA$20="Catastrófico"),CONCATENATE("R2C",'Mapa final'!$O$20),"")</f>
        <v/>
      </c>
      <c r="AM17" s="71" t="str">
        <f>IF(AND('Mapa final'!$Y$21="Alta",'Mapa final'!$AA$21="Catastrófico"),CONCATENATE("R2C",'Mapa final'!$O$21),"")</f>
        <v/>
      </c>
      <c r="AN17" s="97"/>
      <c r="AO17" s="415"/>
      <c r="AP17" s="416"/>
      <c r="AQ17" s="416"/>
      <c r="AR17" s="416"/>
      <c r="AS17" s="416"/>
      <c r="AT17" s="41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row>
    <row r="18" spans="1:76" ht="15" customHeight="1" x14ac:dyDescent="0.25">
      <c r="A18" s="97"/>
      <c r="B18" s="364"/>
      <c r="C18" s="364"/>
      <c r="D18" s="365"/>
      <c r="E18" s="405"/>
      <c r="F18" s="406"/>
      <c r="G18" s="406"/>
      <c r="H18" s="406"/>
      <c r="I18" s="406"/>
      <c r="J18" s="81" t="str">
        <f>IF(AND('Mapa final'!$Y$22="Alta",'Mapa final'!$AA$22="Leve"),CONCATENATE("R3C",'Mapa final'!$O$22),"")</f>
        <v/>
      </c>
      <c r="K18" s="82" t="str">
        <f>IF(AND('Mapa final'!$Y$23="Alta",'Mapa final'!$AA$23="Leve"),CONCATENATE("R3C",'Mapa final'!$O$23),"")</f>
        <v/>
      </c>
      <c r="L18" s="82" t="str">
        <f>IF(AND('Mapa final'!$Y$24="Alta",'Mapa final'!$AA$24="Leve"),CONCATENATE("R3C",'Mapa final'!$O$24),"")</f>
        <v/>
      </c>
      <c r="M18" s="82" t="str">
        <f>IF(AND('Mapa final'!$Y$25="Alta",'Mapa final'!$AA$25="Leve"),CONCATENATE("R3C",'Mapa final'!$O$25),"")</f>
        <v/>
      </c>
      <c r="N18" s="82" t="str">
        <f>IF(AND('Mapa final'!$Y$26="Alta",'Mapa final'!$AA$26="Leve"),CONCATENATE("R3C",'Mapa final'!$O$26),"")</f>
        <v/>
      </c>
      <c r="O18" s="83" t="str">
        <f>IF(AND('Mapa final'!$Y$27="Alta",'Mapa final'!$AA$27="Leve"),CONCATENATE("R3C",'Mapa final'!$O$27),"")</f>
        <v/>
      </c>
      <c r="P18" s="81" t="str">
        <f>IF(AND('Mapa final'!$Y$22="Alta",'Mapa final'!$AA$22="Menor"),CONCATENATE("R3C",'Mapa final'!$O$22),"")</f>
        <v/>
      </c>
      <c r="Q18" s="82" t="str">
        <f>IF(AND('Mapa final'!$Y$23="Alta",'Mapa final'!$AA$23="Menor"),CONCATENATE("R3C",'Mapa final'!$O$23),"")</f>
        <v/>
      </c>
      <c r="R18" s="82" t="str">
        <f>IF(AND('Mapa final'!$Y$24="Alta",'Mapa final'!$AA$24="Menor"),CONCATENATE("R3C",'Mapa final'!$O$24),"")</f>
        <v/>
      </c>
      <c r="S18" s="82" t="str">
        <f>IF(AND('Mapa final'!$Y$25="Alta",'Mapa final'!$AA$25="Menor"),CONCATENATE("R3C",'Mapa final'!$O$25),"")</f>
        <v/>
      </c>
      <c r="T18" s="82" t="str">
        <f>IF(AND('Mapa final'!$Y$26="Alta",'Mapa final'!$AA$26="Menor"),CONCATENATE("R3C",'Mapa final'!$O$26),"")</f>
        <v/>
      </c>
      <c r="U18" s="83" t="str">
        <f>IF(AND('Mapa final'!$Y$27="Alta",'Mapa final'!$AA$27="Menor"),CONCATENATE("R3C",'Mapa final'!$O$27),"")</f>
        <v/>
      </c>
      <c r="V18" s="66" t="str">
        <f>IF(AND('Mapa final'!$Y$22="Alta",'Mapa final'!$AA$22="Moderado"),CONCATENATE("R3C",'Mapa final'!$O$22),"")</f>
        <v/>
      </c>
      <c r="W18" s="67" t="str">
        <f>IF(AND('Mapa final'!$Y$23="Alta",'Mapa final'!$AA$23="Moderado"),CONCATENATE("R3C",'Mapa final'!$O$23),"")</f>
        <v/>
      </c>
      <c r="X18" s="67" t="str">
        <f>IF(AND('Mapa final'!$Y$24="Alta",'Mapa final'!$AA$24="Moderado"),CONCATENATE("R3C",'Mapa final'!$O$24),"")</f>
        <v/>
      </c>
      <c r="Y18" s="67" t="str">
        <f>IF(AND('Mapa final'!$Y$25="Alta",'Mapa final'!$AA$25="Moderado"),CONCATENATE("R3C",'Mapa final'!$O$25),"")</f>
        <v/>
      </c>
      <c r="Z18" s="67" t="str">
        <f>IF(AND('Mapa final'!$Y$26="Alta",'Mapa final'!$AA$26="Moderado"),CONCATENATE("R3C",'Mapa final'!$O$26),"")</f>
        <v/>
      </c>
      <c r="AA18" s="68" t="str">
        <f>IF(AND('Mapa final'!$Y$27="Alta",'Mapa final'!$AA$27="Moderado"),CONCATENATE("R3C",'Mapa final'!$O$27),"")</f>
        <v/>
      </c>
      <c r="AB18" s="66" t="str">
        <f>IF(AND('Mapa final'!$Y$22="Alta",'Mapa final'!$AA$22="Mayor"),CONCATENATE("R3C",'Mapa final'!$O$22),"")</f>
        <v/>
      </c>
      <c r="AC18" s="67" t="str">
        <f>IF(AND('Mapa final'!$Y$23="Alta",'Mapa final'!$AA$23="Mayor"),CONCATENATE("R3C",'Mapa final'!$O$23),"")</f>
        <v/>
      </c>
      <c r="AD18" s="67" t="str">
        <f>IF(AND('Mapa final'!$Y$24="Alta",'Mapa final'!$AA$24="Mayor"),CONCATENATE("R3C",'Mapa final'!$O$24),"")</f>
        <v/>
      </c>
      <c r="AE18" s="67" t="str">
        <f>IF(AND('Mapa final'!$Y$25="Alta",'Mapa final'!$AA$25="Mayor"),CONCATENATE("R3C",'Mapa final'!$O$25),"")</f>
        <v/>
      </c>
      <c r="AF18" s="67" t="str">
        <f>IF(AND('Mapa final'!$Y$26="Alta",'Mapa final'!$AA$26="Mayor"),CONCATENATE("R3C",'Mapa final'!$O$26),"")</f>
        <v/>
      </c>
      <c r="AG18" s="68" t="str">
        <f>IF(AND('Mapa final'!$Y$27="Alta",'Mapa final'!$AA$27="Mayor"),CONCATENATE("R3C",'Mapa final'!$O$27),"")</f>
        <v/>
      </c>
      <c r="AH18" s="69" t="str">
        <f>IF(AND('Mapa final'!$Y$22="Alta",'Mapa final'!$AA$22="Catastrófico"),CONCATENATE("R3C",'Mapa final'!$O$22),"")</f>
        <v/>
      </c>
      <c r="AI18" s="70" t="str">
        <f>IF(AND('Mapa final'!$Y$23="Alta",'Mapa final'!$AA$23="Catastrófico"),CONCATENATE("R3C",'Mapa final'!$O$23),"")</f>
        <v/>
      </c>
      <c r="AJ18" s="70" t="str">
        <f>IF(AND('Mapa final'!$Y$24="Alta",'Mapa final'!$AA$24="Catastrófico"),CONCATENATE("R3C",'Mapa final'!$O$24),"")</f>
        <v/>
      </c>
      <c r="AK18" s="70" t="str">
        <f>IF(AND('Mapa final'!$Y$25="Alta",'Mapa final'!$AA$25="Catastrófico"),CONCATENATE("R3C",'Mapa final'!$O$25),"")</f>
        <v/>
      </c>
      <c r="AL18" s="70" t="str">
        <f>IF(AND('Mapa final'!$Y$26="Alta",'Mapa final'!$AA$26="Catastrófico"),CONCATENATE("R3C",'Mapa final'!$O$26),"")</f>
        <v/>
      </c>
      <c r="AM18" s="71" t="str">
        <f>IF(AND('Mapa final'!$Y$27="Alta",'Mapa final'!$AA$27="Catastrófico"),CONCATENATE("R3C",'Mapa final'!$O$27),"")</f>
        <v/>
      </c>
      <c r="AN18" s="97"/>
      <c r="AO18" s="415"/>
      <c r="AP18" s="416"/>
      <c r="AQ18" s="416"/>
      <c r="AR18" s="416"/>
      <c r="AS18" s="416"/>
      <c r="AT18" s="41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row>
    <row r="19" spans="1:76" ht="15" customHeight="1" x14ac:dyDescent="0.25">
      <c r="A19" s="97"/>
      <c r="B19" s="364"/>
      <c r="C19" s="364"/>
      <c r="D19" s="365"/>
      <c r="E19" s="405"/>
      <c r="F19" s="406"/>
      <c r="G19" s="406"/>
      <c r="H19" s="406"/>
      <c r="I19" s="406"/>
      <c r="J19" s="81" t="str">
        <f>IF(AND('Mapa final'!$Y$28="Alta",'Mapa final'!$AA$28="Leve"),CONCATENATE("R4C",'Mapa final'!$O$28),"")</f>
        <v/>
      </c>
      <c r="K19" s="82" t="str">
        <f>IF(AND('Mapa final'!$Y$29="Alta",'Mapa final'!$AA$29="Leve"),CONCATENATE("R4C",'Mapa final'!$O$29),"")</f>
        <v/>
      </c>
      <c r="L19" s="82" t="str">
        <f>IF(AND('Mapa final'!$Y$30="Alta",'Mapa final'!$AA$30="Leve"),CONCATENATE("R4C",'Mapa final'!$O$30),"")</f>
        <v/>
      </c>
      <c r="M19" s="82" t="str">
        <f>IF(AND('Mapa final'!$Y$31="Alta",'Mapa final'!$AA$31="Leve"),CONCATENATE("R4C",'Mapa final'!$O$31),"")</f>
        <v/>
      </c>
      <c r="N19" s="82" t="str">
        <f>IF(AND('Mapa final'!$Y$32="Alta",'Mapa final'!$AA$32="Leve"),CONCATENATE("R4C",'Mapa final'!$O$32),"")</f>
        <v/>
      </c>
      <c r="O19" s="83" t="str">
        <f>IF(AND('Mapa final'!$Y$33="Alta",'Mapa final'!$AA$33="Leve"),CONCATENATE("R4C",'Mapa final'!$O$33),"")</f>
        <v/>
      </c>
      <c r="P19" s="81" t="str">
        <f>IF(AND('Mapa final'!$Y$28="Alta",'Mapa final'!$AA$28="Menor"),CONCATENATE("R4C",'Mapa final'!$O$28),"")</f>
        <v/>
      </c>
      <c r="Q19" s="82" t="str">
        <f>IF(AND('Mapa final'!$Y$29="Alta",'Mapa final'!$AA$29="Menor"),CONCATENATE("R4C",'Mapa final'!$O$29),"")</f>
        <v/>
      </c>
      <c r="R19" s="82" t="str">
        <f>IF(AND('Mapa final'!$Y$30="Alta",'Mapa final'!$AA$30="Menor"),CONCATENATE("R4C",'Mapa final'!$O$30),"")</f>
        <v/>
      </c>
      <c r="S19" s="82" t="str">
        <f>IF(AND('Mapa final'!$Y$31="Alta",'Mapa final'!$AA$31="Menor"),CONCATENATE("R4C",'Mapa final'!$O$31),"")</f>
        <v/>
      </c>
      <c r="T19" s="82" t="str">
        <f>IF(AND('Mapa final'!$Y$32="Alta",'Mapa final'!$AA$32="Menor"),CONCATENATE("R4C",'Mapa final'!$O$32),"")</f>
        <v/>
      </c>
      <c r="U19" s="83" t="str">
        <f>IF(AND('Mapa final'!$Y$33="Alta",'Mapa final'!$AA$33="Menor"),CONCATENATE("R4C",'Mapa final'!$O$33),"")</f>
        <v/>
      </c>
      <c r="V19" s="66" t="str">
        <f>IF(AND('Mapa final'!$Y$28="Alta",'Mapa final'!$AA$28="Moderado"),CONCATENATE("R4C",'Mapa final'!$O$28),"")</f>
        <v/>
      </c>
      <c r="W19" s="67" t="str">
        <f>IF(AND('Mapa final'!$Y$29="Alta",'Mapa final'!$AA$29="Moderado"),CONCATENATE("R4C",'Mapa final'!$O$29),"")</f>
        <v/>
      </c>
      <c r="X19" s="67" t="str">
        <f>IF(AND('Mapa final'!$Y$30="Alta",'Mapa final'!$AA$30="Moderado"),CONCATENATE("R4C",'Mapa final'!$O$30),"")</f>
        <v/>
      </c>
      <c r="Y19" s="67" t="str">
        <f>IF(AND('Mapa final'!$Y$31="Alta",'Mapa final'!$AA$31="Moderado"),CONCATENATE("R4C",'Mapa final'!$O$31),"")</f>
        <v/>
      </c>
      <c r="Z19" s="67" t="str">
        <f>IF(AND('Mapa final'!$Y$32="Alta",'Mapa final'!$AA$32="Moderado"),CONCATENATE("R4C",'Mapa final'!$O$32),"")</f>
        <v/>
      </c>
      <c r="AA19" s="68" t="str">
        <f>IF(AND('Mapa final'!$Y$33="Alta",'Mapa final'!$AA$33="Moderado"),CONCATENATE("R4C",'Mapa final'!$O$33),"")</f>
        <v/>
      </c>
      <c r="AB19" s="66" t="str">
        <f>IF(AND('Mapa final'!$Y$28="Alta",'Mapa final'!$AA$28="Mayor"),CONCATENATE("R4C",'Mapa final'!$O$28),"")</f>
        <v/>
      </c>
      <c r="AC19" s="67" t="str">
        <f>IF(AND('Mapa final'!$Y$29="Alta",'Mapa final'!$AA$29="Mayor"),CONCATENATE("R4C",'Mapa final'!$O$29),"")</f>
        <v/>
      </c>
      <c r="AD19" s="67" t="str">
        <f>IF(AND('Mapa final'!$Y$30="Alta",'Mapa final'!$AA$30="Mayor"),CONCATENATE("R4C",'Mapa final'!$O$30),"")</f>
        <v/>
      </c>
      <c r="AE19" s="67" t="str">
        <f>IF(AND('Mapa final'!$Y$31="Alta",'Mapa final'!$AA$31="Mayor"),CONCATENATE("R4C",'Mapa final'!$O$31),"")</f>
        <v/>
      </c>
      <c r="AF19" s="67" t="str">
        <f>IF(AND('Mapa final'!$Y$32="Alta",'Mapa final'!$AA$32="Mayor"),CONCATENATE("R4C",'Mapa final'!$O$32),"")</f>
        <v/>
      </c>
      <c r="AG19" s="68" t="str">
        <f>IF(AND('Mapa final'!$Y$33="Alta",'Mapa final'!$AA$33="Mayor"),CONCATENATE("R4C",'Mapa final'!$O$33),"")</f>
        <v/>
      </c>
      <c r="AH19" s="69" t="str">
        <f>IF(AND('Mapa final'!$Y$28="Alta",'Mapa final'!$AA$28="Catastrófico"),CONCATENATE("R4C",'Mapa final'!$O$28),"")</f>
        <v/>
      </c>
      <c r="AI19" s="70" t="str">
        <f>IF(AND('Mapa final'!$Y$29="Alta",'Mapa final'!$AA$29="Catastrófico"),CONCATENATE("R4C",'Mapa final'!$O$29),"")</f>
        <v/>
      </c>
      <c r="AJ19" s="70" t="str">
        <f>IF(AND('Mapa final'!$Y$30="Alta",'Mapa final'!$AA$30="Catastrófico"),CONCATENATE("R4C",'Mapa final'!$O$30),"")</f>
        <v/>
      </c>
      <c r="AK19" s="70" t="str">
        <f>IF(AND('Mapa final'!$Y$31="Alta",'Mapa final'!$AA$31="Catastrófico"),CONCATENATE("R4C",'Mapa final'!$O$31),"")</f>
        <v/>
      </c>
      <c r="AL19" s="70" t="str">
        <f>IF(AND('Mapa final'!$Y$32="Alta",'Mapa final'!$AA$32="Catastrófico"),CONCATENATE("R4C",'Mapa final'!$O$32),"")</f>
        <v/>
      </c>
      <c r="AM19" s="71" t="str">
        <f>IF(AND('Mapa final'!$Y$33="Alta",'Mapa final'!$AA$33="Catastrófico"),CONCATENATE("R4C",'Mapa final'!$O$33),"")</f>
        <v/>
      </c>
      <c r="AN19" s="97"/>
      <c r="AO19" s="415"/>
      <c r="AP19" s="416"/>
      <c r="AQ19" s="416"/>
      <c r="AR19" s="416"/>
      <c r="AS19" s="416"/>
      <c r="AT19" s="41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row>
    <row r="20" spans="1:76" ht="15" customHeight="1" x14ac:dyDescent="0.25">
      <c r="A20" s="97"/>
      <c r="B20" s="364"/>
      <c r="C20" s="364"/>
      <c r="D20" s="365"/>
      <c r="E20" s="405"/>
      <c r="F20" s="406"/>
      <c r="G20" s="406"/>
      <c r="H20" s="406"/>
      <c r="I20" s="406"/>
      <c r="J20" s="81" t="str">
        <f>IF(AND('Mapa final'!$Y$34="Alta",'Mapa final'!$AA$34="Leve"),CONCATENATE("R5C",'Mapa final'!$O$34),"")</f>
        <v/>
      </c>
      <c r="K20" s="82" t="str">
        <f>IF(AND('Mapa final'!$Y$35="Alta",'Mapa final'!$AA$35="Leve"),CONCATENATE("R5C",'Mapa final'!$O$35),"")</f>
        <v/>
      </c>
      <c r="L20" s="82" t="str">
        <f>IF(AND('Mapa final'!$Y$36="Alta",'Mapa final'!$AA$36="Leve"),CONCATENATE("R5C",'Mapa final'!$O$36),"")</f>
        <v/>
      </c>
      <c r="M20" s="82" t="str">
        <f>IF(AND('Mapa final'!$Y$37="Alta",'Mapa final'!$AA$37="Leve"),CONCATENATE("R5C",'Mapa final'!$O$37),"")</f>
        <v/>
      </c>
      <c r="N20" s="82" t="str">
        <f>IF(AND('Mapa final'!$Y$38="Alta",'Mapa final'!$AA$38="Leve"),CONCATENATE("R5C",'Mapa final'!$O$38),"")</f>
        <v/>
      </c>
      <c r="O20" s="83" t="str">
        <f>IF(AND('Mapa final'!$Y$39="Alta",'Mapa final'!$AA$39="Leve"),CONCATENATE("R5C",'Mapa final'!$O$39),"")</f>
        <v/>
      </c>
      <c r="P20" s="81" t="str">
        <f>IF(AND('Mapa final'!$Y$34="Alta",'Mapa final'!$AA$34="Menor"),CONCATENATE("R5C",'Mapa final'!$O$34),"")</f>
        <v/>
      </c>
      <c r="Q20" s="82" t="str">
        <f>IF(AND('Mapa final'!$Y$35="Alta",'Mapa final'!$AA$35="Menor"),CONCATENATE("R5C",'Mapa final'!$O$35),"")</f>
        <v/>
      </c>
      <c r="R20" s="82" t="str">
        <f>IF(AND('Mapa final'!$Y$36="Alta",'Mapa final'!$AA$36="Menor"),CONCATENATE("R5C",'Mapa final'!$O$36),"")</f>
        <v/>
      </c>
      <c r="S20" s="82" t="str">
        <f>IF(AND('Mapa final'!$Y$37="Alta",'Mapa final'!$AA$37="Menor"),CONCATENATE("R5C",'Mapa final'!$O$37),"")</f>
        <v/>
      </c>
      <c r="T20" s="82" t="str">
        <f>IF(AND('Mapa final'!$Y$38="Alta",'Mapa final'!$AA$38="Menor"),CONCATENATE("R5C",'Mapa final'!$O$38),"")</f>
        <v/>
      </c>
      <c r="U20" s="83" t="str">
        <f>IF(AND('Mapa final'!$Y$39="Alta",'Mapa final'!$AA$39="Menor"),CONCATENATE("R5C",'Mapa final'!$O$39),"")</f>
        <v/>
      </c>
      <c r="V20" s="66" t="str">
        <f>IF(AND('Mapa final'!$Y$34="Alta",'Mapa final'!$AA$34="Moderado"),CONCATENATE("R5C",'Mapa final'!$O$34),"")</f>
        <v/>
      </c>
      <c r="W20" s="67" t="str">
        <f>IF(AND('Mapa final'!$Y$35="Alta",'Mapa final'!$AA$35="Moderado"),CONCATENATE("R5C",'Mapa final'!$O$35),"")</f>
        <v/>
      </c>
      <c r="X20" s="67" t="str">
        <f>IF(AND('Mapa final'!$Y$36="Alta",'Mapa final'!$AA$36="Moderado"),CONCATENATE("R5C",'Mapa final'!$O$36),"")</f>
        <v/>
      </c>
      <c r="Y20" s="67" t="str">
        <f>IF(AND('Mapa final'!$Y$37="Alta",'Mapa final'!$AA$37="Moderado"),CONCATENATE("R5C",'Mapa final'!$O$37),"")</f>
        <v/>
      </c>
      <c r="Z20" s="67" t="str">
        <f>IF(AND('Mapa final'!$Y$38="Alta",'Mapa final'!$AA$38="Moderado"),CONCATENATE("R5C",'Mapa final'!$O$38),"")</f>
        <v/>
      </c>
      <c r="AA20" s="68" t="str">
        <f>IF(AND('Mapa final'!$Y$39="Alta",'Mapa final'!$AA$39="Moderado"),CONCATENATE("R5C",'Mapa final'!$O$39),"")</f>
        <v/>
      </c>
      <c r="AB20" s="66" t="str">
        <f>IF(AND('Mapa final'!$Y$34="Alta",'Mapa final'!$AA$34="Mayor"),CONCATENATE("R5C",'Mapa final'!$O$34),"")</f>
        <v/>
      </c>
      <c r="AC20" s="67" t="str">
        <f>IF(AND('Mapa final'!$Y$35="Alta",'Mapa final'!$AA$35="Mayor"),CONCATENATE("R5C",'Mapa final'!$O$35),"")</f>
        <v/>
      </c>
      <c r="AD20" s="67" t="str">
        <f>IF(AND('Mapa final'!$Y$36="Alta",'Mapa final'!$AA$36="Mayor"),CONCATENATE("R5C",'Mapa final'!$O$36),"")</f>
        <v/>
      </c>
      <c r="AE20" s="67" t="str">
        <f>IF(AND('Mapa final'!$Y$37="Alta",'Mapa final'!$AA$37="Mayor"),CONCATENATE("R5C",'Mapa final'!$O$37),"")</f>
        <v/>
      </c>
      <c r="AF20" s="67" t="str">
        <f>IF(AND('Mapa final'!$Y$38="Alta",'Mapa final'!$AA$38="Mayor"),CONCATENATE("R5C",'Mapa final'!$O$38),"")</f>
        <v/>
      </c>
      <c r="AG20" s="68" t="str">
        <f>IF(AND('Mapa final'!$Y$39="Alta",'Mapa final'!$AA$39="Mayor"),CONCATENATE("R5C",'Mapa final'!$O$39),"")</f>
        <v/>
      </c>
      <c r="AH20" s="69" t="str">
        <f>IF(AND('Mapa final'!$Y$34="Alta",'Mapa final'!$AA$34="Catastrófico"),CONCATENATE("R5C",'Mapa final'!$O$34),"")</f>
        <v/>
      </c>
      <c r="AI20" s="70" t="str">
        <f>IF(AND('Mapa final'!$Y$35="Alta",'Mapa final'!$AA$35="Catastrófico"),CONCATENATE("R5C",'Mapa final'!$O$35),"")</f>
        <v/>
      </c>
      <c r="AJ20" s="70" t="str">
        <f>IF(AND('Mapa final'!$Y$36="Alta",'Mapa final'!$AA$36="Catastrófico"),CONCATENATE("R5C",'Mapa final'!$O$36),"")</f>
        <v/>
      </c>
      <c r="AK20" s="70" t="str">
        <f>IF(AND('Mapa final'!$Y$37="Alta",'Mapa final'!$AA$37="Catastrófico"),CONCATENATE("R5C",'Mapa final'!$O$37),"")</f>
        <v/>
      </c>
      <c r="AL20" s="70" t="str">
        <f>IF(AND('Mapa final'!$Y$38="Alta",'Mapa final'!$AA$38="Catastrófico"),CONCATENATE("R5C",'Mapa final'!$O$38),"")</f>
        <v/>
      </c>
      <c r="AM20" s="71" t="str">
        <f>IF(AND('Mapa final'!$Y$39="Alta",'Mapa final'!$AA$39="Catastrófico"),CONCATENATE("R5C",'Mapa final'!$O$39),"")</f>
        <v/>
      </c>
      <c r="AN20" s="97"/>
      <c r="AO20" s="415"/>
      <c r="AP20" s="416"/>
      <c r="AQ20" s="416"/>
      <c r="AR20" s="416"/>
      <c r="AS20" s="416"/>
      <c r="AT20" s="41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row>
    <row r="21" spans="1:76" ht="15" customHeight="1" x14ac:dyDescent="0.25">
      <c r="A21" s="97"/>
      <c r="B21" s="364"/>
      <c r="C21" s="364"/>
      <c r="D21" s="365"/>
      <c r="E21" s="405"/>
      <c r="F21" s="406"/>
      <c r="G21" s="406"/>
      <c r="H21" s="406"/>
      <c r="I21" s="406"/>
      <c r="J21" s="81" t="str">
        <f>IF(AND('Mapa final'!$Y$40="Alta",'Mapa final'!$AA$40="Leve"),CONCATENATE("R6C",'Mapa final'!$O$40),"")</f>
        <v/>
      </c>
      <c r="K21" s="82" t="str">
        <f>IF(AND('Mapa final'!$Y$41="Alta",'Mapa final'!$AA$41="Leve"),CONCATENATE("R6C",'Mapa final'!$O$41),"")</f>
        <v/>
      </c>
      <c r="L21" s="82" t="str">
        <f>IF(AND('Mapa final'!$Y$42="Alta",'Mapa final'!$AA$42="Leve"),CONCATENATE("R6C",'Mapa final'!$O$42),"")</f>
        <v/>
      </c>
      <c r="M21" s="82" t="str">
        <f>IF(AND('Mapa final'!$Y$43="Alta",'Mapa final'!$AA$43="Leve"),CONCATENATE("R6C",'Mapa final'!$O$43),"")</f>
        <v/>
      </c>
      <c r="N21" s="82" t="str">
        <f>IF(AND('Mapa final'!$Y$44="Alta",'Mapa final'!$AA$44="Leve"),CONCATENATE("R6C",'Mapa final'!$O$44),"")</f>
        <v/>
      </c>
      <c r="O21" s="83" t="str">
        <f>IF(AND('Mapa final'!$Y$45="Alta",'Mapa final'!$AA$45="Leve"),CONCATENATE("R6C",'Mapa final'!$O$45),"")</f>
        <v/>
      </c>
      <c r="P21" s="81" t="str">
        <f>IF(AND('Mapa final'!$Y$40="Alta",'Mapa final'!$AA$40="Menor"),CONCATENATE("R6C",'Mapa final'!$O$40),"")</f>
        <v/>
      </c>
      <c r="Q21" s="82" t="str">
        <f>IF(AND('Mapa final'!$Y$41="Alta",'Mapa final'!$AA$41="Menor"),CONCATENATE("R6C",'Mapa final'!$O$41),"")</f>
        <v/>
      </c>
      <c r="R21" s="82" t="str">
        <f>IF(AND('Mapa final'!$Y$42="Alta",'Mapa final'!$AA$42="Menor"),CONCATENATE("R6C",'Mapa final'!$O$42),"")</f>
        <v/>
      </c>
      <c r="S21" s="82" t="str">
        <f>IF(AND('Mapa final'!$Y$43="Alta",'Mapa final'!$AA$43="Menor"),CONCATENATE("R6C",'Mapa final'!$O$43),"")</f>
        <v/>
      </c>
      <c r="T21" s="82" t="str">
        <f>IF(AND('Mapa final'!$Y$44="Alta",'Mapa final'!$AA$44="Menor"),CONCATENATE("R6C",'Mapa final'!$O$44),"")</f>
        <v/>
      </c>
      <c r="U21" s="83" t="str">
        <f>IF(AND('Mapa final'!$Y$45="Alta",'Mapa final'!$AA$45="Menor"),CONCATENATE("R6C",'Mapa final'!$O$45),"")</f>
        <v/>
      </c>
      <c r="V21" s="66" t="str">
        <f>IF(AND('Mapa final'!$Y$40="Alta",'Mapa final'!$AA$40="Moderado"),CONCATENATE("R6C",'Mapa final'!$O$40),"")</f>
        <v/>
      </c>
      <c r="W21" s="67" t="str">
        <f>IF(AND('Mapa final'!$Y$41="Alta",'Mapa final'!$AA$41="Moderado"),CONCATENATE("R6C",'Mapa final'!$O$41),"")</f>
        <v/>
      </c>
      <c r="X21" s="67" t="str">
        <f>IF(AND('Mapa final'!$Y$42="Alta",'Mapa final'!$AA$42="Moderado"),CONCATENATE("R6C",'Mapa final'!$O$42),"")</f>
        <v/>
      </c>
      <c r="Y21" s="67" t="str">
        <f>IF(AND('Mapa final'!$Y$43="Alta",'Mapa final'!$AA$43="Moderado"),CONCATENATE("R6C",'Mapa final'!$O$43),"")</f>
        <v/>
      </c>
      <c r="Z21" s="67" t="str">
        <f>IF(AND('Mapa final'!$Y$44="Alta",'Mapa final'!$AA$44="Moderado"),CONCATENATE("R6C",'Mapa final'!$O$44),"")</f>
        <v/>
      </c>
      <c r="AA21" s="68" t="str">
        <f>IF(AND('Mapa final'!$Y$45="Alta",'Mapa final'!$AA$45="Moderado"),CONCATENATE("R6C",'Mapa final'!$O$45),"")</f>
        <v/>
      </c>
      <c r="AB21" s="66" t="str">
        <f>IF(AND('Mapa final'!$Y$40="Alta",'Mapa final'!$AA$40="Mayor"),CONCATENATE("R6C",'Mapa final'!$O$40),"")</f>
        <v/>
      </c>
      <c r="AC21" s="67" t="str">
        <f>IF(AND('Mapa final'!$Y$41="Alta",'Mapa final'!$AA$41="Mayor"),CONCATENATE("R6C",'Mapa final'!$O$41),"")</f>
        <v/>
      </c>
      <c r="AD21" s="67" t="str">
        <f>IF(AND('Mapa final'!$Y$42="Alta",'Mapa final'!$AA$42="Mayor"),CONCATENATE("R6C",'Mapa final'!$O$42),"")</f>
        <v/>
      </c>
      <c r="AE21" s="67" t="str">
        <f>IF(AND('Mapa final'!$Y$43="Alta",'Mapa final'!$AA$43="Mayor"),CONCATENATE("R6C",'Mapa final'!$O$43),"")</f>
        <v/>
      </c>
      <c r="AF21" s="67" t="str">
        <f>IF(AND('Mapa final'!$Y$44="Alta",'Mapa final'!$AA$44="Mayor"),CONCATENATE("R6C",'Mapa final'!$O$44),"")</f>
        <v/>
      </c>
      <c r="AG21" s="68" t="str">
        <f>IF(AND('Mapa final'!$Y$45="Alta",'Mapa final'!$AA$45="Mayor"),CONCATENATE("R6C",'Mapa final'!$O$45),"")</f>
        <v/>
      </c>
      <c r="AH21" s="69" t="str">
        <f>IF(AND('Mapa final'!$Y$40="Alta",'Mapa final'!$AA$40="Catastrófico"),CONCATENATE("R6C",'Mapa final'!$O$40),"")</f>
        <v/>
      </c>
      <c r="AI21" s="70" t="str">
        <f>IF(AND('Mapa final'!$Y$41="Alta",'Mapa final'!$AA$41="Catastrófico"),CONCATENATE("R6C",'Mapa final'!$O$41),"")</f>
        <v/>
      </c>
      <c r="AJ21" s="70" t="str">
        <f>IF(AND('Mapa final'!$Y$42="Alta",'Mapa final'!$AA$42="Catastrófico"),CONCATENATE("R6C",'Mapa final'!$O$42),"")</f>
        <v/>
      </c>
      <c r="AK21" s="70" t="str">
        <f>IF(AND('Mapa final'!$Y$43="Alta",'Mapa final'!$AA$43="Catastrófico"),CONCATENATE("R6C",'Mapa final'!$O$43),"")</f>
        <v/>
      </c>
      <c r="AL21" s="70" t="str">
        <f>IF(AND('Mapa final'!$Y$44="Alta",'Mapa final'!$AA$44="Catastrófico"),CONCATENATE("R6C",'Mapa final'!$O$44),"")</f>
        <v/>
      </c>
      <c r="AM21" s="71" t="str">
        <f>IF(AND('Mapa final'!$Y$45="Alta",'Mapa final'!$AA$45="Catastrófico"),CONCATENATE("R6C",'Mapa final'!$O$45),"")</f>
        <v/>
      </c>
      <c r="AN21" s="97"/>
      <c r="AO21" s="415"/>
      <c r="AP21" s="416"/>
      <c r="AQ21" s="416"/>
      <c r="AR21" s="416"/>
      <c r="AS21" s="416"/>
      <c r="AT21" s="41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row>
    <row r="22" spans="1:76" ht="15" customHeight="1" x14ac:dyDescent="0.25">
      <c r="A22" s="97"/>
      <c r="B22" s="364"/>
      <c r="C22" s="364"/>
      <c r="D22" s="365"/>
      <c r="E22" s="405"/>
      <c r="F22" s="406"/>
      <c r="G22" s="406"/>
      <c r="H22" s="406"/>
      <c r="I22" s="406"/>
      <c r="J22" s="81" t="str">
        <f>IF(AND('Mapa final'!$Y$46="Alta",'Mapa final'!$AA$46="Leve"),CONCATENATE("R7C",'Mapa final'!$O$46),"")</f>
        <v/>
      </c>
      <c r="K22" s="82" t="str">
        <f>IF(AND('Mapa final'!$Y$47="Alta",'Mapa final'!$AA$47="Leve"),CONCATENATE("R7C",'Mapa final'!$O$47),"")</f>
        <v/>
      </c>
      <c r="L22" s="82" t="str">
        <f>IF(AND('Mapa final'!$Y$48="Alta",'Mapa final'!$AA$48="Leve"),CONCATENATE("R7C",'Mapa final'!$O$48),"")</f>
        <v/>
      </c>
      <c r="M22" s="82" t="str">
        <f>IF(AND('Mapa final'!$Y$49="Alta",'Mapa final'!$AA$49="Leve"),CONCATENATE("R7C",'Mapa final'!$O$49),"")</f>
        <v/>
      </c>
      <c r="N22" s="82" t="str">
        <f>IF(AND('Mapa final'!$Y$50="Alta",'Mapa final'!$AA$50="Leve"),CONCATENATE("R7C",'Mapa final'!$O$50),"")</f>
        <v/>
      </c>
      <c r="O22" s="83" t="str">
        <f>IF(AND('Mapa final'!$Y$51="Alta",'Mapa final'!$AA$51="Leve"),CONCATENATE("R7C",'Mapa final'!$O$51),"")</f>
        <v/>
      </c>
      <c r="P22" s="81" t="str">
        <f>IF(AND('Mapa final'!$Y$46="Alta",'Mapa final'!$AA$46="Menor"),CONCATENATE("R7C",'Mapa final'!$O$46),"")</f>
        <v/>
      </c>
      <c r="Q22" s="82" t="str">
        <f>IF(AND('Mapa final'!$Y$47="Alta",'Mapa final'!$AA$47="Menor"),CONCATENATE("R7C",'Mapa final'!$O$47),"")</f>
        <v/>
      </c>
      <c r="R22" s="82" t="str">
        <f>IF(AND('Mapa final'!$Y$48="Alta",'Mapa final'!$AA$48="Menor"),CONCATENATE("R7C",'Mapa final'!$O$48),"")</f>
        <v/>
      </c>
      <c r="S22" s="82" t="str">
        <f>IF(AND('Mapa final'!$Y$49="Alta",'Mapa final'!$AA$49="Menor"),CONCATENATE("R7C",'Mapa final'!$O$49),"")</f>
        <v/>
      </c>
      <c r="T22" s="82" t="str">
        <f>IF(AND('Mapa final'!$Y$50="Alta",'Mapa final'!$AA$50="Menor"),CONCATENATE("R7C",'Mapa final'!$O$50),"")</f>
        <v/>
      </c>
      <c r="U22" s="83" t="str">
        <f>IF(AND('Mapa final'!$Y$51="Alta",'Mapa final'!$AA$51="Menor"),CONCATENATE("R7C",'Mapa final'!$O$51),"")</f>
        <v/>
      </c>
      <c r="V22" s="66" t="str">
        <f>IF(AND('Mapa final'!$Y$46="Alta",'Mapa final'!$AA$46="Moderado"),CONCATENATE("R7C",'Mapa final'!$O$46),"")</f>
        <v/>
      </c>
      <c r="W22" s="67" t="str">
        <f>IF(AND('Mapa final'!$Y$47="Alta",'Mapa final'!$AA$47="Moderado"),CONCATENATE("R7C",'Mapa final'!$O$47),"")</f>
        <v/>
      </c>
      <c r="X22" s="67" t="str">
        <f>IF(AND('Mapa final'!$Y$48="Alta",'Mapa final'!$AA$48="Moderado"),CONCATENATE("R7C",'Mapa final'!$O$48),"")</f>
        <v/>
      </c>
      <c r="Y22" s="67" t="str">
        <f>IF(AND('Mapa final'!$Y$49="Alta",'Mapa final'!$AA$49="Moderado"),CONCATENATE("R7C",'Mapa final'!$O$49),"")</f>
        <v/>
      </c>
      <c r="Z22" s="67" t="str">
        <f>IF(AND('Mapa final'!$Y$50="Alta",'Mapa final'!$AA$50="Moderado"),CONCATENATE("R7C",'Mapa final'!$O$50),"")</f>
        <v/>
      </c>
      <c r="AA22" s="68" t="str">
        <f>IF(AND('Mapa final'!$Y$51="Alta",'Mapa final'!$AA$51="Moderado"),CONCATENATE("R7C",'Mapa final'!$O$51),"")</f>
        <v/>
      </c>
      <c r="AB22" s="66" t="str">
        <f>IF(AND('Mapa final'!$Y$46="Alta",'Mapa final'!$AA$46="Mayor"),CONCATENATE("R7C",'Mapa final'!$O$46),"")</f>
        <v/>
      </c>
      <c r="AC22" s="67" t="str">
        <f>IF(AND('Mapa final'!$Y$47="Alta",'Mapa final'!$AA$47="Mayor"),CONCATENATE("R7C",'Mapa final'!$O$47),"")</f>
        <v/>
      </c>
      <c r="AD22" s="67" t="str">
        <f>IF(AND('Mapa final'!$Y$48="Alta",'Mapa final'!$AA$48="Mayor"),CONCATENATE("R7C",'Mapa final'!$O$48),"")</f>
        <v/>
      </c>
      <c r="AE22" s="67" t="str">
        <f>IF(AND('Mapa final'!$Y$49="Alta",'Mapa final'!$AA$49="Mayor"),CONCATENATE("R7C",'Mapa final'!$O$49),"")</f>
        <v/>
      </c>
      <c r="AF22" s="67" t="str">
        <f>IF(AND('Mapa final'!$Y$50="Alta",'Mapa final'!$AA$50="Mayor"),CONCATENATE("R7C",'Mapa final'!$O$50),"")</f>
        <v/>
      </c>
      <c r="AG22" s="68" t="str">
        <f>IF(AND('Mapa final'!$Y$51="Alta",'Mapa final'!$AA$51="Mayor"),CONCATENATE("R7C",'Mapa final'!$O$51),"")</f>
        <v/>
      </c>
      <c r="AH22" s="69" t="str">
        <f>IF(AND('Mapa final'!$Y$46="Alta",'Mapa final'!$AA$46="Catastrófico"),CONCATENATE("R7C",'Mapa final'!$O$46),"")</f>
        <v/>
      </c>
      <c r="AI22" s="70" t="str">
        <f>IF(AND('Mapa final'!$Y$47="Alta",'Mapa final'!$AA$47="Catastrófico"),CONCATENATE("R7C",'Mapa final'!$O$47),"")</f>
        <v/>
      </c>
      <c r="AJ22" s="70" t="str">
        <f>IF(AND('Mapa final'!$Y$48="Alta",'Mapa final'!$AA$48="Catastrófico"),CONCATENATE("R7C",'Mapa final'!$O$48),"")</f>
        <v/>
      </c>
      <c r="AK22" s="70" t="str">
        <f>IF(AND('Mapa final'!$Y$49="Alta",'Mapa final'!$AA$49="Catastrófico"),CONCATENATE("R7C",'Mapa final'!$O$49),"")</f>
        <v/>
      </c>
      <c r="AL22" s="70" t="str">
        <f>IF(AND('Mapa final'!$Y$50="Alta",'Mapa final'!$AA$50="Catastrófico"),CONCATENATE("R7C",'Mapa final'!$O$50),"")</f>
        <v/>
      </c>
      <c r="AM22" s="71" t="str">
        <f>IF(AND('Mapa final'!$Y$51="Alta",'Mapa final'!$AA$51="Catastrófico"),CONCATENATE("R7C",'Mapa final'!$O$51),"")</f>
        <v/>
      </c>
      <c r="AN22" s="97"/>
      <c r="AO22" s="415"/>
      <c r="AP22" s="416"/>
      <c r="AQ22" s="416"/>
      <c r="AR22" s="416"/>
      <c r="AS22" s="416"/>
      <c r="AT22" s="41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row>
    <row r="23" spans="1:76" ht="15" customHeight="1" x14ac:dyDescent="0.25">
      <c r="A23" s="97"/>
      <c r="B23" s="364"/>
      <c r="C23" s="364"/>
      <c r="D23" s="365"/>
      <c r="E23" s="405"/>
      <c r="F23" s="406"/>
      <c r="G23" s="406"/>
      <c r="H23" s="406"/>
      <c r="I23" s="406"/>
      <c r="J23" s="81" t="str">
        <f>IF(AND('Mapa final'!$Y$52="Alta",'Mapa final'!$AA$52="Leve"),CONCATENATE("R8C",'Mapa final'!$O$52),"")</f>
        <v/>
      </c>
      <c r="K23" s="82" t="str">
        <f>IF(AND('Mapa final'!$Y$53="Alta",'Mapa final'!$AA$53="Leve"),CONCATENATE("R8C",'Mapa final'!$O$53),"")</f>
        <v/>
      </c>
      <c r="L23" s="82" t="str">
        <f>IF(AND('Mapa final'!$Y$54="Alta",'Mapa final'!$AA$54="Leve"),CONCATENATE("R8C",'Mapa final'!$O$54),"")</f>
        <v/>
      </c>
      <c r="M23" s="82" t="str">
        <f>IF(AND('Mapa final'!$Y$55="Alta",'Mapa final'!$AA$55="Leve"),CONCATENATE("R8C",'Mapa final'!$O$55),"")</f>
        <v/>
      </c>
      <c r="N23" s="82" t="str">
        <f>IF(AND('Mapa final'!$Y$56="Alta",'Mapa final'!$AA$56="Leve"),CONCATENATE("R8C",'Mapa final'!$O$56),"")</f>
        <v/>
      </c>
      <c r="O23" s="83" t="str">
        <f>IF(AND('Mapa final'!$Y$57="Alta",'Mapa final'!$AA$57="Leve"),CONCATENATE("R8C",'Mapa final'!$O$57),"")</f>
        <v/>
      </c>
      <c r="P23" s="81" t="str">
        <f>IF(AND('Mapa final'!$Y$52="Alta",'Mapa final'!$AA$52="Menor"),CONCATENATE("R8C",'Mapa final'!$O$52),"")</f>
        <v/>
      </c>
      <c r="Q23" s="82" t="str">
        <f>IF(AND('Mapa final'!$Y$53="Alta",'Mapa final'!$AA$53="Menor"),CONCATENATE("R8C",'Mapa final'!$O$53),"")</f>
        <v/>
      </c>
      <c r="R23" s="82" t="str">
        <f>IF(AND('Mapa final'!$Y$54="Alta",'Mapa final'!$AA$54="Menor"),CONCATENATE("R8C",'Mapa final'!$O$54),"")</f>
        <v/>
      </c>
      <c r="S23" s="82" t="str">
        <f>IF(AND('Mapa final'!$Y$55="Alta",'Mapa final'!$AA$55="Menor"),CONCATENATE("R8C",'Mapa final'!$O$55),"")</f>
        <v/>
      </c>
      <c r="T23" s="82" t="str">
        <f>IF(AND('Mapa final'!$Y$56="Alta",'Mapa final'!$AA$56="Menor"),CONCATENATE("R8C",'Mapa final'!$O$56),"")</f>
        <v/>
      </c>
      <c r="U23" s="83" t="str">
        <f>IF(AND('Mapa final'!$Y$57="Alta",'Mapa final'!$AA$57="Menor"),CONCATENATE("R8C",'Mapa final'!$O$57),"")</f>
        <v/>
      </c>
      <c r="V23" s="66" t="str">
        <f>IF(AND('Mapa final'!$Y$52="Alta",'Mapa final'!$AA$52="Moderado"),CONCATENATE("R8C",'Mapa final'!$O$52),"")</f>
        <v/>
      </c>
      <c r="W23" s="67" t="str">
        <f>IF(AND('Mapa final'!$Y$53="Alta",'Mapa final'!$AA$53="Moderado"),CONCATENATE("R8C",'Mapa final'!$O$53),"")</f>
        <v/>
      </c>
      <c r="X23" s="67" t="str">
        <f>IF(AND('Mapa final'!$Y$54="Alta",'Mapa final'!$AA$54="Moderado"),CONCATENATE("R8C",'Mapa final'!$O$54),"")</f>
        <v/>
      </c>
      <c r="Y23" s="67" t="str">
        <f>IF(AND('Mapa final'!$Y$55="Alta",'Mapa final'!$AA$55="Moderado"),CONCATENATE("R8C",'Mapa final'!$O$55),"")</f>
        <v/>
      </c>
      <c r="Z23" s="67" t="str">
        <f>IF(AND('Mapa final'!$Y$56="Alta",'Mapa final'!$AA$56="Moderado"),CONCATENATE("R8C",'Mapa final'!$O$56),"")</f>
        <v/>
      </c>
      <c r="AA23" s="68" t="str">
        <f>IF(AND('Mapa final'!$Y$57="Alta",'Mapa final'!$AA$57="Moderado"),CONCATENATE("R8C",'Mapa final'!$O$57),"")</f>
        <v/>
      </c>
      <c r="AB23" s="66" t="str">
        <f>IF(AND('Mapa final'!$Y$52="Alta",'Mapa final'!$AA$52="Mayor"),CONCATENATE("R8C",'Mapa final'!$O$52),"")</f>
        <v/>
      </c>
      <c r="AC23" s="67" t="str">
        <f>IF(AND('Mapa final'!$Y$53="Alta",'Mapa final'!$AA$53="Mayor"),CONCATENATE("R8C",'Mapa final'!$O$53),"")</f>
        <v/>
      </c>
      <c r="AD23" s="67" t="str">
        <f>IF(AND('Mapa final'!$Y$54="Alta",'Mapa final'!$AA$54="Mayor"),CONCATENATE("R8C",'Mapa final'!$O$54),"")</f>
        <v/>
      </c>
      <c r="AE23" s="67" t="str">
        <f>IF(AND('Mapa final'!$Y$55="Alta",'Mapa final'!$AA$55="Mayor"),CONCATENATE("R8C",'Mapa final'!$O$55),"")</f>
        <v/>
      </c>
      <c r="AF23" s="67" t="str">
        <f>IF(AND('Mapa final'!$Y$56="Alta",'Mapa final'!$AA$56="Mayor"),CONCATENATE("R8C",'Mapa final'!$O$56),"")</f>
        <v/>
      </c>
      <c r="AG23" s="68" t="str">
        <f>IF(AND('Mapa final'!$Y$57="Alta",'Mapa final'!$AA$57="Mayor"),CONCATENATE("R8C",'Mapa final'!$O$57),"")</f>
        <v/>
      </c>
      <c r="AH23" s="69" t="str">
        <f>IF(AND('Mapa final'!$Y$52="Alta",'Mapa final'!$AA$52="Catastrófico"),CONCATENATE("R8C",'Mapa final'!$O$52),"")</f>
        <v/>
      </c>
      <c r="AI23" s="70" t="str">
        <f>IF(AND('Mapa final'!$Y$53="Alta",'Mapa final'!$AA$53="Catastrófico"),CONCATENATE("R8C",'Mapa final'!$O$53),"")</f>
        <v/>
      </c>
      <c r="AJ23" s="70" t="str">
        <f>IF(AND('Mapa final'!$Y$54="Alta",'Mapa final'!$AA$54="Catastrófico"),CONCATENATE("R8C",'Mapa final'!$O$54),"")</f>
        <v/>
      </c>
      <c r="AK23" s="70" t="str">
        <f>IF(AND('Mapa final'!$Y$55="Alta",'Mapa final'!$AA$55="Catastrófico"),CONCATENATE("R8C",'Mapa final'!$O$55),"")</f>
        <v/>
      </c>
      <c r="AL23" s="70" t="str">
        <f>IF(AND('Mapa final'!$Y$56="Alta",'Mapa final'!$AA$56="Catastrófico"),CONCATENATE("R8C",'Mapa final'!$O$56),"")</f>
        <v/>
      </c>
      <c r="AM23" s="71" t="str">
        <f>IF(AND('Mapa final'!$Y$57="Alta",'Mapa final'!$AA$57="Catastrófico"),CONCATENATE("R8C",'Mapa final'!$O$57),"")</f>
        <v/>
      </c>
      <c r="AN23" s="97"/>
      <c r="AO23" s="415"/>
      <c r="AP23" s="416"/>
      <c r="AQ23" s="416"/>
      <c r="AR23" s="416"/>
      <c r="AS23" s="416"/>
      <c r="AT23" s="41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row>
    <row r="24" spans="1:76" ht="15" customHeight="1" x14ac:dyDescent="0.25">
      <c r="A24" s="97"/>
      <c r="B24" s="364"/>
      <c r="C24" s="364"/>
      <c r="D24" s="365"/>
      <c r="E24" s="405"/>
      <c r="F24" s="406"/>
      <c r="G24" s="406"/>
      <c r="H24" s="406"/>
      <c r="I24" s="406"/>
      <c r="J24" s="81" t="str">
        <f>IF(AND('Mapa final'!$Y$58="Alta",'Mapa final'!$AA$58="Leve"),CONCATENATE("R9C",'Mapa final'!$O$58),"")</f>
        <v/>
      </c>
      <c r="K24" s="82" t="str">
        <f>IF(AND('Mapa final'!$Y$59="Alta",'Mapa final'!$AA$59="Leve"),CONCATENATE("R9C",'Mapa final'!$O$59),"")</f>
        <v/>
      </c>
      <c r="L24" s="82" t="str">
        <f>IF(AND('Mapa final'!$Y$60="Alta",'Mapa final'!$AA$60="Leve"),CONCATENATE("R9C",'Mapa final'!$O$60),"")</f>
        <v/>
      </c>
      <c r="M24" s="82" t="str">
        <f>IF(AND('Mapa final'!$Y$61="Alta",'Mapa final'!$AA$61="Leve"),CONCATENATE("R9C",'Mapa final'!$O$61),"")</f>
        <v/>
      </c>
      <c r="N24" s="82" t="str">
        <f>IF(AND('Mapa final'!$Y$62="Alta",'Mapa final'!$AA$62="Leve"),CONCATENATE("R9C",'Mapa final'!$O$62),"")</f>
        <v/>
      </c>
      <c r="O24" s="83" t="str">
        <f>IF(AND('Mapa final'!$Y$63="Alta",'Mapa final'!$AA$63="Leve"),CONCATENATE("R9C",'Mapa final'!$O$63),"")</f>
        <v/>
      </c>
      <c r="P24" s="81" t="str">
        <f>IF(AND('Mapa final'!$Y$58="Alta",'Mapa final'!$AA$58="Menor"),CONCATENATE("R9C",'Mapa final'!$O$58),"")</f>
        <v/>
      </c>
      <c r="Q24" s="82" t="str">
        <f>IF(AND('Mapa final'!$Y$59="Alta",'Mapa final'!$AA$59="Menor"),CONCATENATE("R9C",'Mapa final'!$O$59),"")</f>
        <v/>
      </c>
      <c r="R24" s="82" t="str">
        <f>IF(AND('Mapa final'!$Y$60="Alta",'Mapa final'!$AA$60="Menor"),CONCATENATE("R9C",'Mapa final'!$O$60),"")</f>
        <v/>
      </c>
      <c r="S24" s="82" t="str">
        <f>IF(AND('Mapa final'!$Y$61="Alta",'Mapa final'!$AA$61="Menor"),CONCATENATE("R9C",'Mapa final'!$O$61),"")</f>
        <v/>
      </c>
      <c r="T24" s="82" t="str">
        <f>IF(AND('Mapa final'!$Y$62="Alta",'Mapa final'!$AA$62="Menor"),CONCATENATE("R9C",'Mapa final'!$O$62),"")</f>
        <v/>
      </c>
      <c r="U24" s="83" t="str">
        <f>IF(AND('Mapa final'!$Y$63="Alta",'Mapa final'!$AA$63="Menor"),CONCATENATE("R9C",'Mapa final'!$O$63),"")</f>
        <v/>
      </c>
      <c r="V24" s="66" t="str">
        <f>IF(AND('Mapa final'!$Y$58="Alta",'Mapa final'!$AA$58="Moderado"),CONCATENATE("R9C",'Mapa final'!$O$58),"")</f>
        <v/>
      </c>
      <c r="W24" s="67" t="str">
        <f>IF(AND('Mapa final'!$Y$59="Alta",'Mapa final'!$AA$59="Moderado"),CONCATENATE("R9C",'Mapa final'!$O$59),"")</f>
        <v/>
      </c>
      <c r="X24" s="67" t="str">
        <f>IF(AND('Mapa final'!$Y$60="Alta",'Mapa final'!$AA$60="Moderado"),CONCATENATE("R9C",'Mapa final'!$O$60),"")</f>
        <v/>
      </c>
      <c r="Y24" s="67" t="str">
        <f>IF(AND('Mapa final'!$Y$61="Alta",'Mapa final'!$AA$61="Moderado"),CONCATENATE("R9C",'Mapa final'!$O$61),"")</f>
        <v/>
      </c>
      <c r="Z24" s="67" t="str">
        <f>IF(AND('Mapa final'!$Y$62="Alta",'Mapa final'!$AA$62="Moderado"),CONCATENATE("R9C",'Mapa final'!$O$62),"")</f>
        <v/>
      </c>
      <c r="AA24" s="68" t="str">
        <f>IF(AND('Mapa final'!$Y$63="Alta",'Mapa final'!$AA$63="Moderado"),CONCATENATE("R9C",'Mapa final'!$O$63),"")</f>
        <v/>
      </c>
      <c r="AB24" s="66" t="str">
        <f>IF(AND('Mapa final'!$Y$58="Alta",'Mapa final'!$AA$58="Mayor"),CONCATENATE("R9C",'Mapa final'!$O$58),"")</f>
        <v/>
      </c>
      <c r="AC24" s="67" t="str">
        <f>IF(AND('Mapa final'!$Y$59="Alta",'Mapa final'!$AA$59="Mayor"),CONCATENATE("R9C",'Mapa final'!$O$59),"")</f>
        <v/>
      </c>
      <c r="AD24" s="67" t="str">
        <f>IF(AND('Mapa final'!$Y$60="Alta",'Mapa final'!$AA$60="Mayor"),CONCATENATE("R9C",'Mapa final'!$O$60),"")</f>
        <v/>
      </c>
      <c r="AE24" s="67" t="str">
        <f>IF(AND('Mapa final'!$Y$61="Alta",'Mapa final'!$AA$61="Mayor"),CONCATENATE("R9C",'Mapa final'!$O$61),"")</f>
        <v/>
      </c>
      <c r="AF24" s="67" t="str">
        <f>IF(AND('Mapa final'!$Y$62="Alta",'Mapa final'!$AA$62="Mayor"),CONCATENATE("R9C",'Mapa final'!$O$62),"")</f>
        <v/>
      </c>
      <c r="AG24" s="68" t="str">
        <f>IF(AND('Mapa final'!$Y$63="Alta",'Mapa final'!$AA$63="Mayor"),CONCATENATE("R9C",'Mapa final'!$O$63),"")</f>
        <v/>
      </c>
      <c r="AH24" s="69" t="str">
        <f>IF(AND('Mapa final'!$Y$58="Alta",'Mapa final'!$AA$58="Catastrófico"),CONCATENATE("R9C",'Mapa final'!$O$58),"")</f>
        <v/>
      </c>
      <c r="AI24" s="70" t="str">
        <f>IF(AND('Mapa final'!$Y$59="Alta",'Mapa final'!$AA$59="Catastrófico"),CONCATENATE("R9C",'Mapa final'!$O$59),"")</f>
        <v/>
      </c>
      <c r="AJ24" s="70" t="str">
        <f>IF(AND('Mapa final'!$Y$60="Alta",'Mapa final'!$AA$60="Catastrófico"),CONCATENATE("R9C",'Mapa final'!$O$60),"")</f>
        <v/>
      </c>
      <c r="AK24" s="70" t="str">
        <f>IF(AND('Mapa final'!$Y$61="Alta",'Mapa final'!$AA$61="Catastrófico"),CONCATENATE("R9C",'Mapa final'!$O$61),"")</f>
        <v/>
      </c>
      <c r="AL24" s="70" t="str">
        <f>IF(AND('Mapa final'!$Y$62="Alta",'Mapa final'!$AA$62="Catastrófico"),CONCATENATE("R9C",'Mapa final'!$O$62),"")</f>
        <v/>
      </c>
      <c r="AM24" s="71" t="str">
        <f>IF(AND('Mapa final'!$Y$63="Alta",'Mapa final'!$AA$63="Catastrófico"),CONCATENATE("R9C",'Mapa final'!$O$63),"")</f>
        <v/>
      </c>
      <c r="AN24" s="97"/>
      <c r="AO24" s="415"/>
      <c r="AP24" s="416"/>
      <c r="AQ24" s="416"/>
      <c r="AR24" s="416"/>
      <c r="AS24" s="416"/>
      <c r="AT24" s="41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row>
    <row r="25" spans="1:76" ht="15.75" customHeight="1" thickBot="1" x14ac:dyDescent="0.3">
      <c r="A25" s="97"/>
      <c r="B25" s="364"/>
      <c r="C25" s="364"/>
      <c r="D25" s="365"/>
      <c r="E25" s="408"/>
      <c r="F25" s="409"/>
      <c r="G25" s="409"/>
      <c r="H25" s="409"/>
      <c r="I25" s="409"/>
      <c r="J25" s="84" t="str">
        <f>IF(AND('Mapa final'!$Y$64="Alta",'Mapa final'!$AA$64="Leve"),CONCATENATE("R10C",'Mapa final'!$O$64),"")</f>
        <v/>
      </c>
      <c r="K25" s="85" t="str">
        <f>IF(AND('Mapa final'!$Y$65="Alta",'Mapa final'!$AA$65="Leve"),CONCATENATE("R10C",'Mapa final'!$O$65),"")</f>
        <v/>
      </c>
      <c r="L25" s="85" t="str">
        <f>IF(AND('Mapa final'!$Y$66="Alta",'Mapa final'!$AA$66="Leve"),CONCATENATE("R10C",'Mapa final'!$O$66),"")</f>
        <v/>
      </c>
      <c r="M25" s="85" t="str">
        <f>IF(AND('Mapa final'!$Y$67="Alta",'Mapa final'!$AA$67="Leve"),CONCATENATE("R10C",'Mapa final'!$O$67),"")</f>
        <v/>
      </c>
      <c r="N25" s="85" t="str">
        <f>IF(AND('Mapa final'!$Y$68="Alta",'Mapa final'!$AA$68="Leve"),CONCATENATE("R10C",'Mapa final'!$O$68),"")</f>
        <v/>
      </c>
      <c r="O25" s="86" t="str">
        <f>IF(AND('Mapa final'!$Y$69="Alta",'Mapa final'!$AA$69="Leve"),CONCATENATE("R10C",'Mapa final'!$O$69),"")</f>
        <v/>
      </c>
      <c r="P25" s="84" t="str">
        <f>IF(AND('Mapa final'!$Y$64="Alta",'Mapa final'!$AA$64="Menor"),CONCATENATE("R10C",'Mapa final'!$O$64),"")</f>
        <v/>
      </c>
      <c r="Q25" s="85" t="str">
        <f>IF(AND('Mapa final'!$Y$65="Alta",'Mapa final'!$AA$65="Menor"),CONCATENATE("R10C",'Mapa final'!$O$65),"")</f>
        <v/>
      </c>
      <c r="R25" s="85" t="str">
        <f>IF(AND('Mapa final'!$Y$66="Alta",'Mapa final'!$AA$66="Menor"),CONCATENATE("R10C",'Mapa final'!$O$66),"")</f>
        <v/>
      </c>
      <c r="S25" s="85" t="str">
        <f>IF(AND('Mapa final'!$Y$67="Alta",'Mapa final'!$AA$67="Menor"),CONCATENATE("R10C",'Mapa final'!$O$67),"")</f>
        <v/>
      </c>
      <c r="T25" s="85" t="str">
        <f>IF(AND('Mapa final'!$Y$68="Alta",'Mapa final'!$AA$68="Menor"),CONCATENATE("R10C",'Mapa final'!$O$68),"")</f>
        <v/>
      </c>
      <c r="U25" s="86" t="str">
        <f>IF(AND('Mapa final'!$Y$69="Alta",'Mapa final'!$AA$69="Menor"),CONCATENATE("R10C",'Mapa final'!$O$69),"")</f>
        <v/>
      </c>
      <c r="V25" s="72" t="str">
        <f>IF(AND('Mapa final'!$Y$64="Alta",'Mapa final'!$AA$64="Moderado"),CONCATENATE("R10C",'Mapa final'!$O$64),"")</f>
        <v/>
      </c>
      <c r="W25" s="73" t="str">
        <f>IF(AND('Mapa final'!$Y$65="Alta",'Mapa final'!$AA$65="Moderado"),CONCATENATE("R10C",'Mapa final'!$O$65),"")</f>
        <v/>
      </c>
      <c r="X25" s="73" t="str">
        <f>IF(AND('Mapa final'!$Y$66="Alta",'Mapa final'!$AA$66="Moderado"),CONCATENATE("R10C",'Mapa final'!$O$66),"")</f>
        <v/>
      </c>
      <c r="Y25" s="73" t="str">
        <f>IF(AND('Mapa final'!$Y$67="Alta",'Mapa final'!$AA$67="Moderado"),CONCATENATE("R10C",'Mapa final'!$O$67),"")</f>
        <v/>
      </c>
      <c r="Z25" s="73" t="str">
        <f>IF(AND('Mapa final'!$Y$68="Alta",'Mapa final'!$AA$68="Moderado"),CONCATENATE("R10C",'Mapa final'!$O$68),"")</f>
        <v/>
      </c>
      <c r="AA25" s="74" t="str">
        <f>IF(AND('Mapa final'!$Y$69="Alta",'Mapa final'!$AA$69="Moderado"),CONCATENATE("R10C",'Mapa final'!$O$69),"")</f>
        <v/>
      </c>
      <c r="AB25" s="72" t="str">
        <f>IF(AND('Mapa final'!$Y$64="Alta",'Mapa final'!$AA$64="Mayor"),CONCATENATE("R10C",'Mapa final'!$O$64),"")</f>
        <v/>
      </c>
      <c r="AC25" s="73" t="str">
        <f>IF(AND('Mapa final'!$Y$65="Alta",'Mapa final'!$AA$65="Mayor"),CONCATENATE("R10C",'Mapa final'!$O$65),"")</f>
        <v/>
      </c>
      <c r="AD25" s="73" t="str">
        <f>IF(AND('Mapa final'!$Y$66="Alta",'Mapa final'!$AA$66="Mayor"),CONCATENATE("R10C",'Mapa final'!$O$66),"")</f>
        <v/>
      </c>
      <c r="AE25" s="73" t="str">
        <f>IF(AND('Mapa final'!$Y$67="Alta",'Mapa final'!$AA$67="Mayor"),CONCATENATE("R10C",'Mapa final'!$O$67),"")</f>
        <v/>
      </c>
      <c r="AF25" s="73" t="str">
        <f>IF(AND('Mapa final'!$Y$68="Alta",'Mapa final'!$AA$68="Mayor"),CONCATENATE("R10C",'Mapa final'!$O$68),"")</f>
        <v/>
      </c>
      <c r="AG25" s="74" t="str">
        <f>IF(AND('Mapa final'!$Y$69="Alta",'Mapa final'!$AA$69="Mayor"),CONCATENATE("R10C",'Mapa final'!$O$69),"")</f>
        <v/>
      </c>
      <c r="AH25" s="75" t="str">
        <f>IF(AND('Mapa final'!$Y$64="Alta",'Mapa final'!$AA$64="Catastrófico"),CONCATENATE("R10C",'Mapa final'!$O$64),"")</f>
        <v/>
      </c>
      <c r="AI25" s="76" t="str">
        <f>IF(AND('Mapa final'!$Y$65="Alta",'Mapa final'!$AA$65="Catastrófico"),CONCATENATE("R10C",'Mapa final'!$O$65),"")</f>
        <v/>
      </c>
      <c r="AJ25" s="76" t="str">
        <f>IF(AND('Mapa final'!$Y$66="Alta",'Mapa final'!$AA$66="Catastrófico"),CONCATENATE("R10C",'Mapa final'!$O$66),"")</f>
        <v/>
      </c>
      <c r="AK25" s="76" t="str">
        <f>IF(AND('Mapa final'!$Y$67="Alta",'Mapa final'!$AA$67="Catastrófico"),CONCATENATE("R10C",'Mapa final'!$O$67),"")</f>
        <v/>
      </c>
      <c r="AL25" s="76" t="str">
        <f>IF(AND('Mapa final'!$Y$68="Alta",'Mapa final'!$AA$68="Catastrófico"),CONCATENATE("R10C",'Mapa final'!$O$68),"")</f>
        <v/>
      </c>
      <c r="AM25" s="77" t="str">
        <f>IF(AND('Mapa final'!$Y$69="Alta",'Mapa final'!$AA$69="Catastrófico"),CONCATENATE("R10C",'Mapa final'!$O$69),"")</f>
        <v/>
      </c>
      <c r="AN25" s="97"/>
      <c r="AO25" s="418"/>
      <c r="AP25" s="419"/>
      <c r="AQ25" s="419"/>
      <c r="AR25" s="419"/>
      <c r="AS25" s="419"/>
      <c r="AT25" s="420"/>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row>
    <row r="26" spans="1:76" ht="15" customHeight="1" x14ac:dyDescent="0.25">
      <c r="A26" s="97"/>
      <c r="B26" s="364"/>
      <c r="C26" s="364"/>
      <c r="D26" s="365"/>
      <c r="E26" s="402" t="s">
        <v>198</v>
      </c>
      <c r="F26" s="403"/>
      <c r="G26" s="403"/>
      <c r="H26" s="403"/>
      <c r="I26" s="404"/>
      <c r="J26" s="78" t="str">
        <f>IF(AND('Mapa final'!$Y$10="Media",'Mapa final'!$AA$10="Leve"),CONCATENATE("R1C",'Mapa final'!$O$10),"")</f>
        <v/>
      </c>
      <c r="K26" s="79" t="str">
        <f>IF(AND('Mapa final'!$Y$11="Media",'Mapa final'!$AA$11="Leve"),CONCATENATE("R1C",'Mapa final'!$O$11),"")</f>
        <v/>
      </c>
      <c r="L26" s="79" t="str">
        <f>IF(AND('Mapa final'!$Y$12="Media",'Mapa final'!$AA$12="Leve"),CONCATENATE("R1C",'Mapa final'!$O$12),"")</f>
        <v/>
      </c>
      <c r="M26" s="79" t="str">
        <f>IF(AND('Mapa final'!$Y$13="Media",'Mapa final'!$AA$13="Leve"),CONCATENATE("R1C",'Mapa final'!$O$13),"")</f>
        <v/>
      </c>
      <c r="N26" s="79" t="str">
        <f>IF(AND('Mapa final'!$Y$14="Media",'Mapa final'!$AA$14="Leve"),CONCATENATE("R1C",'Mapa final'!$O$14),"")</f>
        <v/>
      </c>
      <c r="O26" s="80" t="str">
        <f>IF(AND('Mapa final'!$Y$15="Media",'Mapa final'!$AA$15="Leve"),CONCATENATE("R1C",'Mapa final'!$O$15),"")</f>
        <v/>
      </c>
      <c r="P26" s="78" t="str">
        <f>IF(AND('Mapa final'!$Y$10="Media",'Mapa final'!$AA$10="Menor"),CONCATENATE("R1C",'Mapa final'!$O$10),"")</f>
        <v/>
      </c>
      <c r="Q26" s="79" t="str">
        <f>IF(AND('Mapa final'!$Y$11="Media",'Mapa final'!$AA$11="Menor"),CONCATENATE("R1C",'Mapa final'!$O$11),"")</f>
        <v/>
      </c>
      <c r="R26" s="79" t="str">
        <f>IF(AND('Mapa final'!$Y$12="Media",'Mapa final'!$AA$12="Menor"),CONCATENATE("R1C",'Mapa final'!$O$12),"")</f>
        <v/>
      </c>
      <c r="S26" s="79" t="str">
        <f>IF(AND('Mapa final'!$Y$13="Media",'Mapa final'!$AA$13="Menor"),CONCATENATE("R1C",'Mapa final'!$O$13),"")</f>
        <v/>
      </c>
      <c r="T26" s="79" t="str">
        <f>IF(AND('Mapa final'!$Y$14="Media",'Mapa final'!$AA$14="Menor"),CONCATENATE("R1C",'Mapa final'!$O$14),"")</f>
        <v/>
      </c>
      <c r="U26" s="80" t="str">
        <f>IF(AND('Mapa final'!$Y$15="Media",'Mapa final'!$AA$15="Menor"),CONCATENATE("R1C",'Mapa final'!$O$15),"")</f>
        <v/>
      </c>
      <c r="V26" s="78" t="str">
        <f>IF(AND('Mapa final'!$Y$10="Media",'Mapa final'!$AA$10="Moderado"),CONCATENATE("R1C",'Mapa final'!$O$10),"")</f>
        <v/>
      </c>
      <c r="W26" s="79" t="str">
        <f>IF(AND('Mapa final'!$Y$11="Media",'Mapa final'!$AA$11="Moderado"),CONCATENATE("R1C",'Mapa final'!$O$11),"")</f>
        <v/>
      </c>
      <c r="X26" s="79" t="str">
        <f>IF(AND('Mapa final'!$Y$12="Media",'Mapa final'!$AA$12="Moderado"),CONCATENATE("R1C",'Mapa final'!$O$12),"")</f>
        <v/>
      </c>
      <c r="Y26" s="79" t="str">
        <f>IF(AND('Mapa final'!$Y$13="Media",'Mapa final'!$AA$13="Moderado"),CONCATENATE("R1C",'Mapa final'!$O$13),"")</f>
        <v/>
      </c>
      <c r="Z26" s="79" t="str">
        <f>IF(AND('Mapa final'!$Y$14="Media",'Mapa final'!$AA$14="Moderado"),CONCATENATE("R1C",'Mapa final'!$O$14),"")</f>
        <v/>
      </c>
      <c r="AA26" s="80" t="str">
        <f>IF(AND('Mapa final'!$Y$15="Media",'Mapa final'!$AA$15="Moderado"),CONCATENATE("R1C",'Mapa final'!$O$15),"")</f>
        <v/>
      </c>
      <c r="AB26" s="60" t="str">
        <f>IF(AND('Mapa final'!$Y$10="Media",'Mapa final'!$AA$10="Mayor"),CONCATENATE("R1C",'Mapa final'!$O$10),"")</f>
        <v/>
      </c>
      <c r="AC26" s="61" t="str">
        <f>IF(AND('Mapa final'!$Y$11="Media",'Mapa final'!$AA$11="Mayor"),CONCATENATE("R1C",'Mapa final'!$O$11),"")</f>
        <v/>
      </c>
      <c r="AD26" s="61" t="str">
        <f>IF(AND('Mapa final'!$Y$12="Media",'Mapa final'!$AA$12="Mayor"),CONCATENATE("R1C",'Mapa final'!$O$12),"")</f>
        <v/>
      </c>
      <c r="AE26" s="61" t="str">
        <f>IF(AND('Mapa final'!$Y$13="Media",'Mapa final'!$AA$13="Mayor"),CONCATENATE("R1C",'Mapa final'!$O$13),"")</f>
        <v/>
      </c>
      <c r="AF26" s="61" t="str">
        <f>IF(AND('Mapa final'!$Y$14="Media",'Mapa final'!$AA$14="Mayor"),CONCATENATE("R1C",'Mapa final'!$O$14),"")</f>
        <v/>
      </c>
      <c r="AG26" s="62" t="str">
        <f>IF(AND('Mapa final'!$Y$15="Media",'Mapa final'!$AA$15="Mayor"),CONCATENATE("R1C",'Mapa final'!$O$15),"")</f>
        <v/>
      </c>
      <c r="AH26" s="63" t="str">
        <f>IF(AND('Mapa final'!$Y$10="Media",'Mapa final'!$AA$10="Catastrófico"),CONCATENATE("R1C",'Mapa final'!$O$10),"")</f>
        <v/>
      </c>
      <c r="AI26" s="64" t="str">
        <f>IF(AND('Mapa final'!$Y$11="Media",'Mapa final'!$AA$11="Catastrófico"),CONCATENATE("R1C",'Mapa final'!$O$11),"")</f>
        <v/>
      </c>
      <c r="AJ26" s="64" t="str">
        <f>IF(AND('Mapa final'!$Y$12="Media",'Mapa final'!$AA$12="Catastrófico"),CONCATENATE("R1C",'Mapa final'!$O$12),"")</f>
        <v/>
      </c>
      <c r="AK26" s="64" t="str">
        <f>IF(AND('Mapa final'!$Y$13="Media",'Mapa final'!$AA$13="Catastrófico"),CONCATENATE("R1C",'Mapa final'!$O$13),"")</f>
        <v/>
      </c>
      <c r="AL26" s="64" t="str">
        <f>IF(AND('Mapa final'!$Y$14="Media",'Mapa final'!$AA$14="Catastrófico"),CONCATENATE("R1C",'Mapa final'!$O$14),"")</f>
        <v/>
      </c>
      <c r="AM26" s="65" t="str">
        <f>IF(AND('Mapa final'!$Y$15="Media",'Mapa final'!$AA$15="Catastrófico"),CONCATENATE("R1C",'Mapa final'!$O$15),"")</f>
        <v/>
      </c>
      <c r="AN26" s="97"/>
      <c r="AO26" s="442" t="s">
        <v>188</v>
      </c>
      <c r="AP26" s="443"/>
      <c r="AQ26" s="443"/>
      <c r="AR26" s="443"/>
      <c r="AS26" s="443"/>
      <c r="AT26" s="444"/>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row>
    <row r="27" spans="1:76" ht="15" customHeight="1" x14ac:dyDescent="0.25">
      <c r="A27" s="97"/>
      <c r="B27" s="364"/>
      <c r="C27" s="364"/>
      <c r="D27" s="365"/>
      <c r="E27" s="421"/>
      <c r="F27" s="406"/>
      <c r="G27" s="406"/>
      <c r="H27" s="406"/>
      <c r="I27" s="407"/>
      <c r="J27" s="81" t="str">
        <f>IF(AND('Mapa final'!$Y$16="Media",'Mapa final'!$AA$16="Leve"),CONCATENATE("R2C",'Mapa final'!$O$16),"")</f>
        <v/>
      </c>
      <c r="K27" s="82" t="str">
        <f>IF(AND('Mapa final'!$Y$17="Media",'Mapa final'!$AA$17="Leve"),CONCATENATE("R2C",'Mapa final'!$O$17),"")</f>
        <v/>
      </c>
      <c r="L27" s="82" t="str">
        <f>IF(AND('Mapa final'!$Y$18="Media",'Mapa final'!$AA$18="Leve"),CONCATENATE("R2C",'Mapa final'!$O$18),"")</f>
        <v/>
      </c>
      <c r="M27" s="82" t="str">
        <f>IF(AND('Mapa final'!$Y$19="Media",'Mapa final'!$AA$19="Leve"),CONCATENATE("R2C",'Mapa final'!$O$19),"")</f>
        <v/>
      </c>
      <c r="N27" s="82" t="str">
        <f>IF(AND('Mapa final'!$Y$20="Media",'Mapa final'!$AA$20="Leve"),CONCATENATE("R2C",'Mapa final'!$O$20),"")</f>
        <v/>
      </c>
      <c r="O27" s="83" t="str">
        <f>IF(AND('Mapa final'!$Y$21="Media",'Mapa final'!$AA$21="Leve"),CONCATENATE("R2C",'Mapa final'!$O$21),"")</f>
        <v/>
      </c>
      <c r="P27" s="81" t="str">
        <f>IF(AND('Mapa final'!$Y$16="Media",'Mapa final'!$AA$16="Menor"),CONCATENATE("R2C",'Mapa final'!$O$16),"")</f>
        <v/>
      </c>
      <c r="Q27" s="82" t="str">
        <f>IF(AND('Mapa final'!$Y$17="Media",'Mapa final'!$AA$17="Menor"),CONCATENATE("R2C",'Mapa final'!$O$17),"")</f>
        <v/>
      </c>
      <c r="R27" s="82" t="str">
        <f>IF(AND('Mapa final'!$Y$18="Media",'Mapa final'!$AA$18="Menor"),CONCATENATE("R2C",'Mapa final'!$O$18),"")</f>
        <v/>
      </c>
      <c r="S27" s="82" t="str">
        <f>IF(AND('Mapa final'!$Y$19="Media",'Mapa final'!$AA$19="Menor"),CONCATENATE("R2C",'Mapa final'!$O$19),"")</f>
        <v/>
      </c>
      <c r="T27" s="82" t="str">
        <f>IF(AND('Mapa final'!$Y$20="Media",'Mapa final'!$AA$20="Menor"),CONCATENATE("R2C",'Mapa final'!$O$20),"")</f>
        <v/>
      </c>
      <c r="U27" s="83" t="str">
        <f>IF(AND('Mapa final'!$Y$21="Media",'Mapa final'!$AA$21="Menor"),CONCATENATE("R2C",'Mapa final'!$O$21),"")</f>
        <v/>
      </c>
      <c r="V27" s="81" t="str">
        <f>IF(AND('Mapa final'!$Y$16="Media",'Mapa final'!$AA$16="Moderado"),CONCATENATE("R2C",'Mapa final'!$O$16),"")</f>
        <v/>
      </c>
      <c r="W27" s="82" t="str">
        <f>IF(AND('Mapa final'!$Y$17="Media",'Mapa final'!$AA$17="Moderado"),CONCATENATE("R2C",'Mapa final'!$O$17),"")</f>
        <v/>
      </c>
      <c r="X27" s="82" t="str">
        <f>IF(AND('Mapa final'!$Y$18="Media",'Mapa final'!$AA$18="Moderado"),CONCATENATE("R2C",'Mapa final'!$O$18),"")</f>
        <v/>
      </c>
      <c r="Y27" s="82" t="str">
        <f>IF(AND('Mapa final'!$Y$19="Media",'Mapa final'!$AA$19="Moderado"),CONCATENATE("R2C",'Mapa final'!$O$19),"")</f>
        <v/>
      </c>
      <c r="Z27" s="82" t="str">
        <f>IF(AND('Mapa final'!$Y$20="Media",'Mapa final'!$AA$20="Moderado"),CONCATENATE("R2C",'Mapa final'!$O$20),"")</f>
        <v/>
      </c>
      <c r="AA27" s="83" t="str">
        <f>IF(AND('Mapa final'!$Y$21="Media",'Mapa final'!$AA$21="Moderado"),CONCATENATE("R2C",'Mapa final'!$O$21),"")</f>
        <v/>
      </c>
      <c r="AB27" s="66" t="str">
        <f>IF(AND('Mapa final'!$Y$16="Media",'Mapa final'!$AA$16="Mayor"),CONCATENATE("R2C",'Mapa final'!$O$16),"")</f>
        <v/>
      </c>
      <c r="AC27" s="67" t="str">
        <f>IF(AND('Mapa final'!$Y$17="Media",'Mapa final'!$AA$17="Mayor"),CONCATENATE("R2C",'Mapa final'!$O$17),"")</f>
        <v/>
      </c>
      <c r="AD27" s="67" t="str">
        <f>IF(AND('Mapa final'!$Y$18="Media",'Mapa final'!$AA$18="Mayor"),CONCATENATE("R2C",'Mapa final'!$O$18),"")</f>
        <v/>
      </c>
      <c r="AE27" s="67" t="str">
        <f>IF(AND('Mapa final'!$Y$19="Media",'Mapa final'!$AA$19="Mayor"),CONCATENATE("R2C",'Mapa final'!$O$19),"")</f>
        <v/>
      </c>
      <c r="AF27" s="67" t="str">
        <f>IF(AND('Mapa final'!$Y$20="Media",'Mapa final'!$AA$20="Mayor"),CONCATENATE("R2C",'Mapa final'!$O$20),"")</f>
        <v/>
      </c>
      <c r="AG27" s="68" t="str">
        <f>IF(AND('Mapa final'!$Y$21="Media",'Mapa final'!$AA$21="Mayor"),CONCATENATE("R2C",'Mapa final'!$O$21),"")</f>
        <v/>
      </c>
      <c r="AH27" s="69" t="str">
        <f>IF(AND('Mapa final'!$Y$16="Media",'Mapa final'!$AA$16="Catastrófico"),CONCATENATE("R2C",'Mapa final'!$O$16),"")</f>
        <v/>
      </c>
      <c r="AI27" s="70" t="str">
        <f>IF(AND('Mapa final'!$Y$17="Media",'Mapa final'!$AA$17="Catastrófico"),CONCATENATE("R2C",'Mapa final'!$O$17),"")</f>
        <v/>
      </c>
      <c r="AJ27" s="70" t="str">
        <f>IF(AND('Mapa final'!$Y$18="Media",'Mapa final'!$AA$18="Catastrófico"),CONCATENATE("R2C",'Mapa final'!$O$18),"")</f>
        <v/>
      </c>
      <c r="AK27" s="70" t="str">
        <f>IF(AND('Mapa final'!$Y$19="Media",'Mapa final'!$AA$19="Catastrófico"),CONCATENATE("R2C",'Mapa final'!$O$19),"")</f>
        <v/>
      </c>
      <c r="AL27" s="70" t="str">
        <f>IF(AND('Mapa final'!$Y$20="Media",'Mapa final'!$AA$20="Catastrófico"),CONCATENATE("R2C",'Mapa final'!$O$20),"")</f>
        <v/>
      </c>
      <c r="AM27" s="71" t="str">
        <f>IF(AND('Mapa final'!$Y$21="Media",'Mapa final'!$AA$21="Catastrófico"),CONCATENATE("R2C",'Mapa final'!$O$21),"")</f>
        <v/>
      </c>
      <c r="AN27" s="97"/>
      <c r="AO27" s="445"/>
      <c r="AP27" s="446"/>
      <c r="AQ27" s="446"/>
      <c r="AR27" s="446"/>
      <c r="AS27" s="446"/>
      <c r="AT27" s="44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row>
    <row r="28" spans="1:76" ht="15" customHeight="1" x14ac:dyDescent="0.25">
      <c r="A28" s="97"/>
      <c r="B28" s="364"/>
      <c r="C28" s="364"/>
      <c r="D28" s="365"/>
      <c r="E28" s="405"/>
      <c r="F28" s="406"/>
      <c r="G28" s="406"/>
      <c r="H28" s="406"/>
      <c r="I28" s="407"/>
      <c r="J28" s="81" t="str">
        <f>IF(AND('Mapa final'!$Y$22="Media",'Mapa final'!$AA$22="Leve"),CONCATENATE("R3C",'Mapa final'!$O$22),"")</f>
        <v/>
      </c>
      <c r="K28" s="82" t="str">
        <f>IF(AND('Mapa final'!$Y$23="Media",'Mapa final'!$AA$23="Leve"),CONCATENATE("R3C",'Mapa final'!$O$23),"")</f>
        <v/>
      </c>
      <c r="L28" s="82" t="str">
        <f>IF(AND('Mapa final'!$Y$24="Media",'Mapa final'!$AA$24="Leve"),CONCATENATE("R3C",'Mapa final'!$O$24),"")</f>
        <v/>
      </c>
      <c r="M28" s="82" t="str">
        <f>IF(AND('Mapa final'!$Y$25="Media",'Mapa final'!$AA$25="Leve"),CONCATENATE("R3C",'Mapa final'!$O$25),"")</f>
        <v/>
      </c>
      <c r="N28" s="82" t="str">
        <f>IF(AND('Mapa final'!$Y$26="Media",'Mapa final'!$AA$26="Leve"),CONCATENATE("R3C",'Mapa final'!$O$26),"")</f>
        <v/>
      </c>
      <c r="O28" s="83" t="str">
        <f>IF(AND('Mapa final'!$Y$27="Media",'Mapa final'!$AA$27="Leve"),CONCATENATE("R3C",'Mapa final'!$O$27),"")</f>
        <v/>
      </c>
      <c r="P28" s="81" t="str">
        <f>IF(AND('Mapa final'!$Y$22="Media",'Mapa final'!$AA$22="Menor"),CONCATENATE("R3C",'Mapa final'!$O$22),"")</f>
        <v/>
      </c>
      <c r="Q28" s="82" t="str">
        <f>IF(AND('Mapa final'!$Y$23="Media",'Mapa final'!$AA$23="Menor"),CONCATENATE("R3C",'Mapa final'!$O$23),"")</f>
        <v/>
      </c>
      <c r="R28" s="82" t="str">
        <f>IF(AND('Mapa final'!$Y$24="Media",'Mapa final'!$AA$24="Menor"),CONCATENATE("R3C",'Mapa final'!$O$24),"")</f>
        <v/>
      </c>
      <c r="S28" s="82" t="str">
        <f>IF(AND('Mapa final'!$Y$25="Media",'Mapa final'!$AA$25="Menor"),CONCATENATE("R3C",'Mapa final'!$O$25),"")</f>
        <v/>
      </c>
      <c r="T28" s="82" t="str">
        <f>IF(AND('Mapa final'!$Y$26="Media",'Mapa final'!$AA$26="Menor"),CONCATENATE("R3C",'Mapa final'!$O$26),"")</f>
        <v/>
      </c>
      <c r="U28" s="83" t="str">
        <f>IF(AND('Mapa final'!$Y$27="Media",'Mapa final'!$AA$27="Menor"),CONCATENATE("R3C",'Mapa final'!$O$27),"")</f>
        <v/>
      </c>
      <c r="V28" s="81" t="str">
        <f>IF(AND('Mapa final'!$Y$22="Media",'Mapa final'!$AA$22="Moderado"),CONCATENATE("R3C",'Mapa final'!$O$22),"")</f>
        <v/>
      </c>
      <c r="W28" s="82" t="str">
        <f>IF(AND('Mapa final'!$Y$23="Media",'Mapa final'!$AA$23="Moderado"),CONCATENATE("R3C",'Mapa final'!$O$23),"")</f>
        <v/>
      </c>
      <c r="X28" s="82" t="str">
        <f>IF(AND('Mapa final'!$Y$24="Media",'Mapa final'!$AA$24="Moderado"),CONCATENATE("R3C",'Mapa final'!$O$24),"")</f>
        <v/>
      </c>
      <c r="Y28" s="82" t="str">
        <f>IF(AND('Mapa final'!$Y$25="Media",'Mapa final'!$AA$25="Moderado"),CONCATENATE("R3C",'Mapa final'!$O$25),"")</f>
        <v/>
      </c>
      <c r="Z28" s="82" t="str">
        <f>IF(AND('Mapa final'!$Y$26="Media",'Mapa final'!$AA$26="Moderado"),CONCATENATE("R3C",'Mapa final'!$O$26),"")</f>
        <v/>
      </c>
      <c r="AA28" s="83" t="str">
        <f>IF(AND('Mapa final'!$Y$27="Media",'Mapa final'!$AA$27="Moderado"),CONCATENATE("R3C",'Mapa final'!$O$27),"")</f>
        <v/>
      </c>
      <c r="AB28" s="66" t="str">
        <f>IF(AND('Mapa final'!$Y$22="Media",'Mapa final'!$AA$22="Mayor"),CONCATENATE("R3C",'Mapa final'!$O$22),"")</f>
        <v/>
      </c>
      <c r="AC28" s="67" t="str">
        <f>IF(AND('Mapa final'!$Y$23="Media",'Mapa final'!$AA$23="Mayor"),CONCATENATE("R3C",'Mapa final'!$O$23),"")</f>
        <v/>
      </c>
      <c r="AD28" s="67" t="str">
        <f>IF(AND('Mapa final'!$Y$24="Media",'Mapa final'!$AA$24="Mayor"),CONCATENATE("R3C",'Mapa final'!$O$24),"")</f>
        <v/>
      </c>
      <c r="AE28" s="67" t="str">
        <f>IF(AND('Mapa final'!$Y$25="Media",'Mapa final'!$AA$25="Mayor"),CONCATENATE("R3C",'Mapa final'!$O$25),"")</f>
        <v/>
      </c>
      <c r="AF28" s="67" t="str">
        <f>IF(AND('Mapa final'!$Y$26="Media",'Mapa final'!$AA$26="Mayor"),CONCATENATE("R3C",'Mapa final'!$O$26),"")</f>
        <v/>
      </c>
      <c r="AG28" s="68" t="str">
        <f>IF(AND('Mapa final'!$Y$27="Media",'Mapa final'!$AA$27="Mayor"),CONCATENATE("R3C",'Mapa final'!$O$27),"")</f>
        <v/>
      </c>
      <c r="AH28" s="69" t="str">
        <f>IF(AND('Mapa final'!$Y$22="Media",'Mapa final'!$AA$22="Catastrófico"),CONCATENATE("R3C",'Mapa final'!$O$22),"")</f>
        <v/>
      </c>
      <c r="AI28" s="70" t="str">
        <f>IF(AND('Mapa final'!$Y$23="Media",'Mapa final'!$AA$23="Catastrófico"),CONCATENATE("R3C",'Mapa final'!$O$23),"")</f>
        <v/>
      </c>
      <c r="AJ28" s="70" t="str">
        <f>IF(AND('Mapa final'!$Y$24="Media",'Mapa final'!$AA$24="Catastrófico"),CONCATENATE("R3C",'Mapa final'!$O$24),"")</f>
        <v/>
      </c>
      <c r="AK28" s="70" t="str">
        <f>IF(AND('Mapa final'!$Y$25="Media",'Mapa final'!$AA$25="Catastrófico"),CONCATENATE("R3C",'Mapa final'!$O$25),"")</f>
        <v/>
      </c>
      <c r="AL28" s="70" t="str">
        <f>IF(AND('Mapa final'!$Y$26="Media",'Mapa final'!$AA$26="Catastrófico"),CONCATENATE("R3C",'Mapa final'!$O$26),"")</f>
        <v/>
      </c>
      <c r="AM28" s="71" t="str">
        <f>IF(AND('Mapa final'!$Y$27="Media",'Mapa final'!$AA$27="Catastrófico"),CONCATENATE("R3C",'Mapa final'!$O$27),"")</f>
        <v/>
      </c>
      <c r="AN28" s="97"/>
      <c r="AO28" s="445"/>
      <c r="AP28" s="446"/>
      <c r="AQ28" s="446"/>
      <c r="AR28" s="446"/>
      <c r="AS28" s="446"/>
      <c r="AT28" s="44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row>
    <row r="29" spans="1:76" ht="15" customHeight="1" x14ac:dyDescent="0.25">
      <c r="A29" s="97"/>
      <c r="B29" s="364"/>
      <c r="C29" s="364"/>
      <c r="D29" s="365"/>
      <c r="E29" s="405"/>
      <c r="F29" s="406"/>
      <c r="G29" s="406"/>
      <c r="H29" s="406"/>
      <c r="I29" s="407"/>
      <c r="J29" s="81" t="str">
        <f>IF(AND('Mapa final'!$Y$28="Media",'Mapa final'!$AA$28="Leve"),CONCATENATE("R4C",'Mapa final'!$O$28),"")</f>
        <v/>
      </c>
      <c r="K29" s="82" t="str">
        <f>IF(AND('Mapa final'!$Y$29="Media",'Mapa final'!$AA$29="Leve"),CONCATENATE("R4C",'Mapa final'!$O$29),"")</f>
        <v/>
      </c>
      <c r="L29" s="82" t="str">
        <f>IF(AND('Mapa final'!$Y$30="Media",'Mapa final'!$AA$30="Leve"),CONCATENATE("R4C",'Mapa final'!$O$30),"")</f>
        <v/>
      </c>
      <c r="M29" s="82" t="str">
        <f>IF(AND('Mapa final'!$Y$31="Media",'Mapa final'!$AA$31="Leve"),CONCATENATE("R4C",'Mapa final'!$O$31),"")</f>
        <v/>
      </c>
      <c r="N29" s="82" t="str">
        <f>IF(AND('Mapa final'!$Y$32="Media",'Mapa final'!$AA$32="Leve"),CONCATENATE("R4C",'Mapa final'!$O$32),"")</f>
        <v/>
      </c>
      <c r="O29" s="83" t="str">
        <f>IF(AND('Mapa final'!$Y$33="Media",'Mapa final'!$AA$33="Leve"),CONCATENATE("R4C",'Mapa final'!$O$33),"")</f>
        <v/>
      </c>
      <c r="P29" s="81" t="str">
        <f>IF(AND('Mapa final'!$Y$28="Media",'Mapa final'!$AA$28="Menor"),CONCATENATE("R4C",'Mapa final'!$O$28),"")</f>
        <v/>
      </c>
      <c r="Q29" s="82" t="str">
        <f>IF(AND('Mapa final'!$Y$29="Media",'Mapa final'!$AA$29="Menor"),CONCATENATE("R4C",'Mapa final'!$O$29),"")</f>
        <v/>
      </c>
      <c r="R29" s="82" t="str">
        <f>IF(AND('Mapa final'!$Y$30="Media",'Mapa final'!$AA$30="Menor"),CONCATENATE("R4C",'Mapa final'!$O$30),"")</f>
        <v/>
      </c>
      <c r="S29" s="82" t="str">
        <f>IF(AND('Mapa final'!$Y$31="Media",'Mapa final'!$AA$31="Menor"),CONCATENATE("R4C",'Mapa final'!$O$31),"")</f>
        <v/>
      </c>
      <c r="T29" s="82" t="str">
        <f>IF(AND('Mapa final'!$Y$32="Media",'Mapa final'!$AA$32="Menor"),CONCATENATE("R4C",'Mapa final'!$O$32),"")</f>
        <v/>
      </c>
      <c r="U29" s="83" t="str">
        <f>IF(AND('Mapa final'!$Y$33="Media",'Mapa final'!$AA$33="Menor"),CONCATENATE("R4C",'Mapa final'!$O$33),"")</f>
        <v/>
      </c>
      <c r="V29" s="81" t="str">
        <f>IF(AND('Mapa final'!$Y$28="Media",'Mapa final'!$AA$28="Moderado"),CONCATENATE("R4C",'Mapa final'!$O$28),"")</f>
        <v/>
      </c>
      <c r="W29" s="82" t="str">
        <f>IF(AND('Mapa final'!$Y$29="Media",'Mapa final'!$AA$29="Moderado"),CONCATENATE("R4C",'Mapa final'!$O$29),"")</f>
        <v/>
      </c>
      <c r="X29" s="82" t="str">
        <f>IF(AND('Mapa final'!$Y$30="Media",'Mapa final'!$AA$30="Moderado"),CONCATENATE("R4C",'Mapa final'!$O$30),"")</f>
        <v/>
      </c>
      <c r="Y29" s="82" t="str">
        <f>IF(AND('Mapa final'!$Y$31="Media",'Mapa final'!$AA$31="Moderado"),CONCATENATE("R4C",'Mapa final'!$O$31),"")</f>
        <v/>
      </c>
      <c r="Z29" s="82" t="str">
        <f>IF(AND('Mapa final'!$Y$32="Media",'Mapa final'!$AA$32="Moderado"),CONCATENATE("R4C",'Mapa final'!$O$32),"")</f>
        <v/>
      </c>
      <c r="AA29" s="83" t="str">
        <f>IF(AND('Mapa final'!$Y$33="Media",'Mapa final'!$AA$33="Moderado"),CONCATENATE("R4C",'Mapa final'!$O$33),"")</f>
        <v/>
      </c>
      <c r="AB29" s="66" t="str">
        <f>IF(AND('Mapa final'!$Y$28="Media",'Mapa final'!$AA$28="Mayor"),CONCATENATE("R4C",'Mapa final'!$O$28),"")</f>
        <v/>
      </c>
      <c r="AC29" s="67" t="str">
        <f>IF(AND('Mapa final'!$Y$29="Media",'Mapa final'!$AA$29="Mayor"),CONCATENATE("R4C",'Mapa final'!$O$29),"")</f>
        <v/>
      </c>
      <c r="AD29" s="67" t="str">
        <f>IF(AND('Mapa final'!$Y$30="Media",'Mapa final'!$AA$30="Mayor"),CONCATENATE("R4C",'Mapa final'!$O$30),"")</f>
        <v/>
      </c>
      <c r="AE29" s="67" t="str">
        <f>IF(AND('Mapa final'!$Y$31="Media",'Mapa final'!$AA$31="Mayor"),CONCATENATE("R4C",'Mapa final'!$O$31),"")</f>
        <v/>
      </c>
      <c r="AF29" s="67" t="str">
        <f>IF(AND('Mapa final'!$Y$32="Media",'Mapa final'!$AA$32="Mayor"),CONCATENATE("R4C",'Mapa final'!$O$32),"")</f>
        <v/>
      </c>
      <c r="AG29" s="68" t="str">
        <f>IF(AND('Mapa final'!$Y$33="Media",'Mapa final'!$AA$33="Mayor"),CONCATENATE("R4C",'Mapa final'!$O$33),"")</f>
        <v/>
      </c>
      <c r="AH29" s="69" t="str">
        <f>IF(AND('Mapa final'!$Y$28="Media",'Mapa final'!$AA$28="Catastrófico"),CONCATENATE("R4C",'Mapa final'!$O$28),"")</f>
        <v/>
      </c>
      <c r="AI29" s="70" t="str">
        <f>IF(AND('Mapa final'!$Y$29="Media",'Mapa final'!$AA$29="Catastrófico"),CONCATENATE("R4C",'Mapa final'!$O$29),"")</f>
        <v/>
      </c>
      <c r="AJ29" s="70" t="str">
        <f>IF(AND('Mapa final'!$Y$30="Media",'Mapa final'!$AA$30="Catastrófico"),CONCATENATE("R4C",'Mapa final'!$O$30),"")</f>
        <v/>
      </c>
      <c r="AK29" s="70" t="str">
        <f>IF(AND('Mapa final'!$Y$31="Media",'Mapa final'!$AA$31="Catastrófico"),CONCATENATE("R4C",'Mapa final'!$O$31),"")</f>
        <v/>
      </c>
      <c r="AL29" s="70" t="str">
        <f>IF(AND('Mapa final'!$Y$32="Media",'Mapa final'!$AA$32="Catastrófico"),CONCATENATE("R4C",'Mapa final'!$O$32),"")</f>
        <v/>
      </c>
      <c r="AM29" s="71" t="str">
        <f>IF(AND('Mapa final'!$Y$33="Media",'Mapa final'!$AA$33="Catastrófico"),CONCATENATE("R4C",'Mapa final'!$O$33),"")</f>
        <v/>
      </c>
      <c r="AN29" s="97"/>
      <c r="AO29" s="445"/>
      <c r="AP29" s="446"/>
      <c r="AQ29" s="446"/>
      <c r="AR29" s="446"/>
      <c r="AS29" s="446"/>
      <c r="AT29" s="44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row>
    <row r="30" spans="1:76" ht="15" customHeight="1" x14ac:dyDescent="0.25">
      <c r="A30" s="97"/>
      <c r="B30" s="364"/>
      <c r="C30" s="364"/>
      <c r="D30" s="365"/>
      <c r="E30" s="405"/>
      <c r="F30" s="406"/>
      <c r="G30" s="406"/>
      <c r="H30" s="406"/>
      <c r="I30" s="407"/>
      <c r="J30" s="81" t="str">
        <f>IF(AND('Mapa final'!$Y$34="Media",'Mapa final'!$AA$34="Leve"),CONCATENATE("R5C",'Mapa final'!$O$34),"")</f>
        <v/>
      </c>
      <c r="K30" s="82" t="str">
        <f>IF(AND('Mapa final'!$Y$35="Media",'Mapa final'!$AA$35="Leve"),CONCATENATE("R5C",'Mapa final'!$O$35),"")</f>
        <v/>
      </c>
      <c r="L30" s="82" t="str">
        <f>IF(AND('Mapa final'!$Y$36="Media",'Mapa final'!$AA$36="Leve"),CONCATENATE("R5C",'Mapa final'!$O$36),"")</f>
        <v/>
      </c>
      <c r="M30" s="82" t="str">
        <f>IF(AND('Mapa final'!$Y$37="Media",'Mapa final'!$AA$37="Leve"),CONCATENATE("R5C",'Mapa final'!$O$37),"")</f>
        <v/>
      </c>
      <c r="N30" s="82" t="str">
        <f>IF(AND('Mapa final'!$Y$38="Media",'Mapa final'!$AA$38="Leve"),CONCATENATE("R5C",'Mapa final'!$O$38),"")</f>
        <v/>
      </c>
      <c r="O30" s="83" t="str">
        <f>IF(AND('Mapa final'!$Y$39="Media",'Mapa final'!$AA$39="Leve"),CONCATENATE("R5C",'Mapa final'!$O$39),"")</f>
        <v/>
      </c>
      <c r="P30" s="81" t="str">
        <f>IF(AND('Mapa final'!$Y$34="Media",'Mapa final'!$AA$34="Menor"),CONCATENATE("R5C",'Mapa final'!$O$34),"")</f>
        <v/>
      </c>
      <c r="Q30" s="82" t="str">
        <f>IF(AND('Mapa final'!$Y$35="Media",'Mapa final'!$AA$35="Menor"),CONCATENATE("R5C",'Mapa final'!$O$35),"")</f>
        <v/>
      </c>
      <c r="R30" s="82" t="str">
        <f>IF(AND('Mapa final'!$Y$36="Media",'Mapa final'!$AA$36="Menor"),CONCATENATE("R5C",'Mapa final'!$O$36),"")</f>
        <v/>
      </c>
      <c r="S30" s="82" t="str">
        <f>IF(AND('Mapa final'!$Y$37="Media",'Mapa final'!$AA$37="Menor"),CONCATENATE("R5C",'Mapa final'!$O$37),"")</f>
        <v/>
      </c>
      <c r="T30" s="82" t="str">
        <f>IF(AND('Mapa final'!$Y$38="Media",'Mapa final'!$AA$38="Menor"),CONCATENATE("R5C",'Mapa final'!$O$38),"")</f>
        <v/>
      </c>
      <c r="U30" s="83" t="str">
        <f>IF(AND('Mapa final'!$Y$39="Media",'Mapa final'!$AA$39="Menor"),CONCATENATE("R5C",'Mapa final'!$O$39),"")</f>
        <v/>
      </c>
      <c r="V30" s="81" t="str">
        <f>IF(AND('Mapa final'!$Y$34="Media",'Mapa final'!$AA$34="Moderado"),CONCATENATE("R5C",'Mapa final'!$O$34),"")</f>
        <v/>
      </c>
      <c r="W30" s="82" t="str">
        <f>IF(AND('Mapa final'!$Y$35="Media",'Mapa final'!$AA$35="Moderado"),CONCATENATE("R5C",'Mapa final'!$O$35),"")</f>
        <v/>
      </c>
      <c r="X30" s="82" t="str">
        <f>IF(AND('Mapa final'!$Y$36="Media",'Mapa final'!$AA$36="Moderado"),CONCATENATE("R5C",'Mapa final'!$O$36),"")</f>
        <v/>
      </c>
      <c r="Y30" s="82" t="str">
        <f>IF(AND('Mapa final'!$Y$37="Media",'Mapa final'!$AA$37="Moderado"),CONCATENATE("R5C",'Mapa final'!$O$37),"")</f>
        <v/>
      </c>
      <c r="Z30" s="82" t="str">
        <f>IF(AND('Mapa final'!$Y$38="Media",'Mapa final'!$AA$38="Moderado"),CONCATENATE("R5C",'Mapa final'!$O$38),"")</f>
        <v/>
      </c>
      <c r="AA30" s="83" t="str">
        <f>IF(AND('Mapa final'!$Y$39="Media",'Mapa final'!$AA$39="Moderado"),CONCATENATE("R5C",'Mapa final'!$O$39),"")</f>
        <v/>
      </c>
      <c r="AB30" s="66" t="str">
        <f>IF(AND('Mapa final'!$Y$34="Media",'Mapa final'!$AA$34="Mayor"),CONCATENATE("R5C",'Mapa final'!$O$34),"")</f>
        <v/>
      </c>
      <c r="AC30" s="67" t="str">
        <f>IF(AND('Mapa final'!$Y$35="Media",'Mapa final'!$AA$35="Mayor"),CONCATENATE("R5C",'Mapa final'!$O$35),"")</f>
        <v/>
      </c>
      <c r="AD30" s="67" t="str">
        <f>IF(AND('Mapa final'!$Y$36="Media",'Mapa final'!$AA$36="Mayor"),CONCATENATE("R5C",'Mapa final'!$O$36),"")</f>
        <v/>
      </c>
      <c r="AE30" s="67" t="str">
        <f>IF(AND('Mapa final'!$Y$37="Media",'Mapa final'!$AA$37="Mayor"),CONCATENATE("R5C",'Mapa final'!$O$37),"")</f>
        <v/>
      </c>
      <c r="AF30" s="67" t="str">
        <f>IF(AND('Mapa final'!$Y$38="Media",'Mapa final'!$AA$38="Mayor"),CONCATENATE("R5C",'Mapa final'!$O$38),"")</f>
        <v/>
      </c>
      <c r="AG30" s="68" t="str">
        <f>IF(AND('Mapa final'!$Y$39="Media",'Mapa final'!$AA$39="Mayor"),CONCATENATE("R5C",'Mapa final'!$O$39),"")</f>
        <v/>
      </c>
      <c r="AH30" s="69" t="str">
        <f>IF(AND('Mapa final'!$Y$34="Media",'Mapa final'!$AA$34="Catastrófico"),CONCATENATE("R5C",'Mapa final'!$O$34),"")</f>
        <v/>
      </c>
      <c r="AI30" s="70" t="str">
        <f>IF(AND('Mapa final'!$Y$35="Media",'Mapa final'!$AA$35="Catastrófico"),CONCATENATE("R5C",'Mapa final'!$O$35),"")</f>
        <v/>
      </c>
      <c r="AJ30" s="70" t="str">
        <f>IF(AND('Mapa final'!$Y$36="Media",'Mapa final'!$AA$36="Catastrófico"),CONCATENATE("R5C",'Mapa final'!$O$36),"")</f>
        <v/>
      </c>
      <c r="AK30" s="70" t="str">
        <f>IF(AND('Mapa final'!$Y$37="Media",'Mapa final'!$AA$37="Catastrófico"),CONCATENATE("R5C",'Mapa final'!$O$37),"")</f>
        <v/>
      </c>
      <c r="AL30" s="70" t="str">
        <f>IF(AND('Mapa final'!$Y$38="Media",'Mapa final'!$AA$38="Catastrófico"),CONCATENATE("R5C",'Mapa final'!$O$38),"")</f>
        <v/>
      </c>
      <c r="AM30" s="71" t="str">
        <f>IF(AND('Mapa final'!$Y$39="Media",'Mapa final'!$AA$39="Catastrófico"),CONCATENATE("R5C",'Mapa final'!$O$39),"")</f>
        <v/>
      </c>
      <c r="AN30" s="97"/>
      <c r="AO30" s="445"/>
      <c r="AP30" s="446"/>
      <c r="AQ30" s="446"/>
      <c r="AR30" s="446"/>
      <c r="AS30" s="446"/>
      <c r="AT30" s="44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row>
    <row r="31" spans="1:76" ht="15" customHeight="1" x14ac:dyDescent="0.25">
      <c r="A31" s="97"/>
      <c r="B31" s="364"/>
      <c r="C31" s="364"/>
      <c r="D31" s="365"/>
      <c r="E31" s="405"/>
      <c r="F31" s="406"/>
      <c r="G31" s="406"/>
      <c r="H31" s="406"/>
      <c r="I31" s="407"/>
      <c r="J31" s="81" t="str">
        <f>IF(AND('Mapa final'!$Y$40="Media",'Mapa final'!$AA$40="Leve"),CONCATENATE("R6C",'Mapa final'!$O$40),"")</f>
        <v/>
      </c>
      <c r="K31" s="82" t="str">
        <f>IF(AND('Mapa final'!$Y$41="Media",'Mapa final'!$AA$41="Leve"),CONCATENATE("R6C",'Mapa final'!$O$41),"")</f>
        <v/>
      </c>
      <c r="L31" s="82" t="str">
        <f>IF(AND('Mapa final'!$Y$42="Media",'Mapa final'!$AA$42="Leve"),CONCATENATE("R6C",'Mapa final'!$O$42),"")</f>
        <v/>
      </c>
      <c r="M31" s="82" t="str">
        <f>IF(AND('Mapa final'!$Y$43="Media",'Mapa final'!$AA$43="Leve"),CONCATENATE("R6C",'Mapa final'!$O$43),"")</f>
        <v/>
      </c>
      <c r="N31" s="82" t="str">
        <f>IF(AND('Mapa final'!$Y$44="Media",'Mapa final'!$AA$44="Leve"),CONCATENATE("R6C",'Mapa final'!$O$44),"")</f>
        <v/>
      </c>
      <c r="O31" s="83" t="str">
        <f>IF(AND('Mapa final'!$Y$45="Media",'Mapa final'!$AA$45="Leve"),CONCATENATE("R6C",'Mapa final'!$O$45),"")</f>
        <v/>
      </c>
      <c r="P31" s="81" t="str">
        <f>IF(AND('Mapa final'!$Y$40="Media",'Mapa final'!$AA$40="Menor"),CONCATENATE("R6C",'Mapa final'!$O$40),"")</f>
        <v/>
      </c>
      <c r="Q31" s="82" t="str">
        <f>IF(AND('Mapa final'!$Y$41="Media",'Mapa final'!$AA$41="Menor"),CONCATENATE("R6C",'Mapa final'!$O$41),"")</f>
        <v/>
      </c>
      <c r="R31" s="82" t="str">
        <f>IF(AND('Mapa final'!$Y$42="Media",'Mapa final'!$AA$42="Menor"),CONCATENATE("R6C",'Mapa final'!$O$42),"")</f>
        <v/>
      </c>
      <c r="S31" s="82" t="str">
        <f>IF(AND('Mapa final'!$Y$43="Media",'Mapa final'!$AA$43="Menor"),CONCATENATE("R6C",'Mapa final'!$O$43),"")</f>
        <v/>
      </c>
      <c r="T31" s="82" t="str">
        <f>IF(AND('Mapa final'!$Y$44="Media",'Mapa final'!$AA$44="Menor"),CONCATENATE("R6C",'Mapa final'!$O$44),"")</f>
        <v/>
      </c>
      <c r="U31" s="83" t="str">
        <f>IF(AND('Mapa final'!$Y$45="Media",'Mapa final'!$AA$45="Menor"),CONCATENATE("R6C",'Mapa final'!$O$45),"")</f>
        <v/>
      </c>
      <c r="V31" s="81" t="str">
        <f>IF(AND('Mapa final'!$Y$40="Media",'Mapa final'!$AA$40="Moderado"),CONCATENATE("R6C",'Mapa final'!$O$40),"")</f>
        <v/>
      </c>
      <c r="W31" s="82" t="str">
        <f>IF(AND('Mapa final'!$Y$41="Media",'Mapa final'!$AA$41="Moderado"),CONCATENATE("R6C",'Mapa final'!$O$41),"")</f>
        <v/>
      </c>
      <c r="X31" s="82" t="str">
        <f>IF(AND('Mapa final'!$Y$42="Media",'Mapa final'!$AA$42="Moderado"),CONCATENATE("R6C",'Mapa final'!$O$42),"")</f>
        <v/>
      </c>
      <c r="Y31" s="82" t="str">
        <f>IF(AND('Mapa final'!$Y$43="Media",'Mapa final'!$AA$43="Moderado"),CONCATENATE("R6C",'Mapa final'!$O$43),"")</f>
        <v/>
      </c>
      <c r="Z31" s="82" t="str">
        <f>IF(AND('Mapa final'!$Y$44="Media",'Mapa final'!$AA$44="Moderado"),CONCATENATE("R6C",'Mapa final'!$O$44),"")</f>
        <v/>
      </c>
      <c r="AA31" s="83" t="str">
        <f>IF(AND('Mapa final'!$Y$45="Media",'Mapa final'!$AA$45="Moderado"),CONCATENATE("R6C",'Mapa final'!$O$45),"")</f>
        <v/>
      </c>
      <c r="AB31" s="66" t="str">
        <f>IF(AND('Mapa final'!$Y$40="Media",'Mapa final'!$AA$40="Mayor"),CONCATENATE("R6C",'Mapa final'!$O$40),"")</f>
        <v/>
      </c>
      <c r="AC31" s="67" t="str">
        <f>IF(AND('Mapa final'!$Y$41="Media",'Mapa final'!$AA$41="Mayor"),CONCATENATE("R6C",'Mapa final'!$O$41),"")</f>
        <v/>
      </c>
      <c r="AD31" s="67" t="str">
        <f>IF(AND('Mapa final'!$Y$42="Media",'Mapa final'!$AA$42="Mayor"),CONCATENATE("R6C",'Mapa final'!$O$42),"")</f>
        <v/>
      </c>
      <c r="AE31" s="67" t="str">
        <f>IF(AND('Mapa final'!$Y$43="Media",'Mapa final'!$AA$43="Mayor"),CONCATENATE("R6C",'Mapa final'!$O$43),"")</f>
        <v/>
      </c>
      <c r="AF31" s="67" t="str">
        <f>IF(AND('Mapa final'!$Y$44="Media",'Mapa final'!$AA$44="Mayor"),CONCATENATE("R6C",'Mapa final'!$O$44),"")</f>
        <v/>
      </c>
      <c r="AG31" s="68" t="str">
        <f>IF(AND('Mapa final'!$Y$45="Media",'Mapa final'!$AA$45="Mayor"),CONCATENATE("R6C",'Mapa final'!$O$45),"")</f>
        <v/>
      </c>
      <c r="AH31" s="69" t="str">
        <f>IF(AND('Mapa final'!$Y$40="Media",'Mapa final'!$AA$40="Catastrófico"),CONCATENATE("R6C",'Mapa final'!$O$40),"")</f>
        <v/>
      </c>
      <c r="AI31" s="70" t="str">
        <f>IF(AND('Mapa final'!$Y$41="Media",'Mapa final'!$AA$41="Catastrófico"),CONCATENATE("R6C",'Mapa final'!$O$41),"")</f>
        <v/>
      </c>
      <c r="AJ31" s="70" t="str">
        <f>IF(AND('Mapa final'!$Y$42="Media",'Mapa final'!$AA$42="Catastrófico"),CONCATENATE("R6C",'Mapa final'!$O$42),"")</f>
        <v/>
      </c>
      <c r="AK31" s="70" t="str">
        <f>IF(AND('Mapa final'!$Y$43="Media",'Mapa final'!$AA$43="Catastrófico"),CONCATENATE("R6C",'Mapa final'!$O$43),"")</f>
        <v/>
      </c>
      <c r="AL31" s="70" t="str">
        <f>IF(AND('Mapa final'!$Y$44="Media",'Mapa final'!$AA$44="Catastrófico"),CONCATENATE("R6C",'Mapa final'!$O$44),"")</f>
        <v/>
      </c>
      <c r="AM31" s="71" t="str">
        <f>IF(AND('Mapa final'!$Y$45="Media",'Mapa final'!$AA$45="Catastrófico"),CONCATENATE("R6C",'Mapa final'!$O$45),"")</f>
        <v/>
      </c>
      <c r="AN31" s="97"/>
      <c r="AO31" s="445"/>
      <c r="AP31" s="446"/>
      <c r="AQ31" s="446"/>
      <c r="AR31" s="446"/>
      <c r="AS31" s="446"/>
      <c r="AT31" s="44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row>
    <row r="32" spans="1:76" ht="15" customHeight="1" x14ac:dyDescent="0.25">
      <c r="A32" s="97"/>
      <c r="B32" s="364"/>
      <c r="C32" s="364"/>
      <c r="D32" s="365"/>
      <c r="E32" s="405"/>
      <c r="F32" s="406"/>
      <c r="G32" s="406"/>
      <c r="H32" s="406"/>
      <c r="I32" s="407"/>
      <c r="J32" s="81" t="str">
        <f>IF(AND('Mapa final'!$Y$46="Media",'Mapa final'!$AA$46="Leve"),CONCATENATE("R7C",'Mapa final'!$O$46),"")</f>
        <v/>
      </c>
      <c r="K32" s="82" t="str">
        <f>IF(AND('Mapa final'!$Y$47="Media",'Mapa final'!$AA$47="Leve"),CONCATENATE("R7C",'Mapa final'!$O$47),"")</f>
        <v/>
      </c>
      <c r="L32" s="82" t="str">
        <f>IF(AND('Mapa final'!$Y$48="Media",'Mapa final'!$AA$48="Leve"),CONCATENATE("R7C",'Mapa final'!$O$48),"")</f>
        <v/>
      </c>
      <c r="M32" s="82" t="str">
        <f>IF(AND('Mapa final'!$Y$49="Media",'Mapa final'!$AA$49="Leve"),CONCATENATE("R7C",'Mapa final'!$O$49),"")</f>
        <v/>
      </c>
      <c r="N32" s="82" t="str">
        <f>IF(AND('Mapa final'!$Y$50="Media",'Mapa final'!$AA$50="Leve"),CONCATENATE("R7C",'Mapa final'!$O$50),"")</f>
        <v/>
      </c>
      <c r="O32" s="83" t="str">
        <f>IF(AND('Mapa final'!$Y$51="Media",'Mapa final'!$AA$51="Leve"),CONCATENATE("R7C",'Mapa final'!$O$51),"")</f>
        <v/>
      </c>
      <c r="P32" s="81" t="str">
        <f>IF(AND('Mapa final'!$Y$46="Media",'Mapa final'!$AA$46="Menor"),CONCATENATE("R7C",'Mapa final'!$O$46),"")</f>
        <v/>
      </c>
      <c r="Q32" s="82" t="str">
        <f>IF(AND('Mapa final'!$Y$47="Media",'Mapa final'!$AA$47="Menor"),CONCATENATE("R7C",'Mapa final'!$O$47),"")</f>
        <v/>
      </c>
      <c r="R32" s="82" t="str">
        <f>IF(AND('Mapa final'!$Y$48="Media",'Mapa final'!$AA$48="Menor"),CONCATENATE("R7C",'Mapa final'!$O$48),"")</f>
        <v/>
      </c>
      <c r="S32" s="82" t="str">
        <f>IF(AND('Mapa final'!$Y$49="Media",'Mapa final'!$AA$49="Menor"),CONCATENATE("R7C",'Mapa final'!$O$49),"")</f>
        <v/>
      </c>
      <c r="T32" s="82" t="str">
        <f>IF(AND('Mapa final'!$Y$50="Media",'Mapa final'!$AA$50="Menor"),CONCATENATE("R7C",'Mapa final'!$O$50),"")</f>
        <v/>
      </c>
      <c r="U32" s="83" t="str">
        <f>IF(AND('Mapa final'!$Y$51="Media",'Mapa final'!$AA$51="Menor"),CONCATENATE("R7C",'Mapa final'!$O$51),"")</f>
        <v/>
      </c>
      <c r="V32" s="81" t="str">
        <f>IF(AND('Mapa final'!$Y$46="Media",'Mapa final'!$AA$46="Moderado"),CONCATENATE("R7C",'Mapa final'!$O$46),"")</f>
        <v/>
      </c>
      <c r="W32" s="82" t="str">
        <f>IF(AND('Mapa final'!$Y$47="Media",'Mapa final'!$AA$47="Moderado"),CONCATENATE("R7C",'Mapa final'!$O$47),"")</f>
        <v/>
      </c>
      <c r="X32" s="82" t="str">
        <f>IF(AND('Mapa final'!$Y$48="Media",'Mapa final'!$AA$48="Moderado"),CONCATENATE("R7C",'Mapa final'!$O$48),"")</f>
        <v/>
      </c>
      <c r="Y32" s="82" t="str">
        <f>IF(AND('Mapa final'!$Y$49="Media",'Mapa final'!$AA$49="Moderado"),CONCATENATE("R7C",'Mapa final'!$O$49),"")</f>
        <v/>
      </c>
      <c r="Z32" s="82" t="str">
        <f>IF(AND('Mapa final'!$Y$50="Media",'Mapa final'!$AA$50="Moderado"),CONCATENATE("R7C",'Mapa final'!$O$50),"")</f>
        <v/>
      </c>
      <c r="AA32" s="83" t="str">
        <f>IF(AND('Mapa final'!$Y$51="Media",'Mapa final'!$AA$51="Moderado"),CONCATENATE("R7C",'Mapa final'!$O$51),"")</f>
        <v/>
      </c>
      <c r="AB32" s="66" t="str">
        <f>IF(AND('Mapa final'!$Y$46="Media",'Mapa final'!$AA$46="Mayor"),CONCATENATE("R7C",'Mapa final'!$O$46),"")</f>
        <v/>
      </c>
      <c r="AC32" s="67" t="str">
        <f>IF(AND('Mapa final'!$Y$47="Media",'Mapa final'!$AA$47="Mayor"),CONCATENATE("R7C",'Mapa final'!$O$47),"")</f>
        <v/>
      </c>
      <c r="AD32" s="67" t="str">
        <f>IF(AND('Mapa final'!$Y$48="Media",'Mapa final'!$AA$48="Mayor"),CONCATENATE("R7C",'Mapa final'!$O$48),"")</f>
        <v/>
      </c>
      <c r="AE32" s="67" t="str">
        <f>IF(AND('Mapa final'!$Y$49="Media",'Mapa final'!$AA$49="Mayor"),CONCATENATE("R7C",'Mapa final'!$O$49),"")</f>
        <v/>
      </c>
      <c r="AF32" s="67" t="str">
        <f>IF(AND('Mapa final'!$Y$50="Media",'Mapa final'!$AA$50="Mayor"),CONCATENATE("R7C",'Mapa final'!$O$50),"")</f>
        <v/>
      </c>
      <c r="AG32" s="68" t="str">
        <f>IF(AND('Mapa final'!$Y$51="Media",'Mapa final'!$AA$51="Mayor"),CONCATENATE("R7C",'Mapa final'!$O$51),"")</f>
        <v/>
      </c>
      <c r="AH32" s="69" t="str">
        <f>IF(AND('Mapa final'!$Y$46="Media",'Mapa final'!$AA$46="Catastrófico"),CONCATENATE("R7C",'Mapa final'!$O$46),"")</f>
        <v/>
      </c>
      <c r="AI32" s="70" t="str">
        <f>IF(AND('Mapa final'!$Y$47="Media",'Mapa final'!$AA$47="Catastrófico"),CONCATENATE("R7C",'Mapa final'!$O$47),"")</f>
        <v/>
      </c>
      <c r="AJ32" s="70" t="str">
        <f>IF(AND('Mapa final'!$Y$48="Media",'Mapa final'!$AA$48="Catastrófico"),CONCATENATE("R7C",'Mapa final'!$O$48),"")</f>
        <v/>
      </c>
      <c r="AK32" s="70" t="str">
        <f>IF(AND('Mapa final'!$Y$49="Media",'Mapa final'!$AA$49="Catastrófico"),CONCATENATE("R7C",'Mapa final'!$O$49),"")</f>
        <v/>
      </c>
      <c r="AL32" s="70" t="str">
        <f>IF(AND('Mapa final'!$Y$50="Media",'Mapa final'!$AA$50="Catastrófico"),CONCATENATE("R7C",'Mapa final'!$O$50),"")</f>
        <v/>
      </c>
      <c r="AM32" s="71" t="str">
        <f>IF(AND('Mapa final'!$Y$51="Media",'Mapa final'!$AA$51="Catastrófico"),CONCATENATE("R7C",'Mapa final'!$O$51),"")</f>
        <v/>
      </c>
      <c r="AN32" s="97"/>
      <c r="AO32" s="445"/>
      <c r="AP32" s="446"/>
      <c r="AQ32" s="446"/>
      <c r="AR32" s="446"/>
      <c r="AS32" s="446"/>
      <c r="AT32" s="44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row>
    <row r="33" spans="1:80" ht="15" customHeight="1" x14ac:dyDescent="0.25">
      <c r="A33" s="97"/>
      <c r="B33" s="364"/>
      <c r="C33" s="364"/>
      <c r="D33" s="365"/>
      <c r="E33" s="405"/>
      <c r="F33" s="406"/>
      <c r="G33" s="406"/>
      <c r="H33" s="406"/>
      <c r="I33" s="407"/>
      <c r="J33" s="81" t="str">
        <f>IF(AND('Mapa final'!$Y$52="Media",'Mapa final'!$AA$52="Leve"),CONCATENATE("R8C",'Mapa final'!$O$52),"")</f>
        <v/>
      </c>
      <c r="K33" s="82" t="str">
        <f>IF(AND('Mapa final'!$Y$53="Media",'Mapa final'!$AA$53="Leve"),CONCATENATE("R8C",'Mapa final'!$O$53),"")</f>
        <v/>
      </c>
      <c r="L33" s="82" t="str">
        <f>IF(AND('Mapa final'!$Y$54="Media",'Mapa final'!$AA$54="Leve"),CONCATENATE("R8C",'Mapa final'!$O$54),"")</f>
        <v/>
      </c>
      <c r="M33" s="82" t="str">
        <f>IF(AND('Mapa final'!$Y$55="Media",'Mapa final'!$AA$55="Leve"),CONCATENATE("R8C",'Mapa final'!$O$55),"")</f>
        <v/>
      </c>
      <c r="N33" s="82" t="str">
        <f>IF(AND('Mapa final'!$Y$56="Media",'Mapa final'!$AA$56="Leve"),CONCATENATE("R8C",'Mapa final'!$O$56),"")</f>
        <v/>
      </c>
      <c r="O33" s="83" t="str">
        <f>IF(AND('Mapa final'!$Y$57="Media",'Mapa final'!$AA$57="Leve"),CONCATENATE("R8C",'Mapa final'!$O$57),"")</f>
        <v/>
      </c>
      <c r="P33" s="81" t="str">
        <f>IF(AND('Mapa final'!$Y$52="Media",'Mapa final'!$AA$52="Menor"),CONCATENATE("R8C",'Mapa final'!$O$52),"")</f>
        <v/>
      </c>
      <c r="Q33" s="82" t="str">
        <f>IF(AND('Mapa final'!$Y$53="Media",'Mapa final'!$AA$53="Menor"),CONCATENATE("R8C",'Mapa final'!$O$53),"")</f>
        <v/>
      </c>
      <c r="R33" s="82" t="str">
        <f>IF(AND('Mapa final'!$Y$54="Media",'Mapa final'!$AA$54="Menor"),CONCATENATE("R8C",'Mapa final'!$O$54),"")</f>
        <v/>
      </c>
      <c r="S33" s="82" t="str">
        <f>IF(AND('Mapa final'!$Y$55="Media",'Mapa final'!$AA$55="Menor"),CONCATENATE("R8C",'Mapa final'!$O$55),"")</f>
        <v/>
      </c>
      <c r="T33" s="82" t="str">
        <f>IF(AND('Mapa final'!$Y$56="Media",'Mapa final'!$AA$56="Menor"),CONCATENATE("R8C",'Mapa final'!$O$56),"")</f>
        <v/>
      </c>
      <c r="U33" s="83" t="str">
        <f>IF(AND('Mapa final'!$Y$57="Media",'Mapa final'!$AA$57="Menor"),CONCATENATE("R8C",'Mapa final'!$O$57),"")</f>
        <v/>
      </c>
      <c r="V33" s="81" t="str">
        <f>IF(AND('Mapa final'!$Y$52="Media",'Mapa final'!$AA$52="Moderado"),CONCATENATE("R8C",'Mapa final'!$O$52),"")</f>
        <v/>
      </c>
      <c r="W33" s="82" t="str">
        <f>IF(AND('Mapa final'!$Y$53="Media",'Mapa final'!$AA$53="Moderado"),CONCATENATE("R8C",'Mapa final'!$O$53),"")</f>
        <v/>
      </c>
      <c r="X33" s="82" t="str">
        <f>IF(AND('Mapa final'!$Y$54="Media",'Mapa final'!$AA$54="Moderado"),CONCATENATE("R8C",'Mapa final'!$O$54),"")</f>
        <v/>
      </c>
      <c r="Y33" s="82" t="str">
        <f>IF(AND('Mapa final'!$Y$55="Media",'Mapa final'!$AA$55="Moderado"),CONCATENATE("R8C",'Mapa final'!$O$55),"")</f>
        <v/>
      </c>
      <c r="Z33" s="82" t="str">
        <f>IF(AND('Mapa final'!$Y$56="Media",'Mapa final'!$AA$56="Moderado"),CONCATENATE("R8C",'Mapa final'!$O$56),"")</f>
        <v/>
      </c>
      <c r="AA33" s="83" t="str">
        <f>IF(AND('Mapa final'!$Y$57="Media",'Mapa final'!$AA$57="Moderado"),CONCATENATE("R8C",'Mapa final'!$O$57),"")</f>
        <v/>
      </c>
      <c r="AB33" s="66" t="str">
        <f>IF(AND('Mapa final'!$Y$52="Media",'Mapa final'!$AA$52="Mayor"),CONCATENATE("R8C",'Mapa final'!$O$52),"")</f>
        <v/>
      </c>
      <c r="AC33" s="67" t="str">
        <f>IF(AND('Mapa final'!$Y$53="Media",'Mapa final'!$AA$53="Mayor"),CONCATENATE("R8C",'Mapa final'!$O$53),"")</f>
        <v/>
      </c>
      <c r="AD33" s="67" t="str">
        <f>IF(AND('Mapa final'!$Y$54="Media",'Mapa final'!$AA$54="Mayor"),CONCATENATE("R8C",'Mapa final'!$O$54),"")</f>
        <v/>
      </c>
      <c r="AE33" s="67" t="str">
        <f>IF(AND('Mapa final'!$Y$55="Media",'Mapa final'!$AA$55="Mayor"),CONCATENATE("R8C",'Mapa final'!$O$55),"")</f>
        <v/>
      </c>
      <c r="AF33" s="67" t="str">
        <f>IF(AND('Mapa final'!$Y$56="Media",'Mapa final'!$AA$56="Mayor"),CONCATENATE("R8C",'Mapa final'!$O$56),"")</f>
        <v/>
      </c>
      <c r="AG33" s="68" t="str">
        <f>IF(AND('Mapa final'!$Y$57="Media",'Mapa final'!$AA$57="Mayor"),CONCATENATE("R8C",'Mapa final'!$O$57),"")</f>
        <v/>
      </c>
      <c r="AH33" s="69" t="str">
        <f>IF(AND('Mapa final'!$Y$52="Media",'Mapa final'!$AA$52="Catastrófico"),CONCATENATE("R8C",'Mapa final'!$O$52),"")</f>
        <v/>
      </c>
      <c r="AI33" s="70" t="str">
        <f>IF(AND('Mapa final'!$Y$53="Media",'Mapa final'!$AA$53="Catastrófico"),CONCATENATE("R8C",'Mapa final'!$O$53),"")</f>
        <v/>
      </c>
      <c r="AJ33" s="70" t="str">
        <f>IF(AND('Mapa final'!$Y$54="Media",'Mapa final'!$AA$54="Catastrófico"),CONCATENATE("R8C",'Mapa final'!$O$54),"")</f>
        <v/>
      </c>
      <c r="AK33" s="70" t="str">
        <f>IF(AND('Mapa final'!$Y$55="Media",'Mapa final'!$AA$55="Catastrófico"),CONCATENATE("R8C",'Mapa final'!$O$55),"")</f>
        <v/>
      </c>
      <c r="AL33" s="70" t="str">
        <f>IF(AND('Mapa final'!$Y$56="Media",'Mapa final'!$AA$56="Catastrófico"),CONCATENATE("R8C",'Mapa final'!$O$56),"")</f>
        <v/>
      </c>
      <c r="AM33" s="71" t="str">
        <f>IF(AND('Mapa final'!$Y$57="Media",'Mapa final'!$AA$57="Catastrófico"),CONCATENATE("R8C",'Mapa final'!$O$57),"")</f>
        <v/>
      </c>
      <c r="AN33" s="97"/>
      <c r="AO33" s="445"/>
      <c r="AP33" s="446"/>
      <c r="AQ33" s="446"/>
      <c r="AR33" s="446"/>
      <c r="AS33" s="446"/>
      <c r="AT33" s="44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row>
    <row r="34" spans="1:80" ht="15" customHeight="1" x14ac:dyDescent="0.25">
      <c r="A34" s="97"/>
      <c r="B34" s="364"/>
      <c r="C34" s="364"/>
      <c r="D34" s="365"/>
      <c r="E34" s="405"/>
      <c r="F34" s="406"/>
      <c r="G34" s="406"/>
      <c r="H34" s="406"/>
      <c r="I34" s="407"/>
      <c r="J34" s="81" t="str">
        <f>IF(AND('Mapa final'!$Y$58="Media",'Mapa final'!$AA$58="Leve"),CONCATENATE("R9C",'Mapa final'!$O$58),"")</f>
        <v/>
      </c>
      <c r="K34" s="82" t="str">
        <f>IF(AND('Mapa final'!$Y$59="Media",'Mapa final'!$AA$59="Leve"),CONCATENATE("R9C",'Mapa final'!$O$59),"")</f>
        <v/>
      </c>
      <c r="L34" s="82" t="str">
        <f>IF(AND('Mapa final'!$Y$60="Media",'Mapa final'!$AA$60="Leve"),CONCATENATE("R9C",'Mapa final'!$O$60),"")</f>
        <v/>
      </c>
      <c r="M34" s="82" t="str">
        <f>IF(AND('Mapa final'!$Y$61="Media",'Mapa final'!$AA$61="Leve"),CONCATENATE("R9C",'Mapa final'!$O$61),"")</f>
        <v/>
      </c>
      <c r="N34" s="82" t="str">
        <f>IF(AND('Mapa final'!$Y$62="Media",'Mapa final'!$AA$62="Leve"),CONCATENATE("R9C",'Mapa final'!$O$62),"")</f>
        <v/>
      </c>
      <c r="O34" s="83" t="str">
        <f>IF(AND('Mapa final'!$Y$63="Media",'Mapa final'!$AA$63="Leve"),CONCATENATE("R9C",'Mapa final'!$O$63),"")</f>
        <v/>
      </c>
      <c r="P34" s="81" t="str">
        <f>IF(AND('Mapa final'!$Y$58="Media",'Mapa final'!$AA$58="Menor"),CONCATENATE("R9C",'Mapa final'!$O$58),"")</f>
        <v/>
      </c>
      <c r="Q34" s="82" t="str">
        <f>IF(AND('Mapa final'!$Y$59="Media",'Mapa final'!$AA$59="Menor"),CONCATENATE("R9C",'Mapa final'!$O$59),"")</f>
        <v/>
      </c>
      <c r="R34" s="82" t="str">
        <f>IF(AND('Mapa final'!$Y$60="Media",'Mapa final'!$AA$60="Menor"),CONCATENATE("R9C",'Mapa final'!$O$60),"")</f>
        <v/>
      </c>
      <c r="S34" s="82" t="str">
        <f>IF(AND('Mapa final'!$Y$61="Media",'Mapa final'!$AA$61="Menor"),CONCATENATE("R9C",'Mapa final'!$O$61),"")</f>
        <v/>
      </c>
      <c r="T34" s="82" t="str">
        <f>IF(AND('Mapa final'!$Y$62="Media",'Mapa final'!$AA$62="Menor"),CONCATENATE("R9C",'Mapa final'!$O$62),"")</f>
        <v/>
      </c>
      <c r="U34" s="83" t="str">
        <f>IF(AND('Mapa final'!$Y$63="Media",'Mapa final'!$AA$63="Menor"),CONCATENATE("R9C",'Mapa final'!$O$63),"")</f>
        <v/>
      </c>
      <c r="V34" s="81" t="str">
        <f>IF(AND('Mapa final'!$Y$58="Media",'Mapa final'!$AA$58="Moderado"),CONCATENATE("R9C",'Mapa final'!$O$58),"")</f>
        <v/>
      </c>
      <c r="W34" s="82" t="str">
        <f>IF(AND('Mapa final'!$Y$59="Media",'Mapa final'!$AA$59="Moderado"),CONCATENATE("R9C",'Mapa final'!$O$59),"")</f>
        <v/>
      </c>
      <c r="X34" s="82" t="str">
        <f>IF(AND('Mapa final'!$Y$60="Media",'Mapa final'!$AA$60="Moderado"),CONCATENATE("R9C",'Mapa final'!$O$60),"")</f>
        <v/>
      </c>
      <c r="Y34" s="82" t="str">
        <f>IF(AND('Mapa final'!$Y$61="Media",'Mapa final'!$AA$61="Moderado"),CONCATENATE("R9C",'Mapa final'!$O$61),"")</f>
        <v/>
      </c>
      <c r="Z34" s="82" t="str">
        <f>IF(AND('Mapa final'!$Y$62="Media",'Mapa final'!$AA$62="Moderado"),CONCATENATE("R9C",'Mapa final'!$O$62),"")</f>
        <v/>
      </c>
      <c r="AA34" s="83" t="str">
        <f>IF(AND('Mapa final'!$Y$63="Media",'Mapa final'!$AA$63="Moderado"),CONCATENATE("R9C",'Mapa final'!$O$63),"")</f>
        <v/>
      </c>
      <c r="AB34" s="66" t="str">
        <f>IF(AND('Mapa final'!$Y$58="Media",'Mapa final'!$AA$58="Mayor"),CONCATENATE("R9C",'Mapa final'!$O$58),"")</f>
        <v/>
      </c>
      <c r="AC34" s="67" t="str">
        <f>IF(AND('Mapa final'!$Y$59="Media",'Mapa final'!$AA$59="Mayor"),CONCATENATE("R9C",'Mapa final'!$O$59),"")</f>
        <v/>
      </c>
      <c r="AD34" s="67" t="str">
        <f>IF(AND('Mapa final'!$Y$60="Media",'Mapa final'!$AA$60="Mayor"),CONCATENATE("R9C",'Mapa final'!$O$60),"")</f>
        <v/>
      </c>
      <c r="AE34" s="67" t="str">
        <f>IF(AND('Mapa final'!$Y$61="Media",'Mapa final'!$AA$61="Mayor"),CONCATENATE("R9C",'Mapa final'!$O$61),"")</f>
        <v/>
      </c>
      <c r="AF34" s="67" t="str">
        <f>IF(AND('Mapa final'!$Y$62="Media",'Mapa final'!$AA$62="Mayor"),CONCATENATE("R9C",'Mapa final'!$O$62),"")</f>
        <v/>
      </c>
      <c r="AG34" s="68" t="str">
        <f>IF(AND('Mapa final'!$Y$63="Media",'Mapa final'!$AA$63="Mayor"),CONCATENATE("R9C",'Mapa final'!$O$63),"")</f>
        <v/>
      </c>
      <c r="AH34" s="69" t="str">
        <f>IF(AND('Mapa final'!$Y$58="Media",'Mapa final'!$AA$58="Catastrófico"),CONCATENATE("R9C",'Mapa final'!$O$58),"")</f>
        <v/>
      </c>
      <c r="AI34" s="70" t="str">
        <f>IF(AND('Mapa final'!$Y$59="Media",'Mapa final'!$AA$59="Catastrófico"),CONCATENATE("R9C",'Mapa final'!$O$59),"")</f>
        <v/>
      </c>
      <c r="AJ34" s="70" t="str">
        <f>IF(AND('Mapa final'!$Y$60="Media",'Mapa final'!$AA$60="Catastrófico"),CONCATENATE("R9C",'Mapa final'!$O$60),"")</f>
        <v/>
      </c>
      <c r="AK34" s="70" t="str">
        <f>IF(AND('Mapa final'!$Y$61="Media",'Mapa final'!$AA$61="Catastrófico"),CONCATENATE("R9C",'Mapa final'!$O$61),"")</f>
        <v/>
      </c>
      <c r="AL34" s="70" t="str">
        <f>IF(AND('Mapa final'!$Y$62="Media",'Mapa final'!$AA$62="Catastrófico"),CONCATENATE("R9C",'Mapa final'!$O$62),"")</f>
        <v/>
      </c>
      <c r="AM34" s="71" t="str">
        <f>IF(AND('Mapa final'!$Y$63="Media",'Mapa final'!$AA$63="Catastrófico"),CONCATENATE("R9C",'Mapa final'!$O$63),"")</f>
        <v/>
      </c>
      <c r="AN34" s="97"/>
      <c r="AO34" s="445"/>
      <c r="AP34" s="446"/>
      <c r="AQ34" s="446"/>
      <c r="AR34" s="446"/>
      <c r="AS34" s="446"/>
      <c r="AT34" s="44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row>
    <row r="35" spans="1:80" ht="15.75" customHeight="1" thickBot="1" x14ac:dyDescent="0.3">
      <c r="A35" s="97"/>
      <c r="B35" s="364"/>
      <c r="C35" s="364"/>
      <c r="D35" s="365"/>
      <c r="E35" s="408"/>
      <c r="F35" s="409"/>
      <c r="G35" s="409"/>
      <c r="H35" s="409"/>
      <c r="I35" s="410"/>
      <c r="J35" s="81" t="str">
        <f>IF(AND('Mapa final'!$Y$64="Media",'Mapa final'!$AA$64="Leve"),CONCATENATE("R10C",'Mapa final'!$O$64),"")</f>
        <v/>
      </c>
      <c r="K35" s="82" t="str">
        <f>IF(AND('Mapa final'!$Y$65="Media",'Mapa final'!$AA$65="Leve"),CONCATENATE("R10C",'Mapa final'!$O$65),"")</f>
        <v/>
      </c>
      <c r="L35" s="82" t="str">
        <f>IF(AND('Mapa final'!$Y$66="Media",'Mapa final'!$AA$66="Leve"),CONCATENATE("R10C",'Mapa final'!$O$66),"")</f>
        <v/>
      </c>
      <c r="M35" s="82" t="str">
        <f>IF(AND('Mapa final'!$Y$67="Media",'Mapa final'!$AA$67="Leve"),CONCATENATE("R10C",'Mapa final'!$O$67),"")</f>
        <v/>
      </c>
      <c r="N35" s="82" t="str">
        <f>IF(AND('Mapa final'!$Y$68="Media",'Mapa final'!$AA$68="Leve"),CONCATENATE("R10C",'Mapa final'!$O$68),"")</f>
        <v/>
      </c>
      <c r="O35" s="83" t="str">
        <f>IF(AND('Mapa final'!$Y$69="Media",'Mapa final'!$AA$69="Leve"),CONCATENATE("R10C",'Mapa final'!$O$69),"")</f>
        <v/>
      </c>
      <c r="P35" s="81" t="str">
        <f>IF(AND('Mapa final'!$Y$64="Media",'Mapa final'!$AA$64="Menor"),CONCATENATE("R10C",'Mapa final'!$O$64),"")</f>
        <v/>
      </c>
      <c r="Q35" s="82" t="str">
        <f>IF(AND('Mapa final'!$Y$65="Media",'Mapa final'!$AA$65="Menor"),CONCATENATE("R10C",'Mapa final'!$O$65),"")</f>
        <v/>
      </c>
      <c r="R35" s="82" t="str">
        <f>IF(AND('Mapa final'!$Y$66="Media",'Mapa final'!$AA$66="Menor"),CONCATENATE("R10C",'Mapa final'!$O$66),"")</f>
        <v/>
      </c>
      <c r="S35" s="82" t="str">
        <f>IF(AND('Mapa final'!$Y$67="Media",'Mapa final'!$AA$67="Menor"),CONCATENATE("R10C",'Mapa final'!$O$67),"")</f>
        <v/>
      </c>
      <c r="T35" s="82" t="str">
        <f>IF(AND('Mapa final'!$Y$68="Media",'Mapa final'!$AA$68="Menor"),CONCATENATE("R10C",'Mapa final'!$O$68),"")</f>
        <v/>
      </c>
      <c r="U35" s="83" t="str">
        <f>IF(AND('Mapa final'!$Y$69="Media",'Mapa final'!$AA$69="Menor"),CONCATENATE("R10C",'Mapa final'!$O$69),"")</f>
        <v/>
      </c>
      <c r="V35" s="81" t="str">
        <f>IF(AND('Mapa final'!$Y$64="Media",'Mapa final'!$AA$64="Moderado"),CONCATENATE("R10C",'Mapa final'!$O$64),"")</f>
        <v/>
      </c>
      <c r="W35" s="82" t="str">
        <f>IF(AND('Mapa final'!$Y$65="Media",'Mapa final'!$AA$65="Moderado"),CONCATENATE("R10C",'Mapa final'!$O$65),"")</f>
        <v/>
      </c>
      <c r="X35" s="82" t="str">
        <f>IF(AND('Mapa final'!$Y$66="Media",'Mapa final'!$AA$66="Moderado"),CONCATENATE("R10C",'Mapa final'!$O$66),"")</f>
        <v/>
      </c>
      <c r="Y35" s="82" t="str">
        <f>IF(AND('Mapa final'!$Y$67="Media",'Mapa final'!$AA$67="Moderado"),CONCATENATE("R10C",'Mapa final'!$O$67),"")</f>
        <v/>
      </c>
      <c r="Z35" s="82" t="str">
        <f>IF(AND('Mapa final'!$Y$68="Media",'Mapa final'!$AA$68="Moderado"),CONCATENATE("R10C",'Mapa final'!$O$68),"")</f>
        <v/>
      </c>
      <c r="AA35" s="83" t="str">
        <f>IF(AND('Mapa final'!$Y$69="Media",'Mapa final'!$AA$69="Moderado"),CONCATENATE("R10C",'Mapa final'!$O$69),"")</f>
        <v/>
      </c>
      <c r="AB35" s="72" t="str">
        <f>IF(AND('Mapa final'!$Y$64="Media",'Mapa final'!$AA$64="Mayor"),CONCATENATE("R10C",'Mapa final'!$O$64),"")</f>
        <v/>
      </c>
      <c r="AC35" s="73" t="str">
        <f>IF(AND('Mapa final'!$Y$65="Media",'Mapa final'!$AA$65="Mayor"),CONCATENATE("R10C",'Mapa final'!$O$65),"")</f>
        <v/>
      </c>
      <c r="AD35" s="73" t="str">
        <f>IF(AND('Mapa final'!$Y$66="Media",'Mapa final'!$AA$66="Mayor"),CONCATENATE("R10C",'Mapa final'!$O$66),"")</f>
        <v/>
      </c>
      <c r="AE35" s="73" t="str">
        <f>IF(AND('Mapa final'!$Y$67="Media",'Mapa final'!$AA$67="Mayor"),CONCATENATE("R10C",'Mapa final'!$O$67),"")</f>
        <v/>
      </c>
      <c r="AF35" s="73" t="str">
        <f>IF(AND('Mapa final'!$Y$68="Media",'Mapa final'!$AA$68="Mayor"),CONCATENATE("R10C",'Mapa final'!$O$68),"")</f>
        <v/>
      </c>
      <c r="AG35" s="74" t="str">
        <f>IF(AND('Mapa final'!$Y$69="Media",'Mapa final'!$AA$69="Mayor"),CONCATENATE("R10C",'Mapa final'!$O$69),"")</f>
        <v/>
      </c>
      <c r="AH35" s="75" t="str">
        <f>IF(AND('Mapa final'!$Y$64="Media",'Mapa final'!$AA$64="Catastrófico"),CONCATENATE("R10C",'Mapa final'!$O$64),"")</f>
        <v/>
      </c>
      <c r="AI35" s="76" t="str">
        <f>IF(AND('Mapa final'!$Y$65="Media",'Mapa final'!$AA$65="Catastrófico"),CONCATENATE("R10C",'Mapa final'!$O$65),"")</f>
        <v/>
      </c>
      <c r="AJ35" s="76" t="str">
        <f>IF(AND('Mapa final'!$Y$66="Media",'Mapa final'!$AA$66="Catastrófico"),CONCATENATE("R10C",'Mapa final'!$O$66),"")</f>
        <v/>
      </c>
      <c r="AK35" s="76" t="str">
        <f>IF(AND('Mapa final'!$Y$67="Media",'Mapa final'!$AA$67="Catastrófico"),CONCATENATE("R10C",'Mapa final'!$O$67),"")</f>
        <v/>
      </c>
      <c r="AL35" s="76" t="str">
        <f>IF(AND('Mapa final'!$Y$68="Media",'Mapa final'!$AA$68="Catastrófico"),CONCATENATE("R10C",'Mapa final'!$O$68),"")</f>
        <v/>
      </c>
      <c r="AM35" s="77" t="str">
        <f>IF(AND('Mapa final'!$Y$69="Media",'Mapa final'!$AA$69="Catastrófico"),CONCATENATE("R10C",'Mapa final'!$O$69),"")</f>
        <v/>
      </c>
      <c r="AN35" s="97"/>
      <c r="AO35" s="448"/>
      <c r="AP35" s="449"/>
      <c r="AQ35" s="449"/>
      <c r="AR35" s="449"/>
      <c r="AS35" s="449"/>
      <c r="AT35" s="450"/>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row>
    <row r="36" spans="1:80" ht="15" customHeight="1" x14ac:dyDescent="0.25">
      <c r="A36" s="97"/>
      <c r="B36" s="364"/>
      <c r="C36" s="364"/>
      <c r="D36" s="365"/>
      <c r="E36" s="402" t="s">
        <v>189</v>
      </c>
      <c r="F36" s="403"/>
      <c r="G36" s="403"/>
      <c r="H36" s="403"/>
      <c r="I36" s="403"/>
      <c r="J36" s="87" t="str">
        <f>IF(AND('Mapa final'!$Y$10="Baja",'Mapa final'!$AA$10="Leve"),CONCATENATE("R1C",'Mapa final'!$O$10),"")</f>
        <v/>
      </c>
      <c r="K36" s="88" t="str">
        <f>IF(AND('Mapa final'!$Y$11="Baja",'Mapa final'!$AA$11="Leve"),CONCATENATE("R1C",'Mapa final'!$O$11),"")</f>
        <v/>
      </c>
      <c r="L36" s="88" t="str">
        <f>IF(AND('Mapa final'!$Y$12="Baja",'Mapa final'!$AA$12="Leve"),CONCATENATE("R1C",'Mapa final'!$O$12),"")</f>
        <v/>
      </c>
      <c r="M36" s="88" t="str">
        <f>IF(AND('Mapa final'!$Y$13="Baja",'Mapa final'!$AA$13="Leve"),CONCATENATE("R1C",'Mapa final'!$O$13),"")</f>
        <v/>
      </c>
      <c r="N36" s="88" t="str">
        <f>IF(AND('Mapa final'!$Y$14="Baja",'Mapa final'!$AA$14="Leve"),CONCATENATE("R1C",'Mapa final'!$O$14),"")</f>
        <v/>
      </c>
      <c r="O36" s="89" t="str">
        <f>IF(AND('Mapa final'!$Y$15="Baja",'Mapa final'!$AA$15="Leve"),CONCATENATE("R1C",'Mapa final'!$O$15),"")</f>
        <v/>
      </c>
      <c r="P36" s="78" t="str">
        <f>IF(AND('Mapa final'!$Y$10="Baja",'Mapa final'!$AA$10="Menor"),CONCATENATE("R1C",'Mapa final'!$O$10),"")</f>
        <v/>
      </c>
      <c r="Q36" s="79" t="str">
        <f>IF(AND('Mapa final'!$Y$11="Baja",'Mapa final'!$AA$11="Menor"),CONCATENATE("R1C",'Mapa final'!$O$11),"")</f>
        <v/>
      </c>
      <c r="R36" s="79" t="str">
        <f>IF(AND('Mapa final'!$Y$12="Baja",'Mapa final'!$AA$12="Menor"),CONCATENATE("R1C",'Mapa final'!$O$12),"")</f>
        <v/>
      </c>
      <c r="S36" s="79" t="str">
        <f>IF(AND('Mapa final'!$Y$13="Baja",'Mapa final'!$AA$13="Menor"),CONCATENATE("R1C",'Mapa final'!$O$13),"")</f>
        <v/>
      </c>
      <c r="T36" s="79" t="str">
        <f>IF(AND('Mapa final'!$Y$14="Baja",'Mapa final'!$AA$14="Menor"),CONCATENATE("R1C",'Mapa final'!$O$14),"")</f>
        <v/>
      </c>
      <c r="U36" s="80" t="str">
        <f>IF(AND('Mapa final'!$Y$15="Baja",'Mapa final'!$AA$15="Menor"),CONCATENATE("R1C",'Mapa final'!$O$15),"")</f>
        <v/>
      </c>
      <c r="V36" s="78" t="str">
        <f>IF(AND('Mapa final'!$Y$10="Baja",'Mapa final'!$AA$10="Moderado"),CONCATENATE("R1C",'Mapa final'!$O$10),"")</f>
        <v>R1C1</v>
      </c>
      <c r="W36" s="79" t="str">
        <f>IF(AND('Mapa final'!$Y$11="Baja",'Mapa final'!$AA$11="Moderado"),CONCATENATE("R1C",'Mapa final'!$O$11),"")</f>
        <v/>
      </c>
      <c r="X36" s="79" t="str">
        <f>IF(AND('Mapa final'!$Y$12="Baja",'Mapa final'!$AA$12="Moderado"),CONCATENATE("R1C",'Mapa final'!$O$12),"")</f>
        <v/>
      </c>
      <c r="Y36" s="79" t="str">
        <f>IF(AND('Mapa final'!$Y$13="Baja",'Mapa final'!$AA$13="Moderado"),CONCATENATE("R1C",'Mapa final'!$O$13),"")</f>
        <v/>
      </c>
      <c r="Z36" s="79" t="str">
        <f>IF(AND('Mapa final'!$Y$14="Baja",'Mapa final'!$AA$14="Moderado"),CONCATENATE("R1C",'Mapa final'!$O$14),"")</f>
        <v/>
      </c>
      <c r="AA36" s="80" t="str">
        <f>IF(AND('Mapa final'!$Y$15="Baja",'Mapa final'!$AA$15="Moderado"),CONCATENATE("R1C",'Mapa final'!$O$15),"")</f>
        <v/>
      </c>
      <c r="AB36" s="60" t="str">
        <f>IF(AND('Mapa final'!$Y$10="Baja",'Mapa final'!$AA$10="Mayor"),CONCATENATE("R1C",'Mapa final'!$O$10),"")</f>
        <v/>
      </c>
      <c r="AC36" s="61" t="str">
        <f>IF(AND('Mapa final'!$Y$11="Baja",'Mapa final'!$AA$11="Mayor"),CONCATENATE("R1C",'Mapa final'!$O$11),"")</f>
        <v/>
      </c>
      <c r="AD36" s="61" t="str">
        <f>IF(AND('Mapa final'!$Y$12="Baja",'Mapa final'!$AA$12="Mayor"),CONCATENATE("R1C",'Mapa final'!$O$12),"")</f>
        <v/>
      </c>
      <c r="AE36" s="61" t="str">
        <f>IF(AND('Mapa final'!$Y$13="Baja",'Mapa final'!$AA$13="Mayor"),CONCATENATE("R1C",'Mapa final'!$O$13),"")</f>
        <v/>
      </c>
      <c r="AF36" s="61" t="str">
        <f>IF(AND('Mapa final'!$Y$14="Baja",'Mapa final'!$AA$14="Mayor"),CONCATENATE("R1C",'Mapa final'!$O$14),"")</f>
        <v/>
      </c>
      <c r="AG36" s="62" t="str">
        <f>IF(AND('Mapa final'!$Y$15="Baja",'Mapa final'!$AA$15="Mayor"),CONCATENATE("R1C",'Mapa final'!$O$15),"")</f>
        <v/>
      </c>
      <c r="AH36" s="63" t="str">
        <f>IF(AND('Mapa final'!$Y$10="Baja",'Mapa final'!$AA$10="Catastrófico"),CONCATENATE("R1C",'Mapa final'!$O$10),"")</f>
        <v/>
      </c>
      <c r="AI36" s="64" t="str">
        <f>IF(AND('Mapa final'!$Y$11="Baja",'Mapa final'!$AA$11="Catastrófico"),CONCATENATE("R1C",'Mapa final'!$O$11),"")</f>
        <v/>
      </c>
      <c r="AJ36" s="64" t="str">
        <f>IF(AND('Mapa final'!$Y$12="Baja",'Mapa final'!$AA$12="Catastrófico"),CONCATENATE("R1C",'Mapa final'!$O$12),"")</f>
        <v/>
      </c>
      <c r="AK36" s="64" t="str">
        <f>IF(AND('Mapa final'!$Y$13="Baja",'Mapa final'!$AA$13="Catastrófico"),CONCATENATE("R1C",'Mapa final'!$O$13),"")</f>
        <v/>
      </c>
      <c r="AL36" s="64" t="str">
        <f>IF(AND('Mapa final'!$Y$14="Baja",'Mapa final'!$AA$14="Catastrófico"),CONCATENATE("R1C",'Mapa final'!$O$14),"")</f>
        <v/>
      </c>
      <c r="AM36" s="65" t="str">
        <f>IF(AND('Mapa final'!$Y$15="Baja",'Mapa final'!$AA$15="Catastrófico"),CONCATENATE("R1C",'Mapa final'!$O$15),"")</f>
        <v/>
      </c>
      <c r="AN36" s="97"/>
      <c r="AO36" s="433" t="s">
        <v>190</v>
      </c>
      <c r="AP36" s="434"/>
      <c r="AQ36" s="434"/>
      <c r="AR36" s="434"/>
      <c r="AS36" s="434"/>
      <c r="AT36" s="435"/>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row>
    <row r="37" spans="1:80" ht="15" customHeight="1" x14ac:dyDescent="0.25">
      <c r="A37" s="97"/>
      <c r="B37" s="364"/>
      <c r="C37" s="364"/>
      <c r="D37" s="365"/>
      <c r="E37" s="421"/>
      <c r="F37" s="406"/>
      <c r="G37" s="406"/>
      <c r="H37" s="406"/>
      <c r="I37" s="406"/>
      <c r="J37" s="90" t="str">
        <f>IF(AND('Mapa final'!$Y$16="Baja",'Mapa final'!$AA$16="Leve"),CONCATENATE("R2C",'Mapa final'!$O$16),"")</f>
        <v/>
      </c>
      <c r="K37" s="91" t="str">
        <f>IF(AND('Mapa final'!$Y$17="Baja",'Mapa final'!$AA$17="Leve"),CONCATENATE("R2C",'Mapa final'!$O$17),"")</f>
        <v/>
      </c>
      <c r="L37" s="91" t="str">
        <f>IF(AND('Mapa final'!$Y$18="Baja",'Mapa final'!$AA$18="Leve"),CONCATENATE("R2C",'Mapa final'!$O$18),"")</f>
        <v/>
      </c>
      <c r="M37" s="91" t="str">
        <f>IF(AND('Mapa final'!$Y$19="Baja",'Mapa final'!$AA$19="Leve"),CONCATENATE("R2C",'Mapa final'!$O$19),"")</f>
        <v/>
      </c>
      <c r="N37" s="91" t="str">
        <f>IF(AND('Mapa final'!$Y$20="Baja",'Mapa final'!$AA$20="Leve"),CONCATENATE("R2C",'Mapa final'!$O$20),"")</f>
        <v/>
      </c>
      <c r="O37" s="92" t="str">
        <f>IF(AND('Mapa final'!$Y$21="Baja",'Mapa final'!$AA$21="Leve"),CONCATENATE("R2C",'Mapa final'!$O$21),"")</f>
        <v/>
      </c>
      <c r="P37" s="81" t="str">
        <f>IF(AND('Mapa final'!$Y$16="Baja",'Mapa final'!$AA$16="Menor"),CONCATENATE("R2C",'Mapa final'!$O$16),"")</f>
        <v/>
      </c>
      <c r="Q37" s="82" t="str">
        <f>IF(AND('Mapa final'!$Y$17="Baja",'Mapa final'!$AA$17="Menor"),CONCATENATE("R2C",'Mapa final'!$O$17),"")</f>
        <v/>
      </c>
      <c r="R37" s="82" t="str">
        <f>IF(AND('Mapa final'!$Y$18="Baja",'Mapa final'!$AA$18="Menor"),CONCATENATE("R2C",'Mapa final'!$O$18),"")</f>
        <v/>
      </c>
      <c r="S37" s="82" t="str">
        <f>IF(AND('Mapa final'!$Y$19="Baja",'Mapa final'!$AA$19="Menor"),CONCATENATE("R2C",'Mapa final'!$O$19),"")</f>
        <v/>
      </c>
      <c r="T37" s="82" t="str">
        <f>IF(AND('Mapa final'!$Y$20="Baja",'Mapa final'!$AA$20="Menor"),CONCATENATE("R2C",'Mapa final'!$O$20),"")</f>
        <v/>
      </c>
      <c r="U37" s="83" t="str">
        <f>IF(AND('Mapa final'!$Y$21="Baja",'Mapa final'!$AA$21="Menor"),CONCATENATE("R2C",'Mapa final'!$O$21),"")</f>
        <v/>
      </c>
      <c r="V37" s="81" t="str">
        <f>IF(AND('Mapa final'!$Y$16="Baja",'Mapa final'!$AA$16="Moderado"),CONCATENATE("R2C",'Mapa final'!$O$16),"")</f>
        <v>R2C1</v>
      </c>
      <c r="W37" s="82" t="str">
        <f>IF(AND('Mapa final'!$Y$17="Baja",'Mapa final'!$AA$17="Moderado"),CONCATENATE("R2C",'Mapa final'!$O$17),"")</f>
        <v/>
      </c>
      <c r="X37" s="82" t="str">
        <f>IF(AND('Mapa final'!$Y$18="Baja",'Mapa final'!$AA$18="Moderado"),CONCATENATE("R2C",'Mapa final'!$O$18),"")</f>
        <v/>
      </c>
      <c r="Y37" s="82" t="str">
        <f>IF(AND('Mapa final'!$Y$19="Baja",'Mapa final'!$AA$19="Moderado"),CONCATENATE("R2C",'Mapa final'!$O$19),"")</f>
        <v/>
      </c>
      <c r="Z37" s="82" t="str">
        <f>IF(AND('Mapa final'!$Y$20="Baja",'Mapa final'!$AA$20="Moderado"),CONCATENATE("R2C",'Mapa final'!$O$20),"")</f>
        <v/>
      </c>
      <c r="AA37" s="83" t="str">
        <f>IF(AND('Mapa final'!$Y$21="Baja",'Mapa final'!$AA$21="Moderado"),CONCATENATE("R2C",'Mapa final'!$O$21),"")</f>
        <v/>
      </c>
      <c r="AB37" s="66" t="str">
        <f>IF(AND('Mapa final'!$Y$16="Baja",'Mapa final'!$AA$16="Mayor"),CONCATENATE("R2C",'Mapa final'!$O$16),"")</f>
        <v/>
      </c>
      <c r="AC37" s="67" t="str">
        <f>IF(AND('Mapa final'!$Y$17="Baja",'Mapa final'!$AA$17="Mayor"),CONCATENATE("R2C",'Mapa final'!$O$17),"")</f>
        <v/>
      </c>
      <c r="AD37" s="67" t="str">
        <f>IF(AND('Mapa final'!$Y$18="Baja",'Mapa final'!$AA$18="Mayor"),CONCATENATE("R2C",'Mapa final'!$O$18),"")</f>
        <v/>
      </c>
      <c r="AE37" s="67" t="str">
        <f>IF(AND('Mapa final'!$Y$19="Baja",'Mapa final'!$AA$19="Mayor"),CONCATENATE("R2C",'Mapa final'!$O$19),"")</f>
        <v/>
      </c>
      <c r="AF37" s="67" t="str">
        <f>IF(AND('Mapa final'!$Y$20="Baja",'Mapa final'!$AA$20="Mayor"),CONCATENATE("R2C",'Mapa final'!$O$20),"")</f>
        <v/>
      </c>
      <c r="AG37" s="68" t="str">
        <f>IF(AND('Mapa final'!$Y$21="Baja",'Mapa final'!$AA$21="Mayor"),CONCATENATE("R2C",'Mapa final'!$O$21),"")</f>
        <v/>
      </c>
      <c r="AH37" s="69" t="str">
        <f>IF(AND('Mapa final'!$Y$16="Baja",'Mapa final'!$AA$16="Catastrófico"),CONCATENATE("R2C",'Mapa final'!$O$16),"")</f>
        <v/>
      </c>
      <c r="AI37" s="70" t="str">
        <f>IF(AND('Mapa final'!$Y$17="Baja",'Mapa final'!$AA$17="Catastrófico"),CONCATENATE("R2C",'Mapa final'!$O$17),"")</f>
        <v/>
      </c>
      <c r="AJ37" s="70" t="str">
        <f>IF(AND('Mapa final'!$Y$18="Baja",'Mapa final'!$AA$18="Catastrófico"),CONCATENATE("R2C",'Mapa final'!$O$18),"")</f>
        <v/>
      </c>
      <c r="AK37" s="70" t="str">
        <f>IF(AND('Mapa final'!$Y$19="Baja",'Mapa final'!$AA$19="Catastrófico"),CONCATENATE("R2C",'Mapa final'!$O$19),"")</f>
        <v/>
      </c>
      <c r="AL37" s="70" t="str">
        <f>IF(AND('Mapa final'!$Y$20="Baja",'Mapa final'!$AA$20="Catastrófico"),CONCATENATE("R2C",'Mapa final'!$O$20),"")</f>
        <v/>
      </c>
      <c r="AM37" s="71" t="str">
        <f>IF(AND('Mapa final'!$Y$21="Baja",'Mapa final'!$AA$21="Catastrófico"),CONCATENATE("R2C",'Mapa final'!$O$21),"")</f>
        <v/>
      </c>
      <c r="AN37" s="97"/>
      <c r="AO37" s="436"/>
      <c r="AP37" s="437"/>
      <c r="AQ37" s="437"/>
      <c r="AR37" s="437"/>
      <c r="AS37" s="437"/>
      <c r="AT37" s="438"/>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row>
    <row r="38" spans="1:80" ht="15" customHeight="1" x14ac:dyDescent="0.25">
      <c r="A38" s="97"/>
      <c r="B38" s="364"/>
      <c r="C38" s="364"/>
      <c r="D38" s="365"/>
      <c r="E38" s="405"/>
      <c r="F38" s="406"/>
      <c r="G38" s="406"/>
      <c r="H38" s="406"/>
      <c r="I38" s="406"/>
      <c r="J38" s="90" t="str">
        <f>IF(AND('Mapa final'!$Y$22="Baja",'Mapa final'!$AA$22="Leve"),CONCATENATE("R3C",'Mapa final'!$O$22),"")</f>
        <v/>
      </c>
      <c r="K38" s="91" t="str">
        <f>IF(AND('Mapa final'!$Y$23="Baja",'Mapa final'!$AA$23="Leve"),CONCATENATE("R3C",'Mapa final'!$O$23),"")</f>
        <v/>
      </c>
      <c r="L38" s="91" t="str">
        <f>IF(AND('Mapa final'!$Y$24="Baja",'Mapa final'!$AA$24="Leve"),CONCATENATE("R3C",'Mapa final'!$O$24),"")</f>
        <v/>
      </c>
      <c r="M38" s="91" t="str">
        <f>IF(AND('Mapa final'!$Y$25="Baja",'Mapa final'!$AA$25="Leve"),CONCATENATE("R3C",'Mapa final'!$O$25),"")</f>
        <v/>
      </c>
      <c r="N38" s="91" t="str">
        <f>IF(AND('Mapa final'!$Y$26="Baja",'Mapa final'!$AA$26="Leve"),CONCATENATE("R3C",'Mapa final'!$O$26),"")</f>
        <v/>
      </c>
      <c r="O38" s="92" t="str">
        <f>IF(AND('Mapa final'!$Y$27="Baja",'Mapa final'!$AA$27="Leve"),CONCATENATE("R3C",'Mapa final'!$O$27),"")</f>
        <v/>
      </c>
      <c r="P38" s="81" t="str">
        <f>IF(AND('Mapa final'!$Y$22="Baja",'Mapa final'!$AA$22="Menor"),CONCATENATE("R3C",'Mapa final'!$O$22),"")</f>
        <v/>
      </c>
      <c r="Q38" s="82" t="str">
        <f>IF(AND('Mapa final'!$Y$23="Baja",'Mapa final'!$AA$23="Menor"),CONCATENATE("R3C",'Mapa final'!$O$23),"")</f>
        <v/>
      </c>
      <c r="R38" s="82" t="str">
        <f>IF(AND('Mapa final'!$Y$24="Baja",'Mapa final'!$AA$24="Menor"),CONCATENATE("R3C",'Mapa final'!$O$24),"")</f>
        <v/>
      </c>
      <c r="S38" s="82" t="str">
        <f>IF(AND('Mapa final'!$Y$25="Baja",'Mapa final'!$AA$25="Menor"),CONCATENATE("R3C",'Mapa final'!$O$25),"")</f>
        <v/>
      </c>
      <c r="T38" s="82" t="str">
        <f>IF(AND('Mapa final'!$Y$26="Baja",'Mapa final'!$AA$26="Menor"),CONCATENATE("R3C",'Mapa final'!$O$26),"")</f>
        <v/>
      </c>
      <c r="U38" s="83" t="str">
        <f>IF(AND('Mapa final'!$Y$27="Baja",'Mapa final'!$AA$27="Menor"),CONCATENATE("R3C",'Mapa final'!$O$27),"")</f>
        <v/>
      </c>
      <c r="V38" s="81" t="str">
        <f>IF(AND('Mapa final'!$Y$22="Baja",'Mapa final'!$AA$22="Moderado"),CONCATENATE("R3C",'Mapa final'!$O$22),"")</f>
        <v/>
      </c>
      <c r="W38" s="82" t="str">
        <f>IF(AND('Mapa final'!$Y$23="Baja",'Mapa final'!$AA$23="Moderado"),CONCATENATE("R3C",'Mapa final'!$O$23),"")</f>
        <v/>
      </c>
      <c r="X38" s="82" t="str">
        <f>IF(AND('Mapa final'!$Y$24="Baja",'Mapa final'!$AA$24="Moderado"),CONCATENATE("R3C",'Mapa final'!$O$24),"")</f>
        <v/>
      </c>
      <c r="Y38" s="82" t="str">
        <f>IF(AND('Mapa final'!$Y$25="Baja",'Mapa final'!$AA$25="Moderado"),CONCATENATE("R3C",'Mapa final'!$O$25),"")</f>
        <v/>
      </c>
      <c r="Z38" s="82" t="str">
        <f>IF(AND('Mapa final'!$Y$26="Baja",'Mapa final'!$AA$26="Moderado"),CONCATENATE("R3C",'Mapa final'!$O$26),"")</f>
        <v/>
      </c>
      <c r="AA38" s="83" t="str">
        <f>IF(AND('Mapa final'!$Y$27="Baja",'Mapa final'!$AA$27="Moderado"),CONCATENATE("R3C",'Mapa final'!$O$27),"")</f>
        <v/>
      </c>
      <c r="AB38" s="66" t="str">
        <f>IF(AND('Mapa final'!$Y$22="Baja",'Mapa final'!$AA$22="Mayor"),CONCATENATE("R3C",'Mapa final'!$O$22),"")</f>
        <v>R3C1</v>
      </c>
      <c r="AC38" s="67" t="str">
        <f>IF(AND('Mapa final'!$Y$23="Baja",'Mapa final'!$AA$23="Mayor"),CONCATENATE("R3C",'Mapa final'!$O$23),"")</f>
        <v/>
      </c>
      <c r="AD38" s="67" t="str">
        <f>IF(AND('Mapa final'!$Y$24="Baja",'Mapa final'!$AA$24="Mayor"),CONCATENATE("R3C",'Mapa final'!$O$24),"")</f>
        <v/>
      </c>
      <c r="AE38" s="67" t="str">
        <f>IF(AND('Mapa final'!$Y$25="Baja",'Mapa final'!$AA$25="Mayor"),CONCATENATE("R3C",'Mapa final'!$O$25),"")</f>
        <v/>
      </c>
      <c r="AF38" s="67" t="str">
        <f>IF(AND('Mapa final'!$Y$26="Baja",'Mapa final'!$AA$26="Mayor"),CONCATENATE("R3C",'Mapa final'!$O$26),"")</f>
        <v/>
      </c>
      <c r="AG38" s="68" t="str">
        <f>IF(AND('Mapa final'!$Y$27="Baja",'Mapa final'!$AA$27="Mayor"),CONCATENATE("R3C",'Mapa final'!$O$27),"")</f>
        <v/>
      </c>
      <c r="AH38" s="69" t="str">
        <f>IF(AND('Mapa final'!$Y$22="Baja",'Mapa final'!$AA$22="Catastrófico"),CONCATENATE("R3C",'Mapa final'!$O$22),"")</f>
        <v/>
      </c>
      <c r="AI38" s="70" t="str">
        <f>IF(AND('Mapa final'!$Y$23="Baja",'Mapa final'!$AA$23="Catastrófico"),CONCATENATE("R3C",'Mapa final'!$O$23),"")</f>
        <v/>
      </c>
      <c r="AJ38" s="70" t="str">
        <f>IF(AND('Mapa final'!$Y$24="Baja",'Mapa final'!$AA$24="Catastrófico"),CONCATENATE("R3C",'Mapa final'!$O$24),"")</f>
        <v/>
      </c>
      <c r="AK38" s="70" t="str">
        <f>IF(AND('Mapa final'!$Y$25="Baja",'Mapa final'!$AA$25="Catastrófico"),CONCATENATE("R3C",'Mapa final'!$O$25),"")</f>
        <v/>
      </c>
      <c r="AL38" s="70" t="str">
        <f>IF(AND('Mapa final'!$Y$26="Baja",'Mapa final'!$AA$26="Catastrófico"),CONCATENATE("R3C",'Mapa final'!$O$26),"")</f>
        <v/>
      </c>
      <c r="AM38" s="71" t="str">
        <f>IF(AND('Mapa final'!$Y$27="Baja",'Mapa final'!$AA$27="Catastrófico"),CONCATENATE("R3C",'Mapa final'!$O$27),"")</f>
        <v/>
      </c>
      <c r="AN38" s="97"/>
      <c r="AO38" s="436"/>
      <c r="AP38" s="437"/>
      <c r="AQ38" s="437"/>
      <c r="AR38" s="437"/>
      <c r="AS38" s="437"/>
      <c r="AT38" s="438"/>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row>
    <row r="39" spans="1:80" ht="15" customHeight="1" x14ac:dyDescent="0.25">
      <c r="A39" s="97"/>
      <c r="B39" s="364"/>
      <c r="C39" s="364"/>
      <c r="D39" s="365"/>
      <c r="E39" s="405"/>
      <c r="F39" s="406"/>
      <c r="G39" s="406"/>
      <c r="H39" s="406"/>
      <c r="I39" s="406"/>
      <c r="J39" s="90" t="str">
        <f>IF(AND('Mapa final'!$Y$28="Baja",'Mapa final'!$AA$28="Leve"),CONCATENATE("R4C",'Mapa final'!$O$28),"")</f>
        <v/>
      </c>
      <c r="K39" s="91" t="str">
        <f>IF(AND('Mapa final'!$Y$29="Baja",'Mapa final'!$AA$29="Leve"),CONCATENATE("R4C",'Mapa final'!$O$29),"")</f>
        <v/>
      </c>
      <c r="L39" s="91" t="str">
        <f>IF(AND('Mapa final'!$Y$30="Baja",'Mapa final'!$AA$30="Leve"),CONCATENATE("R4C",'Mapa final'!$O$30),"")</f>
        <v/>
      </c>
      <c r="M39" s="91" t="str">
        <f>IF(AND('Mapa final'!$Y$31="Baja",'Mapa final'!$AA$31="Leve"),CONCATENATE("R4C",'Mapa final'!$O$31),"")</f>
        <v/>
      </c>
      <c r="N39" s="91" t="str">
        <f>IF(AND('Mapa final'!$Y$32="Baja",'Mapa final'!$AA$32="Leve"),CONCATENATE("R4C",'Mapa final'!$O$32),"")</f>
        <v/>
      </c>
      <c r="O39" s="92" t="str">
        <f>IF(AND('Mapa final'!$Y$33="Baja",'Mapa final'!$AA$33="Leve"),CONCATENATE("R4C",'Mapa final'!$O$33),"")</f>
        <v/>
      </c>
      <c r="P39" s="81" t="str">
        <f>IF(AND('Mapa final'!$Y$28="Baja",'Mapa final'!$AA$28="Menor"),CONCATENATE("R4C",'Mapa final'!$O$28),"")</f>
        <v/>
      </c>
      <c r="Q39" s="82" t="str">
        <f>IF(AND('Mapa final'!$Y$29="Baja",'Mapa final'!$AA$29="Menor"),CONCATENATE("R4C",'Mapa final'!$O$29),"")</f>
        <v/>
      </c>
      <c r="R39" s="82" t="str">
        <f>IF(AND('Mapa final'!$Y$30="Baja",'Mapa final'!$AA$30="Menor"),CONCATENATE("R4C",'Mapa final'!$O$30),"")</f>
        <v/>
      </c>
      <c r="S39" s="82" t="str">
        <f>IF(AND('Mapa final'!$Y$31="Baja",'Mapa final'!$AA$31="Menor"),CONCATENATE("R4C",'Mapa final'!$O$31),"")</f>
        <v/>
      </c>
      <c r="T39" s="82" t="str">
        <f>IF(AND('Mapa final'!$Y$32="Baja",'Mapa final'!$AA$32="Menor"),CONCATENATE("R4C",'Mapa final'!$O$32),"")</f>
        <v/>
      </c>
      <c r="U39" s="83" t="str">
        <f>IF(AND('Mapa final'!$Y$33="Baja",'Mapa final'!$AA$33="Menor"),CONCATENATE("R4C",'Mapa final'!$O$33),"")</f>
        <v/>
      </c>
      <c r="V39" s="81" t="str">
        <f>IF(AND('Mapa final'!$Y$28="Baja",'Mapa final'!$AA$28="Moderado"),CONCATENATE("R4C",'Mapa final'!$O$28),"")</f>
        <v/>
      </c>
      <c r="W39" s="82" t="str">
        <f>IF(AND('Mapa final'!$Y$29="Baja",'Mapa final'!$AA$29="Moderado"),CONCATENATE("R4C",'Mapa final'!$O$29),"")</f>
        <v/>
      </c>
      <c r="X39" s="82" t="str">
        <f>IF(AND('Mapa final'!$Y$30="Baja",'Mapa final'!$AA$30="Moderado"),CONCATENATE("R4C",'Mapa final'!$O$30),"")</f>
        <v/>
      </c>
      <c r="Y39" s="82" t="str">
        <f>IF(AND('Mapa final'!$Y$31="Baja",'Mapa final'!$AA$31="Moderado"),CONCATENATE("R4C",'Mapa final'!$O$31),"")</f>
        <v/>
      </c>
      <c r="Z39" s="82" t="str">
        <f>IF(AND('Mapa final'!$Y$32="Baja",'Mapa final'!$AA$32="Moderado"),CONCATENATE("R4C",'Mapa final'!$O$32),"")</f>
        <v/>
      </c>
      <c r="AA39" s="83" t="str">
        <f>IF(AND('Mapa final'!$Y$33="Baja",'Mapa final'!$AA$33="Moderado"),CONCATENATE("R4C",'Mapa final'!$O$33),"")</f>
        <v/>
      </c>
      <c r="AB39" s="66" t="str">
        <f>IF(AND('Mapa final'!$Y$28="Baja",'Mapa final'!$AA$28="Mayor"),CONCATENATE("R4C",'Mapa final'!$O$28),"")</f>
        <v/>
      </c>
      <c r="AC39" s="67" t="str">
        <f>IF(AND('Mapa final'!$Y$29="Baja",'Mapa final'!$AA$29="Mayor"),CONCATENATE("R4C",'Mapa final'!$O$29),"")</f>
        <v/>
      </c>
      <c r="AD39" s="67" t="str">
        <f>IF(AND('Mapa final'!$Y$30="Baja",'Mapa final'!$AA$30="Mayor"),CONCATENATE("R4C",'Mapa final'!$O$30),"")</f>
        <v/>
      </c>
      <c r="AE39" s="67" t="str">
        <f>IF(AND('Mapa final'!$Y$31="Baja",'Mapa final'!$AA$31="Mayor"),CONCATENATE("R4C",'Mapa final'!$O$31),"")</f>
        <v/>
      </c>
      <c r="AF39" s="67" t="str">
        <f>IF(AND('Mapa final'!$Y$32="Baja",'Mapa final'!$AA$32="Mayor"),CONCATENATE("R4C",'Mapa final'!$O$32),"")</f>
        <v/>
      </c>
      <c r="AG39" s="68" t="str">
        <f>IF(AND('Mapa final'!$Y$33="Baja",'Mapa final'!$AA$33="Mayor"),CONCATENATE("R4C",'Mapa final'!$O$33),"")</f>
        <v/>
      </c>
      <c r="AH39" s="69" t="str">
        <f>IF(AND('Mapa final'!$Y$28="Baja",'Mapa final'!$AA$28="Catastrófico"),CONCATENATE("R4C",'Mapa final'!$O$28),"")</f>
        <v/>
      </c>
      <c r="AI39" s="70" t="str">
        <f>IF(AND('Mapa final'!$Y$29="Baja",'Mapa final'!$AA$29="Catastrófico"),CONCATENATE("R4C",'Mapa final'!$O$29),"")</f>
        <v/>
      </c>
      <c r="AJ39" s="70" t="str">
        <f>IF(AND('Mapa final'!$Y$30="Baja",'Mapa final'!$AA$30="Catastrófico"),CONCATENATE("R4C",'Mapa final'!$O$30),"")</f>
        <v/>
      </c>
      <c r="AK39" s="70" t="str">
        <f>IF(AND('Mapa final'!$Y$31="Baja",'Mapa final'!$AA$31="Catastrófico"),CONCATENATE("R4C",'Mapa final'!$O$31),"")</f>
        <v/>
      </c>
      <c r="AL39" s="70" t="str">
        <f>IF(AND('Mapa final'!$Y$32="Baja",'Mapa final'!$AA$32="Catastrófico"),CONCATENATE("R4C",'Mapa final'!$O$32),"")</f>
        <v/>
      </c>
      <c r="AM39" s="71" t="str">
        <f>IF(AND('Mapa final'!$Y$33="Baja",'Mapa final'!$AA$33="Catastrófico"),CONCATENATE("R4C",'Mapa final'!$O$33),"")</f>
        <v/>
      </c>
      <c r="AN39" s="97"/>
      <c r="AO39" s="436"/>
      <c r="AP39" s="437"/>
      <c r="AQ39" s="437"/>
      <c r="AR39" s="437"/>
      <c r="AS39" s="437"/>
      <c r="AT39" s="438"/>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row>
    <row r="40" spans="1:80" ht="15" customHeight="1" x14ac:dyDescent="0.25">
      <c r="A40" s="97"/>
      <c r="B40" s="364"/>
      <c r="C40" s="364"/>
      <c r="D40" s="365"/>
      <c r="E40" s="405"/>
      <c r="F40" s="406"/>
      <c r="G40" s="406"/>
      <c r="H40" s="406"/>
      <c r="I40" s="406"/>
      <c r="J40" s="90" t="str">
        <f>IF(AND('Mapa final'!$Y$34="Baja",'Mapa final'!$AA$34="Leve"),CONCATENATE("R5C",'Mapa final'!$O$34),"")</f>
        <v/>
      </c>
      <c r="K40" s="91" t="str">
        <f>IF(AND('Mapa final'!$Y$35="Baja",'Mapa final'!$AA$35="Leve"),CONCATENATE("R5C",'Mapa final'!$O$35),"")</f>
        <v/>
      </c>
      <c r="L40" s="91" t="str">
        <f>IF(AND('Mapa final'!$Y$36="Baja",'Mapa final'!$AA$36="Leve"),CONCATENATE("R5C",'Mapa final'!$O$36),"")</f>
        <v/>
      </c>
      <c r="M40" s="91" t="str">
        <f>IF(AND('Mapa final'!$Y$37="Baja",'Mapa final'!$AA$37="Leve"),CONCATENATE("R5C",'Mapa final'!$O$37),"")</f>
        <v/>
      </c>
      <c r="N40" s="91" t="str">
        <f>IF(AND('Mapa final'!$Y$38="Baja",'Mapa final'!$AA$38="Leve"),CONCATENATE("R5C",'Mapa final'!$O$38),"")</f>
        <v/>
      </c>
      <c r="O40" s="92" t="str">
        <f>IF(AND('Mapa final'!$Y$39="Baja",'Mapa final'!$AA$39="Leve"),CONCATENATE("R5C",'Mapa final'!$O$39),"")</f>
        <v/>
      </c>
      <c r="P40" s="81" t="str">
        <f>IF(AND('Mapa final'!$Y$34="Baja",'Mapa final'!$AA$34="Menor"),CONCATENATE("R5C",'Mapa final'!$O$34),"")</f>
        <v/>
      </c>
      <c r="Q40" s="82" t="str">
        <f>IF(AND('Mapa final'!$Y$35="Baja",'Mapa final'!$AA$35="Menor"),CONCATENATE("R5C",'Mapa final'!$O$35),"")</f>
        <v/>
      </c>
      <c r="R40" s="82" t="str">
        <f>IF(AND('Mapa final'!$Y$36="Baja",'Mapa final'!$AA$36="Menor"),CONCATENATE("R5C",'Mapa final'!$O$36),"")</f>
        <v/>
      </c>
      <c r="S40" s="82" t="str">
        <f>IF(AND('Mapa final'!$Y$37="Baja",'Mapa final'!$AA$37="Menor"),CONCATENATE("R5C",'Mapa final'!$O$37),"")</f>
        <v/>
      </c>
      <c r="T40" s="82" t="str">
        <f>IF(AND('Mapa final'!$Y$38="Baja",'Mapa final'!$AA$38="Menor"),CONCATENATE("R5C",'Mapa final'!$O$38),"")</f>
        <v/>
      </c>
      <c r="U40" s="83" t="str">
        <f>IF(AND('Mapa final'!$Y$39="Baja",'Mapa final'!$AA$39="Menor"),CONCATENATE("R5C",'Mapa final'!$O$39),"")</f>
        <v/>
      </c>
      <c r="V40" s="81" t="str">
        <f>IF(AND('Mapa final'!$Y$34="Baja",'Mapa final'!$AA$34="Moderado"),CONCATENATE("R5C",'Mapa final'!$O$34),"")</f>
        <v/>
      </c>
      <c r="W40" s="82" t="str">
        <f>IF(AND('Mapa final'!$Y$35="Baja",'Mapa final'!$AA$35="Moderado"),CONCATENATE("R5C",'Mapa final'!$O$35),"")</f>
        <v/>
      </c>
      <c r="X40" s="82" t="str">
        <f>IF(AND('Mapa final'!$Y$36="Baja",'Mapa final'!$AA$36="Moderado"),CONCATENATE("R5C",'Mapa final'!$O$36),"")</f>
        <v/>
      </c>
      <c r="Y40" s="82" t="str">
        <f>IF(AND('Mapa final'!$Y$37="Baja",'Mapa final'!$AA$37="Moderado"),CONCATENATE("R5C",'Mapa final'!$O$37),"")</f>
        <v/>
      </c>
      <c r="Z40" s="82" t="str">
        <f>IF(AND('Mapa final'!$Y$38="Baja",'Mapa final'!$AA$38="Moderado"),CONCATENATE("R5C",'Mapa final'!$O$38),"")</f>
        <v/>
      </c>
      <c r="AA40" s="83" t="str">
        <f>IF(AND('Mapa final'!$Y$39="Baja",'Mapa final'!$AA$39="Moderado"),CONCATENATE("R5C",'Mapa final'!$O$39),"")</f>
        <v/>
      </c>
      <c r="AB40" s="66" t="str">
        <f>IF(AND('Mapa final'!$Y$34="Baja",'Mapa final'!$AA$34="Mayor"),CONCATENATE("R5C",'Mapa final'!$O$34),"")</f>
        <v/>
      </c>
      <c r="AC40" s="67" t="str">
        <f>IF(AND('Mapa final'!$Y$35="Baja",'Mapa final'!$AA$35="Mayor"),CONCATENATE("R5C",'Mapa final'!$O$35),"")</f>
        <v/>
      </c>
      <c r="AD40" s="67" t="str">
        <f>IF(AND('Mapa final'!$Y$36="Baja",'Mapa final'!$AA$36="Mayor"),CONCATENATE("R5C",'Mapa final'!$O$36),"")</f>
        <v/>
      </c>
      <c r="AE40" s="67" t="str">
        <f>IF(AND('Mapa final'!$Y$37="Baja",'Mapa final'!$AA$37="Mayor"),CONCATENATE("R5C",'Mapa final'!$O$37),"")</f>
        <v/>
      </c>
      <c r="AF40" s="67" t="str">
        <f>IF(AND('Mapa final'!$Y$38="Baja",'Mapa final'!$AA$38="Mayor"),CONCATENATE("R5C",'Mapa final'!$O$38),"")</f>
        <v/>
      </c>
      <c r="AG40" s="68" t="str">
        <f>IF(AND('Mapa final'!$Y$39="Baja",'Mapa final'!$AA$39="Mayor"),CONCATENATE("R5C",'Mapa final'!$O$39),"")</f>
        <v/>
      </c>
      <c r="AH40" s="69" t="str">
        <f>IF(AND('Mapa final'!$Y$34="Baja",'Mapa final'!$AA$34="Catastrófico"),CONCATENATE("R5C",'Mapa final'!$O$34),"")</f>
        <v/>
      </c>
      <c r="AI40" s="70" t="str">
        <f>IF(AND('Mapa final'!$Y$35="Baja",'Mapa final'!$AA$35="Catastrófico"),CONCATENATE("R5C",'Mapa final'!$O$35),"")</f>
        <v/>
      </c>
      <c r="AJ40" s="70" t="str">
        <f>IF(AND('Mapa final'!$Y$36="Baja",'Mapa final'!$AA$36="Catastrófico"),CONCATENATE("R5C",'Mapa final'!$O$36),"")</f>
        <v/>
      </c>
      <c r="AK40" s="70" t="str">
        <f>IF(AND('Mapa final'!$Y$37="Baja",'Mapa final'!$AA$37="Catastrófico"),CONCATENATE("R5C",'Mapa final'!$O$37),"")</f>
        <v/>
      </c>
      <c r="AL40" s="70" t="str">
        <f>IF(AND('Mapa final'!$Y$38="Baja",'Mapa final'!$AA$38="Catastrófico"),CONCATENATE("R5C",'Mapa final'!$O$38),"")</f>
        <v/>
      </c>
      <c r="AM40" s="71" t="str">
        <f>IF(AND('Mapa final'!$Y$39="Baja",'Mapa final'!$AA$39="Catastrófico"),CONCATENATE("R5C",'Mapa final'!$O$39),"")</f>
        <v/>
      </c>
      <c r="AN40" s="97"/>
      <c r="AO40" s="436"/>
      <c r="AP40" s="437"/>
      <c r="AQ40" s="437"/>
      <c r="AR40" s="437"/>
      <c r="AS40" s="437"/>
      <c r="AT40" s="438"/>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row>
    <row r="41" spans="1:80" ht="15" customHeight="1" x14ac:dyDescent="0.25">
      <c r="A41" s="97"/>
      <c r="B41" s="364"/>
      <c r="C41" s="364"/>
      <c r="D41" s="365"/>
      <c r="E41" s="405"/>
      <c r="F41" s="406"/>
      <c r="G41" s="406"/>
      <c r="H41" s="406"/>
      <c r="I41" s="406"/>
      <c r="J41" s="90" t="str">
        <f>IF(AND('Mapa final'!$Y$40="Baja",'Mapa final'!$AA$40="Leve"),CONCATENATE("R6C",'Mapa final'!$O$40),"")</f>
        <v/>
      </c>
      <c r="K41" s="91" t="str">
        <f>IF(AND('Mapa final'!$Y$41="Baja",'Mapa final'!$AA$41="Leve"),CONCATENATE("R6C",'Mapa final'!$O$41),"")</f>
        <v/>
      </c>
      <c r="L41" s="91" t="str">
        <f>IF(AND('Mapa final'!$Y$42="Baja",'Mapa final'!$AA$42="Leve"),CONCATENATE("R6C",'Mapa final'!$O$42),"")</f>
        <v/>
      </c>
      <c r="M41" s="91" t="str">
        <f>IF(AND('Mapa final'!$Y$43="Baja",'Mapa final'!$AA$43="Leve"),CONCATENATE("R6C",'Mapa final'!$O$43),"")</f>
        <v/>
      </c>
      <c r="N41" s="91" t="str">
        <f>IF(AND('Mapa final'!$Y$44="Baja",'Mapa final'!$AA$44="Leve"),CONCATENATE("R6C",'Mapa final'!$O$44),"")</f>
        <v/>
      </c>
      <c r="O41" s="92" t="str">
        <f>IF(AND('Mapa final'!$Y$45="Baja",'Mapa final'!$AA$45="Leve"),CONCATENATE("R6C",'Mapa final'!$O$45),"")</f>
        <v/>
      </c>
      <c r="P41" s="81" t="str">
        <f>IF(AND('Mapa final'!$Y$40="Baja",'Mapa final'!$AA$40="Menor"),CONCATENATE("R6C",'Mapa final'!$O$40),"")</f>
        <v/>
      </c>
      <c r="Q41" s="82" t="str">
        <f>IF(AND('Mapa final'!$Y$41="Baja",'Mapa final'!$AA$41="Menor"),CONCATENATE("R6C",'Mapa final'!$O$41),"")</f>
        <v/>
      </c>
      <c r="R41" s="82" t="str">
        <f>IF(AND('Mapa final'!$Y$42="Baja",'Mapa final'!$AA$42="Menor"),CONCATENATE("R6C",'Mapa final'!$O$42),"")</f>
        <v/>
      </c>
      <c r="S41" s="82" t="str">
        <f>IF(AND('Mapa final'!$Y$43="Baja",'Mapa final'!$AA$43="Menor"),CONCATENATE("R6C",'Mapa final'!$O$43),"")</f>
        <v/>
      </c>
      <c r="T41" s="82" t="str">
        <f>IF(AND('Mapa final'!$Y$44="Baja",'Mapa final'!$AA$44="Menor"),CONCATENATE("R6C",'Mapa final'!$O$44),"")</f>
        <v/>
      </c>
      <c r="U41" s="83" t="str">
        <f>IF(AND('Mapa final'!$Y$45="Baja",'Mapa final'!$AA$45="Menor"),CONCATENATE("R6C",'Mapa final'!$O$45),"")</f>
        <v/>
      </c>
      <c r="V41" s="81" t="str">
        <f>IF(AND('Mapa final'!$Y$40="Baja",'Mapa final'!$AA$40="Moderado"),CONCATENATE("R6C",'Mapa final'!$O$40),"")</f>
        <v/>
      </c>
      <c r="W41" s="82" t="str">
        <f>IF(AND('Mapa final'!$Y$41="Baja",'Mapa final'!$AA$41="Moderado"),CONCATENATE("R6C",'Mapa final'!$O$41),"")</f>
        <v/>
      </c>
      <c r="X41" s="82" t="str">
        <f>IF(AND('Mapa final'!$Y$42="Baja",'Mapa final'!$AA$42="Moderado"),CONCATENATE("R6C",'Mapa final'!$O$42),"")</f>
        <v/>
      </c>
      <c r="Y41" s="82" t="str">
        <f>IF(AND('Mapa final'!$Y$43="Baja",'Mapa final'!$AA$43="Moderado"),CONCATENATE("R6C",'Mapa final'!$O$43),"")</f>
        <v/>
      </c>
      <c r="Z41" s="82" t="str">
        <f>IF(AND('Mapa final'!$Y$44="Baja",'Mapa final'!$AA$44="Moderado"),CONCATENATE("R6C",'Mapa final'!$O$44),"")</f>
        <v/>
      </c>
      <c r="AA41" s="83" t="str">
        <f>IF(AND('Mapa final'!$Y$45="Baja",'Mapa final'!$AA$45="Moderado"),CONCATENATE("R6C",'Mapa final'!$O$45),"")</f>
        <v/>
      </c>
      <c r="AB41" s="66" t="str">
        <f>IF(AND('Mapa final'!$Y$40="Baja",'Mapa final'!$AA$40="Mayor"),CONCATENATE("R6C",'Mapa final'!$O$40),"")</f>
        <v/>
      </c>
      <c r="AC41" s="67" t="str">
        <f>IF(AND('Mapa final'!$Y$41="Baja",'Mapa final'!$AA$41="Mayor"),CONCATENATE("R6C",'Mapa final'!$O$41),"")</f>
        <v/>
      </c>
      <c r="AD41" s="67" t="str">
        <f>IF(AND('Mapa final'!$Y$42="Baja",'Mapa final'!$AA$42="Mayor"),CONCATENATE("R6C",'Mapa final'!$O$42),"")</f>
        <v/>
      </c>
      <c r="AE41" s="67" t="str">
        <f>IF(AND('Mapa final'!$Y$43="Baja",'Mapa final'!$AA$43="Mayor"),CONCATENATE("R6C",'Mapa final'!$O$43),"")</f>
        <v/>
      </c>
      <c r="AF41" s="67" t="str">
        <f>IF(AND('Mapa final'!$Y$44="Baja",'Mapa final'!$AA$44="Mayor"),CONCATENATE("R6C",'Mapa final'!$O$44),"")</f>
        <v/>
      </c>
      <c r="AG41" s="68" t="str">
        <f>IF(AND('Mapa final'!$Y$45="Baja",'Mapa final'!$AA$45="Mayor"),CONCATENATE("R6C",'Mapa final'!$O$45),"")</f>
        <v/>
      </c>
      <c r="AH41" s="69" t="str">
        <f>IF(AND('Mapa final'!$Y$40="Baja",'Mapa final'!$AA$40="Catastrófico"),CONCATENATE("R6C",'Mapa final'!$O$40),"")</f>
        <v/>
      </c>
      <c r="AI41" s="70" t="str">
        <f>IF(AND('Mapa final'!$Y$41="Baja",'Mapa final'!$AA$41="Catastrófico"),CONCATENATE("R6C",'Mapa final'!$O$41),"")</f>
        <v/>
      </c>
      <c r="AJ41" s="70" t="str">
        <f>IF(AND('Mapa final'!$Y$42="Baja",'Mapa final'!$AA$42="Catastrófico"),CONCATENATE("R6C",'Mapa final'!$O$42),"")</f>
        <v/>
      </c>
      <c r="AK41" s="70" t="str">
        <f>IF(AND('Mapa final'!$Y$43="Baja",'Mapa final'!$AA$43="Catastrófico"),CONCATENATE("R6C",'Mapa final'!$O$43),"")</f>
        <v/>
      </c>
      <c r="AL41" s="70" t="str">
        <f>IF(AND('Mapa final'!$Y$44="Baja",'Mapa final'!$AA$44="Catastrófico"),CONCATENATE("R6C",'Mapa final'!$O$44),"")</f>
        <v/>
      </c>
      <c r="AM41" s="71" t="str">
        <f>IF(AND('Mapa final'!$Y$45="Baja",'Mapa final'!$AA$45="Catastrófico"),CONCATENATE("R6C",'Mapa final'!$O$45),"")</f>
        <v/>
      </c>
      <c r="AN41" s="97"/>
      <c r="AO41" s="436"/>
      <c r="AP41" s="437"/>
      <c r="AQ41" s="437"/>
      <c r="AR41" s="437"/>
      <c r="AS41" s="437"/>
      <c r="AT41" s="438"/>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row>
    <row r="42" spans="1:80" ht="15" customHeight="1" x14ac:dyDescent="0.25">
      <c r="A42" s="97"/>
      <c r="B42" s="364"/>
      <c r="C42" s="364"/>
      <c r="D42" s="365"/>
      <c r="E42" s="405"/>
      <c r="F42" s="406"/>
      <c r="G42" s="406"/>
      <c r="H42" s="406"/>
      <c r="I42" s="406"/>
      <c r="J42" s="90" t="str">
        <f>IF(AND('Mapa final'!$Y$46="Baja",'Mapa final'!$AA$46="Leve"),CONCATENATE("R7C",'Mapa final'!$O$46),"")</f>
        <v/>
      </c>
      <c r="K42" s="91" t="str">
        <f>IF(AND('Mapa final'!$Y$47="Baja",'Mapa final'!$AA$47="Leve"),CONCATENATE("R7C",'Mapa final'!$O$47),"")</f>
        <v/>
      </c>
      <c r="L42" s="91" t="str">
        <f>IF(AND('Mapa final'!$Y$48="Baja",'Mapa final'!$AA$48="Leve"),CONCATENATE("R7C",'Mapa final'!$O$48),"")</f>
        <v/>
      </c>
      <c r="M42" s="91" t="str">
        <f>IF(AND('Mapa final'!$Y$49="Baja",'Mapa final'!$AA$49="Leve"),CONCATENATE("R7C",'Mapa final'!$O$49),"")</f>
        <v/>
      </c>
      <c r="N42" s="91" t="str">
        <f>IF(AND('Mapa final'!$Y$50="Baja",'Mapa final'!$AA$50="Leve"),CONCATENATE("R7C",'Mapa final'!$O$50),"")</f>
        <v/>
      </c>
      <c r="O42" s="92" t="str">
        <f>IF(AND('Mapa final'!$Y$51="Baja",'Mapa final'!$AA$51="Leve"),CONCATENATE("R7C",'Mapa final'!$O$51),"")</f>
        <v/>
      </c>
      <c r="P42" s="81" t="str">
        <f>IF(AND('Mapa final'!$Y$46="Baja",'Mapa final'!$AA$46="Menor"),CONCATENATE("R7C",'Mapa final'!$O$46),"")</f>
        <v/>
      </c>
      <c r="Q42" s="82" t="str">
        <f>IF(AND('Mapa final'!$Y$47="Baja",'Mapa final'!$AA$47="Menor"),CONCATENATE("R7C",'Mapa final'!$O$47),"")</f>
        <v/>
      </c>
      <c r="R42" s="82" t="str">
        <f>IF(AND('Mapa final'!$Y$48="Baja",'Mapa final'!$AA$48="Menor"),CONCATENATE("R7C",'Mapa final'!$O$48),"")</f>
        <v/>
      </c>
      <c r="S42" s="82" t="str">
        <f>IF(AND('Mapa final'!$Y$49="Baja",'Mapa final'!$AA$49="Menor"),CONCATENATE("R7C",'Mapa final'!$O$49),"")</f>
        <v/>
      </c>
      <c r="T42" s="82" t="str">
        <f>IF(AND('Mapa final'!$Y$50="Baja",'Mapa final'!$AA$50="Menor"),CONCATENATE("R7C",'Mapa final'!$O$50),"")</f>
        <v/>
      </c>
      <c r="U42" s="83" t="str">
        <f>IF(AND('Mapa final'!$Y$51="Baja",'Mapa final'!$AA$51="Menor"),CONCATENATE("R7C",'Mapa final'!$O$51),"")</f>
        <v/>
      </c>
      <c r="V42" s="81" t="str">
        <f>IF(AND('Mapa final'!$Y$46="Baja",'Mapa final'!$AA$46="Moderado"),CONCATENATE("R7C",'Mapa final'!$O$46),"")</f>
        <v/>
      </c>
      <c r="W42" s="82" t="str">
        <f>IF(AND('Mapa final'!$Y$47="Baja",'Mapa final'!$AA$47="Moderado"),CONCATENATE("R7C",'Mapa final'!$O$47),"")</f>
        <v/>
      </c>
      <c r="X42" s="82" t="str">
        <f>IF(AND('Mapa final'!$Y$48="Baja",'Mapa final'!$AA$48="Moderado"),CONCATENATE("R7C",'Mapa final'!$O$48),"")</f>
        <v/>
      </c>
      <c r="Y42" s="82" t="str">
        <f>IF(AND('Mapa final'!$Y$49="Baja",'Mapa final'!$AA$49="Moderado"),CONCATENATE("R7C",'Mapa final'!$O$49),"")</f>
        <v/>
      </c>
      <c r="Z42" s="82" t="str">
        <f>IF(AND('Mapa final'!$Y$50="Baja",'Mapa final'!$AA$50="Moderado"),CONCATENATE("R7C",'Mapa final'!$O$50),"")</f>
        <v/>
      </c>
      <c r="AA42" s="83" t="str">
        <f>IF(AND('Mapa final'!$Y$51="Baja",'Mapa final'!$AA$51="Moderado"),CONCATENATE("R7C",'Mapa final'!$O$51),"")</f>
        <v/>
      </c>
      <c r="AB42" s="66" t="str">
        <f>IF(AND('Mapa final'!$Y$46="Baja",'Mapa final'!$AA$46="Mayor"),CONCATENATE("R7C",'Mapa final'!$O$46),"")</f>
        <v/>
      </c>
      <c r="AC42" s="67" t="str">
        <f>IF(AND('Mapa final'!$Y$47="Baja",'Mapa final'!$AA$47="Mayor"),CONCATENATE("R7C",'Mapa final'!$O$47),"")</f>
        <v/>
      </c>
      <c r="AD42" s="67" t="str">
        <f>IF(AND('Mapa final'!$Y$48="Baja",'Mapa final'!$AA$48="Mayor"),CONCATENATE("R7C",'Mapa final'!$O$48),"")</f>
        <v/>
      </c>
      <c r="AE42" s="67" t="str">
        <f>IF(AND('Mapa final'!$Y$49="Baja",'Mapa final'!$AA$49="Mayor"),CONCATENATE("R7C",'Mapa final'!$O$49),"")</f>
        <v/>
      </c>
      <c r="AF42" s="67" t="str">
        <f>IF(AND('Mapa final'!$Y$50="Baja",'Mapa final'!$AA$50="Mayor"),CONCATENATE("R7C",'Mapa final'!$O$50),"")</f>
        <v/>
      </c>
      <c r="AG42" s="68" t="str">
        <f>IF(AND('Mapa final'!$Y$51="Baja",'Mapa final'!$AA$51="Mayor"),CONCATENATE("R7C",'Mapa final'!$O$51),"")</f>
        <v/>
      </c>
      <c r="AH42" s="69" t="str">
        <f>IF(AND('Mapa final'!$Y$46="Baja",'Mapa final'!$AA$46="Catastrófico"),CONCATENATE("R7C",'Mapa final'!$O$46),"")</f>
        <v/>
      </c>
      <c r="AI42" s="70" t="str">
        <f>IF(AND('Mapa final'!$Y$47="Baja",'Mapa final'!$AA$47="Catastrófico"),CONCATENATE("R7C",'Mapa final'!$O$47),"")</f>
        <v/>
      </c>
      <c r="AJ42" s="70" t="str">
        <f>IF(AND('Mapa final'!$Y$48="Baja",'Mapa final'!$AA$48="Catastrófico"),CONCATENATE("R7C",'Mapa final'!$O$48),"")</f>
        <v/>
      </c>
      <c r="AK42" s="70" t="str">
        <f>IF(AND('Mapa final'!$Y$49="Baja",'Mapa final'!$AA$49="Catastrófico"),CONCATENATE("R7C",'Mapa final'!$O$49),"")</f>
        <v/>
      </c>
      <c r="AL42" s="70" t="str">
        <f>IF(AND('Mapa final'!$Y$50="Baja",'Mapa final'!$AA$50="Catastrófico"),CONCATENATE("R7C",'Mapa final'!$O$50),"")</f>
        <v/>
      </c>
      <c r="AM42" s="71" t="str">
        <f>IF(AND('Mapa final'!$Y$51="Baja",'Mapa final'!$AA$51="Catastrófico"),CONCATENATE("R7C",'Mapa final'!$O$51),"")</f>
        <v/>
      </c>
      <c r="AN42" s="97"/>
      <c r="AO42" s="436"/>
      <c r="AP42" s="437"/>
      <c r="AQ42" s="437"/>
      <c r="AR42" s="437"/>
      <c r="AS42" s="437"/>
      <c r="AT42" s="438"/>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row>
    <row r="43" spans="1:80" ht="15" customHeight="1" x14ac:dyDescent="0.25">
      <c r="A43" s="97"/>
      <c r="B43" s="364"/>
      <c r="C43" s="364"/>
      <c r="D43" s="365"/>
      <c r="E43" s="405"/>
      <c r="F43" s="406"/>
      <c r="G43" s="406"/>
      <c r="H43" s="406"/>
      <c r="I43" s="406"/>
      <c r="J43" s="90" t="str">
        <f>IF(AND('Mapa final'!$Y$52="Baja",'Mapa final'!$AA$52="Leve"),CONCATENATE("R8C",'Mapa final'!$O$52),"")</f>
        <v/>
      </c>
      <c r="K43" s="91" t="str">
        <f>IF(AND('Mapa final'!$Y$53="Baja",'Mapa final'!$AA$53="Leve"),CONCATENATE("R8C",'Mapa final'!$O$53),"")</f>
        <v/>
      </c>
      <c r="L43" s="91" t="str">
        <f>IF(AND('Mapa final'!$Y$54="Baja",'Mapa final'!$AA$54="Leve"),CONCATENATE("R8C",'Mapa final'!$O$54),"")</f>
        <v/>
      </c>
      <c r="M43" s="91" t="str">
        <f>IF(AND('Mapa final'!$Y$55="Baja",'Mapa final'!$AA$55="Leve"),CONCATENATE("R8C",'Mapa final'!$O$55),"")</f>
        <v/>
      </c>
      <c r="N43" s="91" t="str">
        <f>IF(AND('Mapa final'!$Y$56="Baja",'Mapa final'!$AA$56="Leve"),CONCATENATE("R8C",'Mapa final'!$O$56),"")</f>
        <v/>
      </c>
      <c r="O43" s="92" t="str">
        <f>IF(AND('Mapa final'!$Y$57="Baja",'Mapa final'!$AA$57="Leve"),CONCATENATE("R8C",'Mapa final'!$O$57),"")</f>
        <v/>
      </c>
      <c r="P43" s="81" t="str">
        <f>IF(AND('Mapa final'!$Y$52="Baja",'Mapa final'!$AA$52="Menor"),CONCATENATE("R8C",'Mapa final'!$O$52),"")</f>
        <v/>
      </c>
      <c r="Q43" s="82" t="str">
        <f>IF(AND('Mapa final'!$Y$53="Baja",'Mapa final'!$AA$53="Menor"),CONCATENATE("R8C",'Mapa final'!$O$53),"")</f>
        <v/>
      </c>
      <c r="R43" s="82" t="str">
        <f>IF(AND('Mapa final'!$Y$54="Baja",'Mapa final'!$AA$54="Menor"),CONCATENATE("R8C",'Mapa final'!$O$54),"")</f>
        <v/>
      </c>
      <c r="S43" s="82" t="str">
        <f>IF(AND('Mapa final'!$Y$55="Baja",'Mapa final'!$AA$55="Menor"),CONCATENATE("R8C",'Mapa final'!$O$55),"")</f>
        <v/>
      </c>
      <c r="T43" s="82" t="str">
        <f>IF(AND('Mapa final'!$Y$56="Baja",'Mapa final'!$AA$56="Menor"),CONCATENATE("R8C",'Mapa final'!$O$56),"")</f>
        <v/>
      </c>
      <c r="U43" s="83" t="str">
        <f>IF(AND('Mapa final'!$Y$57="Baja",'Mapa final'!$AA$57="Menor"),CONCATENATE("R8C",'Mapa final'!$O$57),"")</f>
        <v/>
      </c>
      <c r="V43" s="81" t="str">
        <f>IF(AND('Mapa final'!$Y$52="Baja",'Mapa final'!$AA$52="Moderado"),CONCATENATE("R8C",'Mapa final'!$O$52),"")</f>
        <v/>
      </c>
      <c r="W43" s="82" t="str">
        <f>IF(AND('Mapa final'!$Y$53="Baja",'Mapa final'!$AA$53="Moderado"),CONCATENATE("R8C",'Mapa final'!$O$53),"")</f>
        <v/>
      </c>
      <c r="X43" s="82" t="str">
        <f>IF(AND('Mapa final'!$Y$54="Baja",'Mapa final'!$AA$54="Moderado"),CONCATENATE("R8C",'Mapa final'!$O$54),"")</f>
        <v/>
      </c>
      <c r="Y43" s="82" t="str">
        <f>IF(AND('Mapa final'!$Y$55="Baja",'Mapa final'!$AA$55="Moderado"),CONCATENATE("R8C",'Mapa final'!$O$55),"")</f>
        <v/>
      </c>
      <c r="Z43" s="82" t="str">
        <f>IF(AND('Mapa final'!$Y$56="Baja",'Mapa final'!$AA$56="Moderado"),CONCATENATE("R8C",'Mapa final'!$O$56),"")</f>
        <v/>
      </c>
      <c r="AA43" s="83" t="str">
        <f>IF(AND('Mapa final'!$Y$57="Baja",'Mapa final'!$AA$57="Moderado"),CONCATENATE("R8C",'Mapa final'!$O$57),"")</f>
        <v/>
      </c>
      <c r="AB43" s="66" t="str">
        <f>IF(AND('Mapa final'!$Y$52="Baja",'Mapa final'!$AA$52="Mayor"),CONCATENATE("R8C",'Mapa final'!$O$52),"")</f>
        <v/>
      </c>
      <c r="AC43" s="67" t="str">
        <f>IF(AND('Mapa final'!$Y$53="Baja",'Mapa final'!$AA$53="Mayor"),CONCATENATE("R8C",'Mapa final'!$O$53),"")</f>
        <v/>
      </c>
      <c r="AD43" s="67" t="str">
        <f>IF(AND('Mapa final'!$Y$54="Baja",'Mapa final'!$AA$54="Mayor"),CONCATENATE("R8C",'Mapa final'!$O$54),"")</f>
        <v/>
      </c>
      <c r="AE43" s="67" t="str">
        <f>IF(AND('Mapa final'!$Y$55="Baja",'Mapa final'!$AA$55="Mayor"),CONCATENATE("R8C",'Mapa final'!$O$55),"")</f>
        <v/>
      </c>
      <c r="AF43" s="67" t="str">
        <f>IF(AND('Mapa final'!$Y$56="Baja",'Mapa final'!$AA$56="Mayor"),CONCATENATE("R8C",'Mapa final'!$O$56),"")</f>
        <v/>
      </c>
      <c r="AG43" s="68" t="str">
        <f>IF(AND('Mapa final'!$Y$57="Baja",'Mapa final'!$AA$57="Mayor"),CONCATENATE("R8C",'Mapa final'!$O$57),"")</f>
        <v/>
      </c>
      <c r="AH43" s="69" t="str">
        <f>IF(AND('Mapa final'!$Y$52="Baja",'Mapa final'!$AA$52="Catastrófico"),CONCATENATE("R8C",'Mapa final'!$O$52),"")</f>
        <v/>
      </c>
      <c r="AI43" s="70" t="str">
        <f>IF(AND('Mapa final'!$Y$53="Baja",'Mapa final'!$AA$53="Catastrófico"),CONCATENATE("R8C",'Mapa final'!$O$53),"")</f>
        <v/>
      </c>
      <c r="AJ43" s="70" t="str">
        <f>IF(AND('Mapa final'!$Y$54="Baja",'Mapa final'!$AA$54="Catastrófico"),CONCATENATE("R8C",'Mapa final'!$O$54),"")</f>
        <v/>
      </c>
      <c r="AK43" s="70" t="str">
        <f>IF(AND('Mapa final'!$Y$55="Baja",'Mapa final'!$AA$55="Catastrófico"),CONCATENATE("R8C",'Mapa final'!$O$55),"")</f>
        <v/>
      </c>
      <c r="AL43" s="70" t="str">
        <f>IF(AND('Mapa final'!$Y$56="Baja",'Mapa final'!$AA$56="Catastrófico"),CONCATENATE("R8C",'Mapa final'!$O$56),"")</f>
        <v/>
      </c>
      <c r="AM43" s="71" t="str">
        <f>IF(AND('Mapa final'!$Y$57="Baja",'Mapa final'!$AA$57="Catastrófico"),CONCATENATE("R8C",'Mapa final'!$O$57),"")</f>
        <v/>
      </c>
      <c r="AN43" s="97"/>
      <c r="AO43" s="436"/>
      <c r="AP43" s="437"/>
      <c r="AQ43" s="437"/>
      <c r="AR43" s="437"/>
      <c r="AS43" s="437"/>
      <c r="AT43" s="438"/>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row>
    <row r="44" spans="1:80" ht="15" customHeight="1" x14ac:dyDescent="0.25">
      <c r="A44" s="97"/>
      <c r="B44" s="364"/>
      <c r="C44" s="364"/>
      <c r="D44" s="365"/>
      <c r="E44" s="405"/>
      <c r="F44" s="406"/>
      <c r="G44" s="406"/>
      <c r="H44" s="406"/>
      <c r="I44" s="406"/>
      <c r="J44" s="90" t="str">
        <f>IF(AND('Mapa final'!$Y$58="Baja",'Mapa final'!$AA$58="Leve"),CONCATENATE("R9C",'Mapa final'!$O$58),"")</f>
        <v/>
      </c>
      <c r="K44" s="91" t="str">
        <f>IF(AND('Mapa final'!$Y$59="Baja",'Mapa final'!$AA$59="Leve"),CONCATENATE("R9C",'Mapa final'!$O$59),"")</f>
        <v/>
      </c>
      <c r="L44" s="91" t="str">
        <f>IF(AND('Mapa final'!$Y$60="Baja",'Mapa final'!$AA$60="Leve"),CONCATENATE("R9C",'Mapa final'!$O$60),"")</f>
        <v/>
      </c>
      <c r="M44" s="91" t="str">
        <f>IF(AND('Mapa final'!$Y$61="Baja",'Mapa final'!$AA$61="Leve"),CONCATENATE("R9C",'Mapa final'!$O$61),"")</f>
        <v/>
      </c>
      <c r="N44" s="91" t="str">
        <f>IF(AND('Mapa final'!$Y$62="Baja",'Mapa final'!$AA$62="Leve"),CONCATENATE("R9C",'Mapa final'!$O$62),"")</f>
        <v/>
      </c>
      <c r="O44" s="92" t="str">
        <f>IF(AND('Mapa final'!$Y$63="Baja",'Mapa final'!$AA$63="Leve"),CONCATENATE("R9C",'Mapa final'!$O$63),"")</f>
        <v/>
      </c>
      <c r="P44" s="81" t="str">
        <f>IF(AND('Mapa final'!$Y$58="Baja",'Mapa final'!$AA$58="Menor"),CONCATENATE("R9C",'Mapa final'!$O$58),"")</f>
        <v/>
      </c>
      <c r="Q44" s="82" t="str">
        <f>IF(AND('Mapa final'!$Y$59="Baja",'Mapa final'!$AA$59="Menor"),CONCATENATE("R9C",'Mapa final'!$O$59),"")</f>
        <v/>
      </c>
      <c r="R44" s="82" t="str">
        <f>IF(AND('Mapa final'!$Y$60="Baja",'Mapa final'!$AA$60="Menor"),CONCATENATE("R9C",'Mapa final'!$O$60),"")</f>
        <v/>
      </c>
      <c r="S44" s="82" t="str">
        <f>IF(AND('Mapa final'!$Y$61="Baja",'Mapa final'!$AA$61="Menor"),CONCATENATE("R9C",'Mapa final'!$O$61),"")</f>
        <v/>
      </c>
      <c r="T44" s="82" t="str">
        <f>IF(AND('Mapa final'!$Y$62="Baja",'Mapa final'!$AA$62="Menor"),CONCATENATE("R9C",'Mapa final'!$O$62),"")</f>
        <v/>
      </c>
      <c r="U44" s="83" t="str">
        <f>IF(AND('Mapa final'!$Y$63="Baja",'Mapa final'!$AA$63="Menor"),CONCATENATE("R9C",'Mapa final'!$O$63),"")</f>
        <v/>
      </c>
      <c r="V44" s="81" t="str">
        <f>IF(AND('Mapa final'!$Y$58="Baja",'Mapa final'!$AA$58="Moderado"),CONCATENATE("R9C",'Mapa final'!$O$58),"")</f>
        <v/>
      </c>
      <c r="W44" s="82" t="str">
        <f>IF(AND('Mapa final'!$Y$59="Baja",'Mapa final'!$AA$59="Moderado"),CONCATENATE("R9C",'Mapa final'!$O$59),"")</f>
        <v/>
      </c>
      <c r="X44" s="82" t="str">
        <f>IF(AND('Mapa final'!$Y$60="Baja",'Mapa final'!$AA$60="Moderado"),CONCATENATE("R9C",'Mapa final'!$O$60),"")</f>
        <v/>
      </c>
      <c r="Y44" s="82" t="str">
        <f>IF(AND('Mapa final'!$Y$61="Baja",'Mapa final'!$AA$61="Moderado"),CONCATENATE("R9C",'Mapa final'!$O$61),"")</f>
        <v/>
      </c>
      <c r="Z44" s="82" t="str">
        <f>IF(AND('Mapa final'!$Y$62="Baja",'Mapa final'!$AA$62="Moderado"),CONCATENATE("R9C",'Mapa final'!$O$62),"")</f>
        <v/>
      </c>
      <c r="AA44" s="83" t="str">
        <f>IF(AND('Mapa final'!$Y$63="Baja",'Mapa final'!$AA$63="Moderado"),CONCATENATE("R9C",'Mapa final'!$O$63),"")</f>
        <v/>
      </c>
      <c r="AB44" s="66" t="str">
        <f>IF(AND('Mapa final'!$Y$58="Baja",'Mapa final'!$AA$58="Mayor"),CONCATENATE("R9C",'Mapa final'!$O$58),"")</f>
        <v/>
      </c>
      <c r="AC44" s="67" t="str">
        <f>IF(AND('Mapa final'!$Y$59="Baja",'Mapa final'!$AA$59="Mayor"),CONCATENATE("R9C",'Mapa final'!$O$59),"")</f>
        <v/>
      </c>
      <c r="AD44" s="67" t="str">
        <f>IF(AND('Mapa final'!$Y$60="Baja",'Mapa final'!$AA$60="Mayor"),CONCATENATE("R9C",'Mapa final'!$O$60),"")</f>
        <v/>
      </c>
      <c r="AE44" s="67" t="str">
        <f>IF(AND('Mapa final'!$Y$61="Baja",'Mapa final'!$AA$61="Mayor"),CONCATENATE("R9C",'Mapa final'!$O$61),"")</f>
        <v/>
      </c>
      <c r="AF44" s="67" t="str">
        <f>IF(AND('Mapa final'!$Y$62="Baja",'Mapa final'!$AA$62="Mayor"),CONCATENATE("R9C",'Mapa final'!$O$62),"")</f>
        <v/>
      </c>
      <c r="AG44" s="68" t="str">
        <f>IF(AND('Mapa final'!$Y$63="Baja",'Mapa final'!$AA$63="Mayor"),CONCATENATE("R9C",'Mapa final'!$O$63),"")</f>
        <v/>
      </c>
      <c r="AH44" s="69" t="str">
        <f>IF(AND('Mapa final'!$Y$58="Baja",'Mapa final'!$AA$58="Catastrófico"),CONCATENATE("R9C",'Mapa final'!$O$58),"")</f>
        <v/>
      </c>
      <c r="AI44" s="70" t="str">
        <f>IF(AND('Mapa final'!$Y$59="Baja",'Mapa final'!$AA$59="Catastrófico"),CONCATENATE("R9C",'Mapa final'!$O$59),"")</f>
        <v/>
      </c>
      <c r="AJ44" s="70" t="str">
        <f>IF(AND('Mapa final'!$Y$60="Baja",'Mapa final'!$AA$60="Catastrófico"),CONCATENATE("R9C",'Mapa final'!$O$60),"")</f>
        <v/>
      </c>
      <c r="AK44" s="70" t="str">
        <f>IF(AND('Mapa final'!$Y$61="Baja",'Mapa final'!$AA$61="Catastrófico"),CONCATENATE("R9C",'Mapa final'!$O$61),"")</f>
        <v/>
      </c>
      <c r="AL44" s="70" t="str">
        <f>IF(AND('Mapa final'!$Y$62="Baja",'Mapa final'!$AA$62="Catastrófico"),CONCATENATE("R9C",'Mapa final'!$O$62),"")</f>
        <v/>
      </c>
      <c r="AM44" s="71" t="str">
        <f>IF(AND('Mapa final'!$Y$63="Baja",'Mapa final'!$AA$63="Catastrófico"),CONCATENATE("R9C",'Mapa final'!$O$63),"")</f>
        <v/>
      </c>
      <c r="AN44" s="97"/>
      <c r="AO44" s="436"/>
      <c r="AP44" s="437"/>
      <c r="AQ44" s="437"/>
      <c r="AR44" s="437"/>
      <c r="AS44" s="437"/>
      <c r="AT44" s="438"/>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row>
    <row r="45" spans="1:80" ht="15.75" customHeight="1" thickBot="1" x14ac:dyDescent="0.3">
      <c r="A45" s="97"/>
      <c r="B45" s="364"/>
      <c r="C45" s="364"/>
      <c r="D45" s="365"/>
      <c r="E45" s="408"/>
      <c r="F45" s="409"/>
      <c r="G45" s="409"/>
      <c r="H45" s="409"/>
      <c r="I45" s="409"/>
      <c r="J45" s="93" t="str">
        <f>IF(AND('Mapa final'!$Y$64="Baja",'Mapa final'!$AA$64="Leve"),CONCATENATE("R10C",'Mapa final'!$O$64),"")</f>
        <v/>
      </c>
      <c r="K45" s="94" t="str">
        <f>IF(AND('Mapa final'!$Y$65="Baja",'Mapa final'!$AA$65="Leve"),CONCATENATE("R10C",'Mapa final'!$O$65),"")</f>
        <v/>
      </c>
      <c r="L45" s="94" t="str">
        <f>IF(AND('Mapa final'!$Y$66="Baja",'Mapa final'!$AA$66="Leve"),CONCATENATE("R10C",'Mapa final'!$O$66),"")</f>
        <v/>
      </c>
      <c r="M45" s="94" t="str">
        <f>IF(AND('Mapa final'!$Y$67="Baja",'Mapa final'!$AA$67="Leve"),CONCATENATE("R10C",'Mapa final'!$O$67),"")</f>
        <v/>
      </c>
      <c r="N45" s="94" t="str">
        <f>IF(AND('Mapa final'!$Y$68="Baja",'Mapa final'!$AA$68="Leve"),CONCATENATE("R10C",'Mapa final'!$O$68),"")</f>
        <v/>
      </c>
      <c r="O45" s="95" t="str">
        <f>IF(AND('Mapa final'!$Y$69="Baja",'Mapa final'!$AA$69="Leve"),CONCATENATE("R10C",'Mapa final'!$O$69),"")</f>
        <v/>
      </c>
      <c r="P45" s="81" t="str">
        <f>IF(AND('Mapa final'!$Y$64="Baja",'Mapa final'!$AA$64="Menor"),CONCATENATE("R10C",'Mapa final'!$O$64),"")</f>
        <v/>
      </c>
      <c r="Q45" s="82" t="str">
        <f>IF(AND('Mapa final'!$Y$65="Baja",'Mapa final'!$AA$65="Menor"),CONCATENATE("R10C",'Mapa final'!$O$65),"")</f>
        <v/>
      </c>
      <c r="R45" s="82" t="str">
        <f>IF(AND('Mapa final'!$Y$66="Baja",'Mapa final'!$AA$66="Menor"),CONCATENATE("R10C",'Mapa final'!$O$66),"")</f>
        <v/>
      </c>
      <c r="S45" s="82" t="str">
        <f>IF(AND('Mapa final'!$Y$67="Baja",'Mapa final'!$AA$67="Menor"),CONCATENATE("R10C",'Mapa final'!$O$67),"")</f>
        <v/>
      </c>
      <c r="T45" s="82" t="str">
        <f>IF(AND('Mapa final'!$Y$68="Baja",'Mapa final'!$AA$68="Menor"),CONCATENATE("R10C",'Mapa final'!$O$68),"")</f>
        <v/>
      </c>
      <c r="U45" s="83" t="str">
        <f>IF(AND('Mapa final'!$Y$69="Baja",'Mapa final'!$AA$69="Menor"),CONCATENATE("R10C",'Mapa final'!$O$69),"")</f>
        <v/>
      </c>
      <c r="V45" s="84" t="str">
        <f>IF(AND('Mapa final'!$Y$64="Baja",'Mapa final'!$AA$64="Moderado"),CONCATENATE("R10C",'Mapa final'!$O$64),"")</f>
        <v/>
      </c>
      <c r="W45" s="85" t="str">
        <f>IF(AND('Mapa final'!$Y$65="Baja",'Mapa final'!$AA$65="Moderado"),CONCATENATE("R10C",'Mapa final'!$O$65),"")</f>
        <v/>
      </c>
      <c r="X45" s="85" t="str">
        <f>IF(AND('Mapa final'!$Y$66="Baja",'Mapa final'!$AA$66="Moderado"),CONCATENATE("R10C",'Mapa final'!$O$66),"")</f>
        <v/>
      </c>
      <c r="Y45" s="85" t="str">
        <f>IF(AND('Mapa final'!$Y$67="Baja",'Mapa final'!$AA$67="Moderado"),CONCATENATE("R10C",'Mapa final'!$O$67),"")</f>
        <v/>
      </c>
      <c r="Z45" s="85" t="str">
        <f>IF(AND('Mapa final'!$Y$68="Baja",'Mapa final'!$AA$68="Moderado"),CONCATENATE("R10C",'Mapa final'!$O$68),"")</f>
        <v/>
      </c>
      <c r="AA45" s="86" t="str">
        <f>IF(AND('Mapa final'!$Y$69="Baja",'Mapa final'!$AA$69="Moderado"),CONCATENATE("R10C",'Mapa final'!$O$69),"")</f>
        <v/>
      </c>
      <c r="AB45" s="72" t="str">
        <f>IF(AND('Mapa final'!$Y$64="Baja",'Mapa final'!$AA$64="Mayor"),CONCATENATE("R10C",'Mapa final'!$O$64),"")</f>
        <v/>
      </c>
      <c r="AC45" s="73" t="str">
        <f>IF(AND('Mapa final'!$Y$65="Baja",'Mapa final'!$AA$65="Mayor"),CONCATENATE("R10C",'Mapa final'!$O$65),"")</f>
        <v/>
      </c>
      <c r="AD45" s="73" t="str">
        <f>IF(AND('Mapa final'!$Y$66="Baja",'Mapa final'!$AA$66="Mayor"),CONCATENATE("R10C",'Mapa final'!$O$66),"")</f>
        <v/>
      </c>
      <c r="AE45" s="73" t="str">
        <f>IF(AND('Mapa final'!$Y$67="Baja",'Mapa final'!$AA$67="Mayor"),CONCATENATE("R10C",'Mapa final'!$O$67),"")</f>
        <v/>
      </c>
      <c r="AF45" s="73" t="str">
        <f>IF(AND('Mapa final'!$Y$68="Baja",'Mapa final'!$AA$68="Mayor"),CONCATENATE("R10C",'Mapa final'!$O$68),"")</f>
        <v/>
      </c>
      <c r="AG45" s="74" t="str">
        <f>IF(AND('Mapa final'!$Y$69="Baja",'Mapa final'!$AA$69="Mayor"),CONCATENATE("R10C",'Mapa final'!$O$69),"")</f>
        <v/>
      </c>
      <c r="AH45" s="75" t="str">
        <f>IF(AND('Mapa final'!$Y$64="Baja",'Mapa final'!$AA$64="Catastrófico"),CONCATENATE("R10C",'Mapa final'!$O$64),"")</f>
        <v/>
      </c>
      <c r="AI45" s="76" t="str">
        <f>IF(AND('Mapa final'!$Y$65="Baja",'Mapa final'!$AA$65="Catastrófico"),CONCATENATE("R10C",'Mapa final'!$O$65),"")</f>
        <v/>
      </c>
      <c r="AJ45" s="76" t="str">
        <f>IF(AND('Mapa final'!$Y$66="Baja",'Mapa final'!$AA$66="Catastrófico"),CONCATENATE("R10C",'Mapa final'!$O$66),"")</f>
        <v/>
      </c>
      <c r="AK45" s="76" t="str">
        <f>IF(AND('Mapa final'!$Y$67="Baja",'Mapa final'!$AA$67="Catastrófico"),CONCATENATE("R10C",'Mapa final'!$O$67),"")</f>
        <v/>
      </c>
      <c r="AL45" s="76" t="str">
        <f>IF(AND('Mapa final'!$Y$68="Baja",'Mapa final'!$AA$68="Catastrófico"),CONCATENATE("R10C",'Mapa final'!$O$68),"")</f>
        <v/>
      </c>
      <c r="AM45" s="77" t="str">
        <f>IF(AND('Mapa final'!$Y$69="Baja",'Mapa final'!$AA$69="Catastrófico"),CONCATENATE("R10C",'Mapa final'!$O$69),"")</f>
        <v/>
      </c>
      <c r="AN45" s="97"/>
      <c r="AO45" s="439"/>
      <c r="AP45" s="440"/>
      <c r="AQ45" s="440"/>
      <c r="AR45" s="440"/>
      <c r="AS45" s="440"/>
      <c r="AT45" s="441"/>
    </row>
    <row r="46" spans="1:80" ht="46.5" customHeight="1" x14ac:dyDescent="0.35">
      <c r="A46" s="97"/>
      <c r="B46" s="364"/>
      <c r="C46" s="364"/>
      <c r="D46" s="365"/>
      <c r="E46" s="402" t="s">
        <v>191</v>
      </c>
      <c r="F46" s="403"/>
      <c r="G46" s="403"/>
      <c r="H46" s="403"/>
      <c r="I46" s="404"/>
      <c r="J46" s="87" t="str">
        <f>IF(AND('Mapa final'!$Y$10="Muy Baja",'Mapa final'!$AA$10="Leve"),CONCATENATE("R1C",'Mapa final'!$O$10),"")</f>
        <v/>
      </c>
      <c r="K46" s="88" t="str">
        <f>IF(AND('Mapa final'!$Y$11="Muy Baja",'Mapa final'!$AA$11="Leve"),CONCATENATE("R1C",'Mapa final'!$O$11),"")</f>
        <v/>
      </c>
      <c r="L46" s="88" t="str">
        <f>IF(AND('Mapa final'!$Y$12="Muy Baja",'Mapa final'!$AA$12="Leve"),CONCATENATE("R1C",'Mapa final'!$O$12),"")</f>
        <v/>
      </c>
      <c r="M46" s="88" t="str">
        <f>IF(AND('Mapa final'!$Y$13="Muy Baja",'Mapa final'!$AA$13="Leve"),CONCATENATE("R1C",'Mapa final'!$O$13),"")</f>
        <v/>
      </c>
      <c r="N46" s="88" t="str">
        <f>IF(AND('Mapa final'!$Y$14="Muy Baja",'Mapa final'!$AA$14="Leve"),CONCATENATE("R1C",'Mapa final'!$O$14),"")</f>
        <v/>
      </c>
      <c r="O46" s="89" t="str">
        <f>IF(AND('Mapa final'!$Y$15="Muy Baja",'Mapa final'!$AA$15="Leve"),CONCATENATE("R1C",'Mapa final'!$O$15),"")</f>
        <v/>
      </c>
      <c r="P46" s="87" t="str">
        <f>IF(AND('Mapa final'!$Y$10="Muy Baja",'Mapa final'!$AA$10="Menor"),CONCATENATE("R1C",'Mapa final'!$O$10),"")</f>
        <v/>
      </c>
      <c r="Q46" s="88" t="str">
        <f>IF(AND('Mapa final'!$Y$11="Muy Baja",'Mapa final'!$AA$11="Menor"),CONCATENATE("R1C",'Mapa final'!$O$11),"")</f>
        <v/>
      </c>
      <c r="R46" s="88" t="str">
        <f>IF(AND('Mapa final'!$Y$12="Muy Baja",'Mapa final'!$AA$12="Menor"),CONCATENATE("R1C",'Mapa final'!$O$12),"")</f>
        <v/>
      </c>
      <c r="S46" s="88" t="str">
        <f>IF(AND('Mapa final'!$Y$13="Muy Baja",'Mapa final'!$AA$13="Menor"),CONCATENATE("R1C",'Mapa final'!$O$13),"")</f>
        <v/>
      </c>
      <c r="T46" s="88" t="str">
        <f>IF(AND('Mapa final'!$Y$14="Muy Baja",'Mapa final'!$AA$14="Menor"),CONCATENATE("R1C",'Mapa final'!$O$14),"")</f>
        <v/>
      </c>
      <c r="U46" s="89" t="str">
        <f>IF(AND('Mapa final'!$Y$15="Muy Baja",'Mapa final'!$AA$15="Menor"),CONCATENATE("R1C",'Mapa final'!$O$15),"")</f>
        <v/>
      </c>
      <c r="V46" s="78" t="str">
        <f>IF(AND('Mapa final'!$Y$10="Muy Baja",'Mapa final'!$AA$10="Moderado"),CONCATENATE("R1C",'Mapa final'!$O$10),"")</f>
        <v/>
      </c>
      <c r="W46" s="96" t="str">
        <f>IF(AND('Mapa final'!$Y$11="Muy Baja",'Mapa final'!$AA$11="Moderado"),CONCATENATE("R1C",'Mapa final'!$O$11),"")</f>
        <v>R1C2</v>
      </c>
      <c r="X46" s="79" t="str">
        <f>IF(AND('Mapa final'!$Y$12="Muy Baja",'Mapa final'!$AA$12="Moderado"),CONCATENATE("R1C",'Mapa final'!$O$12),"")</f>
        <v>R1C3</v>
      </c>
      <c r="Y46" s="79" t="str">
        <f>IF(AND('Mapa final'!$Y$13="Muy Baja",'Mapa final'!$AA$13="Moderado"),CONCATENATE("R1C",'Mapa final'!$O$13),"")</f>
        <v/>
      </c>
      <c r="Z46" s="79" t="str">
        <f>IF(AND('Mapa final'!$Y$14="Muy Baja",'Mapa final'!$AA$14="Moderado"),CONCATENATE("R1C",'Mapa final'!$O$14),"")</f>
        <v/>
      </c>
      <c r="AA46" s="80" t="str">
        <f>IF(AND('Mapa final'!$Y$15="Muy Baja",'Mapa final'!$AA$15="Moderado"),CONCATENATE("R1C",'Mapa final'!$O$15),"")</f>
        <v/>
      </c>
      <c r="AB46" s="60" t="str">
        <f>IF(AND('Mapa final'!$Y$10="Muy Baja",'Mapa final'!$AA$10="Mayor"),CONCATENATE("R1C",'Mapa final'!$O$10),"")</f>
        <v/>
      </c>
      <c r="AC46" s="61" t="str">
        <f>IF(AND('Mapa final'!$Y$11="Muy Baja",'Mapa final'!$AA$11="Mayor"),CONCATENATE("R1C",'Mapa final'!$O$11),"")</f>
        <v/>
      </c>
      <c r="AD46" s="61" t="str">
        <f>IF(AND('Mapa final'!$Y$12="Muy Baja",'Mapa final'!$AA$12="Mayor"),CONCATENATE("R1C",'Mapa final'!$O$12),"")</f>
        <v/>
      </c>
      <c r="AE46" s="61" t="str">
        <f>IF(AND('Mapa final'!$Y$13="Muy Baja",'Mapa final'!$AA$13="Mayor"),CONCATENATE("R1C",'Mapa final'!$O$13),"")</f>
        <v/>
      </c>
      <c r="AF46" s="61" t="str">
        <f>IF(AND('Mapa final'!$Y$14="Muy Baja",'Mapa final'!$AA$14="Mayor"),CONCATENATE("R1C",'Mapa final'!$O$14),"")</f>
        <v/>
      </c>
      <c r="AG46" s="62" t="str">
        <f>IF(AND('Mapa final'!$Y$15="Muy Baja",'Mapa final'!$AA$15="Mayor"),CONCATENATE("R1C",'Mapa final'!$O$15),"")</f>
        <v/>
      </c>
      <c r="AH46" s="63" t="str">
        <f>IF(AND('Mapa final'!$Y$10="Muy Baja",'Mapa final'!$AA$10="Catastrófico"),CONCATENATE("R1C",'Mapa final'!$O$10),"")</f>
        <v/>
      </c>
      <c r="AI46" s="64" t="str">
        <f>IF(AND('Mapa final'!$Y$11="Muy Baja",'Mapa final'!$AA$11="Catastrófico"),CONCATENATE("R1C",'Mapa final'!$O$11),"")</f>
        <v/>
      </c>
      <c r="AJ46" s="64" t="str">
        <f>IF(AND('Mapa final'!$Y$12="Muy Baja",'Mapa final'!$AA$12="Catastrófico"),CONCATENATE("R1C",'Mapa final'!$O$12),"")</f>
        <v/>
      </c>
      <c r="AK46" s="64" t="str">
        <f>IF(AND('Mapa final'!$Y$13="Muy Baja",'Mapa final'!$AA$13="Catastrófico"),CONCATENATE("R1C",'Mapa final'!$O$13),"")</f>
        <v/>
      </c>
      <c r="AL46" s="64" t="str">
        <f>IF(AND('Mapa final'!$Y$14="Muy Baja",'Mapa final'!$AA$14="Catastrófico"),CONCATENATE("R1C",'Mapa final'!$O$14),"")</f>
        <v/>
      </c>
      <c r="AM46" s="65" t="str">
        <f>IF(AND('Mapa final'!$Y$15="Muy Baja",'Mapa final'!$AA$15="Catastrófico"),CONCATENATE("R1C",'Mapa final'!$O$15),"")</f>
        <v/>
      </c>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row>
    <row r="47" spans="1:80" ht="46.5" customHeight="1" x14ac:dyDescent="0.25">
      <c r="A47" s="97"/>
      <c r="B47" s="364"/>
      <c r="C47" s="364"/>
      <c r="D47" s="365"/>
      <c r="E47" s="421"/>
      <c r="F47" s="406"/>
      <c r="G47" s="406"/>
      <c r="H47" s="406"/>
      <c r="I47" s="407"/>
      <c r="J47" s="90" t="str">
        <f>IF(AND('Mapa final'!$Y$16="Muy Baja",'Mapa final'!$AA$16="Leve"),CONCATENATE("R2C",'Mapa final'!$O$16),"")</f>
        <v/>
      </c>
      <c r="K47" s="91" t="str">
        <f>IF(AND('Mapa final'!$Y$17="Muy Baja",'Mapa final'!$AA$17="Leve"),CONCATENATE("R2C",'Mapa final'!$O$17),"")</f>
        <v/>
      </c>
      <c r="L47" s="91" t="str">
        <f>IF(AND('Mapa final'!$Y$18="Muy Baja",'Mapa final'!$AA$18="Leve"),CONCATENATE("R2C",'Mapa final'!$O$18),"")</f>
        <v/>
      </c>
      <c r="M47" s="91" t="str">
        <f>IF(AND('Mapa final'!$Y$19="Muy Baja",'Mapa final'!$AA$19="Leve"),CONCATENATE("R2C",'Mapa final'!$O$19),"")</f>
        <v/>
      </c>
      <c r="N47" s="91" t="str">
        <f>IF(AND('Mapa final'!$Y$20="Muy Baja",'Mapa final'!$AA$20="Leve"),CONCATENATE("R2C",'Mapa final'!$O$20),"")</f>
        <v/>
      </c>
      <c r="O47" s="92" t="str">
        <f>IF(AND('Mapa final'!$Y$21="Muy Baja",'Mapa final'!$AA$21="Leve"),CONCATENATE("R2C",'Mapa final'!$O$21),"")</f>
        <v/>
      </c>
      <c r="P47" s="90" t="str">
        <f>IF(AND('Mapa final'!$Y$16="Muy Baja",'Mapa final'!$AA$16="Menor"),CONCATENATE("R2C",'Mapa final'!$O$16),"")</f>
        <v/>
      </c>
      <c r="Q47" s="91" t="str">
        <f>IF(AND('Mapa final'!$Y$17="Muy Baja",'Mapa final'!$AA$17="Menor"),CONCATENATE("R2C",'Mapa final'!$O$17),"")</f>
        <v/>
      </c>
      <c r="R47" s="91" t="str">
        <f>IF(AND('Mapa final'!$Y$18="Muy Baja",'Mapa final'!$AA$18="Menor"),CONCATENATE("R2C",'Mapa final'!$O$18),"")</f>
        <v/>
      </c>
      <c r="S47" s="91" t="str">
        <f>IF(AND('Mapa final'!$Y$19="Muy Baja",'Mapa final'!$AA$19="Menor"),CONCATENATE("R2C",'Mapa final'!$O$19),"")</f>
        <v/>
      </c>
      <c r="T47" s="91" t="str">
        <f>IF(AND('Mapa final'!$Y$20="Muy Baja",'Mapa final'!$AA$20="Menor"),CONCATENATE("R2C",'Mapa final'!$O$20),"")</f>
        <v/>
      </c>
      <c r="U47" s="92" t="str">
        <f>IF(AND('Mapa final'!$Y$21="Muy Baja",'Mapa final'!$AA$21="Menor"),CONCATENATE("R2C",'Mapa final'!$O$21),"")</f>
        <v/>
      </c>
      <c r="V47" s="81" t="str">
        <f>IF(AND('Mapa final'!$Y$16="Muy Baja",'Mapa final'!$AA$16="Moderado"),CONCATENATE("R2C",'Mapa final'!$O$16),"")</f>
        <v/>
      </c>
      <c r="W47" s="82" t="str">
        <f>IF(AND('Mapa final'!$Y$17="Muy Baja",'Mapa final'!$AA$17="Moderado"),CONCATENATE("R2C",'Mapa final'!$O$17),"")</f>
        <v>R2C2</v>
      </c>
      <c r="X47" s="82" t="str">
        <f>IF(AND('Mapa final'!$Y$18="Muy Baja",'Mapa final'!$AA$18="Moderado"),CONCATENATE("R2C",'Mapa final'!$O$18),"")</f>
        <v>R2C3</v>
      </c>
      <c r="Y47" s="82" t="str">
        <f>IF(AND('Mapa final'!$Y$19="Muy Baja",'Mapa final'!$AA$19="Moderado"),CONCATENATE("R2C",'Mapa final'!$O$19),"")</f>
        <v/>
      </c>
      <c r="Z47" s="82" t="str">
        <f>IF(AND('Mapa final'!$Y$20="Muy Baja",'Mapa final'!$AA$20="Moderado"),CONCATENATE("R2C",'Mapa final'!$O$20),"")</f>
        <v/>
      </c>
      <c r="AA47" s="83" t="str">
        <f>IF(AND('Mapa final'!$Y$21="Muy Baja",'Mapa final'!$AA$21="Moderado"),CONCATENATE("R2C",'Mapa final'!$O$21),"")</f>
        <v/>
      </c>
      <c r="AB47" s="66" t="str">
        <f>IF(AND('Mapa final'!$Y$16="Muy Baja",'Mapa final'!$AA$16="Mayor"),CONCATENATE("R2C",'Mapa final'!$O$16),"")</f>
        <v/>
      </c>
      <c r="AC47" s="67" t="str">
        <f>IF(AND('Mapa final'!$Y$17="Muy Baja",'Mapa final'!$AA$17="Mayor"),CONCATENATE("R2C",'Mapa final'!$O$17),"")</f>
        <v/>
      </c>
      <c r="AD47" s="67" t="str">
        <f>IF(AND('Mapa final'!$Y$18="Muy Baja",'Mapa final'!$AA$18="Mayor"),CONCATENATE("R2C",'Mapa final'!$O$18),"")</f>
        <v/>
      </c>
      <c r="AE47" s="67" t="str">
        <f>IF(AND('Mapa final'!$Y$19="Muy Baja",'Mapa final'!$AA$19="Mayor"),CONCATENATE("R2C",'Mapa final'!$O$19),"")</f>
        <v/>
      </c>
      <c r="AF47" s="67" t="str">
        <f>IF(AND('Mapa final'!$Y$20="Muy Baja",'Mapa final'!$AA$20="Mayor"),CONCATENATE("R2C",'Mapa final'!$O$20),"")</f>
        <v/>
      </c>
      <c r="AG47" s="68" t="str">
        <f>IF(AND('Mapa final'!$Y$21="Muy Baja",'Mapa final'!$AA$21="Mayor"),CONCATENATE("R2C",'Mapa final'!$O$21),"")</f>
        <v/>
      </c>
      <c r="AH47" s="69" t="str">
        <f>IF(AND('Mapa final'!$Y$16="Muy Baja",'Mapa final'!$AA$16="Catastrófico"),CONCATENATE("R2C",'Mapa final'!$O$16),"")</f>
        <v/>
      </c>
      <c r="AI47" s="70" t="str">
        <f>IF(AND('Mapa final'!$Y$17="Muy Baja",'Mapa final'!$AA$17="Catastrófico"),CONCATENATE("R2C",'Mapa final'!$O$17),"")</f>
        <v/>
      </c>
      <c r="AJ47" s="70" t="str">
        <f>IF(AND('Mapa final'!$Y$18="Muy Baja",'Mapa final'!$AA$18="Catastrófico"),CONCATENATE("R2C",'Mapa final'!$O$18),"")</f>
        <v/>
      </c>
      <c r="AK47" s="70" t="str">
        <f>IF(AND('Mapa final'!$Y$19="Muy Baja",'Mapa final'!$AA$19="Catastrófico"),CONCATENATE("R2C",'Mapa final'!$O$19),"")</f>
        <v/>
      </c>
      <c r="AL47" s="70" t="str">
        <f>IF(AND('Mapa final'!$Y$20="Muy Baja",'Mapa final'!$AA$20="Catastrófico"),CONCATENATE("R2C",'Mapa final'!$O$20),"")</f>
        <v/>
      </c>
      <c r="AM47" s="71" t="str">
        <f>IF(AND('Mapa final'!$Y$21="Muy Baja",'Mapa final'!$AA$21="Catastrófico"),CONCATENATE("R2C",'Mapa final'!$O$21),"")</f>
        <v/>
      </c>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row>
    <row r="48" spans="1:80" ht="15" customHeight="1" x14ac:dyDescent="0.25">
      <c r="A48" s="97"/>
      <c r="B48" s="364"/>
      <c r="C48" s="364"/>
      <c r="D48" s="365"/>
      <c r="E48" s="421"/>
      <c r="F48" s="406"/>
      <c r="G48" s="406"/>
      <c r="H48" s="406"/>
      <c r="I48" s="407"/>
      <c r="J48" s="90" t="str">
        <f>IF(AND('Mapa final'!$Y$22="Muy Baja",'Mapa final'!$AA$22="Leve"),CONCATENATE("R3C",'Mapa final'!$O$22),"")</f>
        <v/>
      </c>
      <c r="K48" s="91" t="str">
        <f>IF(AND('Mapa final'!$Y$23="Muy Baja",'Mapa final'!$AA$23="Leve"),CONCATENATE("R3C",'Mapa final'!$O$23),"")</f>
        <v/>
      </c>
      <c r="L48" s="91" t="str">
        <f>IF(AND('Mapa final'!$Y$24="Muy Baja",'Mapa final'!$AA$24="Leve"),CONCATENATE("R3C",'Mapa final'!$O$24),"")</f>
        <v/>
      </c>
      <c r="M48" s="91" t="str">
        <f>IF(AND('Mapa final'!$Y$25="Muy Baja",'Mapa final'!$AA$25="Leve"),CONCATENATE("R3C",'Mapa final'!$O$25),"")</f>
        <v/>
      </c>
      <c r="N48" s="91" t="str">
        <f>IF(AND('Mapa final'!$Y$26="Muy Baja",'Mapa final'!$AA$26="Leve"),CONCATENATE("R3C",'Mapa final'!$O$26),"")</f>
        <v/>
      </c>
      <c r="O48" s="92" t="str">
        <f>IF(AND('Mapa final'!$Y$27="Muy Baja",'Mapa final'!$AA$27="Leve"),CONCATENATE("R3C",'Mapa final'!$O$27),"")</f>
        <v/>
      </c>
      <c r="P48" s="90" t="str">
        <f>IF(AND('Mapa final'!$Y$22="Muy Baja",'Mapa final'!$AA$22="Menor"),CONCATENATE("R3C",'Mapa final'!$O$22),"")</f>
        <v/>
      </c>
      <c r="Q48" s="91" t="str">
        <f>IF(AND('Mapa final'!$Y$23="Muy Baja",'Mapa final'!$AA$23="Menor"),CONCATENATE("R3C",'Mapa final'!$O$23),"")</f>
        <v/>
      </c>
      <c r="R48" s="91" t="str">
        <f>IF(AND('Mapa final'!$Y$24="Muy Baja",'Mapa final'!$AA$24="Menor"),CONCATENATE("R3C",'Mapa final'!$O$24),"")</f>
        <v/>
      </c>
      <c r="S48" s="91" t="str">
        <f>IF(AND('Mapa final'!$Y$25="Muy Baja",'Mapa final'!$AA$25="Menor"),CONCATENATE("R3C",'Mapa final'!$O$25),"")</f>
        <v/>
      </c>
      <c r="T48" s="91" t="str">
        <f>IF(AND('Mapa final'!$Y$26="Muy Baja",'Mapa final'!$AA$26="Menor"),CONCATENATE("R3C",'Mapa final'!$O$26),"")</f>
        <v/>
      </c>
      <c r="U48" s="92" t="str">
        <f>IF(AND('Mapa final'!$Y$27="Muy Baja",'Mapa final'!$AA$27="Menor"),CONCATENATE("R3C",'Mapa final'!$O$27),"")</f>
        <v/>
      </c>
      <c r="V48" s="81" t="str">
        <f>IF(AND('Mapa final'!$Y$22="Muy Baja",'Mapa final'!$AA$22="Moderado"),CONCATENATE("R3C",'Mapa final'!$O$22),"")</f>
        <v/>
      </c>
      <c r="W48" s="82" t="str">
        <f>IF(AND('Mapa final'!$Y$23="Muy Baja",'Mapa final'!$AA$23="Moderado"),CONCATENATE("R3C",'Mapa final'!$O$23),"")</f>
        <v>R3C2</v>
      </c>
      <c r="X48" s="82" t="str">
        <f>IF(AND('Mapa final'!$Y$24="Muy Baja",'Mapa final'!$AA$24="Moderado"),CONCATENATE("R3C",'Mapa final'!$O$24),"")</f>
        <v>R3C3</v>
      </c>
      <c r="Y48" s="82" t="str">
        <f>IF(AND('Mapa final'!$Y$25="Muy Baja",'Mapa final'!$AA$25="Moderado"),CONCATENATE("R3C",'Mapa final'!$O$25),"")</f>
        <v>R3C4</v>
      </c>
      <c r="Z48" s="82" t="str">
        <f>IF(AND('Mapa final'!$Y$26="Muy Baja",'Mapa final'!$AA$26="Moderado"),CONCATENATE("R3C",'Mapa final'!$O$26),"")</f>
        <v/>
      </c>
      <c r="AA48" s="83" t="str">
        <f>IF(AND('Mapa final'!$Y$27="Muy Baja",'Mapa final'!$AA$27="Moderado"),CONCATENATE("R3C",'Mapa final'!$O$27),"")</f>
        <v/>
      </c>
      <c r="AB48" s="66" t="str">
        <f>IF(AND('Mapa final'!$Y$22="Muy Baja",'Mapa final'!$AA$22="Mayor"),CONCATENATE("R3C",'Mapa final'!$O$22),"")</f>
        <v/>
      </c>
      <c r="AC48" s="67" t="str">
        <f>IF(AND('Mapa final'!$Y$23="Muy Baja",'Mapa final'!$AA$23="Mayor"),CONCATENATE("R3C",'Mapa final'!$O$23),"")</f>
        <v/>
      </c>
      <c r="AD48" s="67" t="str">
        <f>IF(AND('Mapa final'!$Y$24="Muy Baja",'Mapa final'!$AA$24="Mayor"),CONCATENATE("R3C",'Mapa final'!$O$24),"")</f>
        <v/>
      </c>
      <c r="AE48" s="67" t="str">
        <f>IF(AND('Mapa final'!$Y$25="Muy Baja",'Mapa final'!$AA$25="Mayor"),CONCATENATE("R3C",'Mapa final'!$O$25),"")</f>
        <v/>
      </c>
      <c r="AF48" s="67" t="str">
        <f>IF(AND('Mapa final'!$Y$26="Muy Baja",'Mapa final'!$AA$26="Mayor"),CONCATENATE("R3C",'Mapa final'!$O$26),"")</f>
        <v/>
      </c>
      <c r="AG48" s="68" t="str">
        <f>IF(AND('Mapa final'!$Y$27="Muy Baja",'Mapa final'!$AA$27="Mayor"),CONCATENATE("R3C",'Mapa final'!$O$27),"")</f>
        <v/>
      </c>
      <c r="AH48" s="69" t="str">
        <f>IF(AND('Mapa final'!$Y$22="Muy Baja",'Mapa final'!$AA$22="Catastrófico"),CONCATENATE("R3C",'Mapa final'!$O$22),"")</f>
        <v/>
      </c>
      <c r="AI48" s="70" t="str">
        <f>IF(AND('Mapa final'!$Y$23="Muy Baja",'Mapa final'!$AA$23="Catastrófico"),CONCATENATE("R3C",'Mapa final'!$O$23),"")</f>
        <v/>
      </c>
      <c r="AJ48" s="70" t="str">
        <f>IF(AND('Mapa final'!$Y$24="Muy Baja",'Mapa final'!$AA$24="Catastrófico"),CONCATENATE("R3C",'Mapa final'!$O$24),"")</f>
        <v/>
      </c>
      <c r="AK48" s="70" t="str">
        <f>IF(AND('Mapa final'!$Y$25="Muy Baja",'Mapa final'!$AA$25="Catastrófico"),CONCATENATE("R3C",'Mapa final'!$O$25),"")</f>
        <v/>
      </c>
      <c r="AL48" s="70" t="str">
        <f>IF(AND('Mapa final'!$Y$26="Muy Baja",'Mapa final'!$AA$26="Catastrófico"),CONCATENATE("R3C",'Mapa final'!$O$26),"")</f>
        <v/>
      </c>
      <c r="AM48" s="71" t="str">
        <f>IF(AND('Mapa final'!$Y$27="Muy Baja",'Mapa final'!$AA$27="Catastrófico"),CONCATENATE("R3C",'Mapa final'!$O$27),"")</f>
        <v/>
      </c>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row>
    <row r="49" spans="1:80" ht="15" customHeight="1" x14ac:dyDescent="0.25">
      <c r="A49" s="97"/>
      <c r="B49" s="364"/>
      <c r="C49" s="364"/>
      <c r="D49" s="365"/>
      <c r="E49" s="405"/>
      <c r="F49" s="406"/>
      <c r="G49" s="406"/>
      <c r="H49" s="406"/>
      <c r="I49" s="407"/>
      <c r="J49" s="90" t="str">
        <f>IF(AND('Mapa final'!$Y$28="Muy Baja",'Mapa final'!$AA$28="Leve"),CONCATENATE("R4C",'Mapa final'!$O$28),"")</f>
        <v/>
      </c>
      <c r="K49" s="91" t="str">
        <f>IF(AND('Mapa final'!$Y$29="Muy Baja",'Mapa final'!$AA$29="Leve"),CONCATENATE("R4C",'Mapa final'!$O$29),"")</f>
        <v/>
      </c>
      <c r="L49" s="91" t="str">
        <f>IF(AND('Mapa final'!$Y$30="Muy Baja",'Mapa final'!$AA$30="Leve"),CONCATENATE("R4C",'Mapa final'!$O$30),"")</f>
        <v/>
      </c>
      <c r="M49" s="91" t="str">
        <f>IF(AND('Mapa final'!$Y$31="Muy Baja",'Mapa final'!$AA$31="Leve"),CONCATENATE("R4C",'Mapa final'!$O$31),"")</f>
        <v/>
      </c>
      <c r="N49" s="91" t="str">
        <f>IF(AND('Mapa final'!$Y$32="Muy Baja",'Mapa final'!$AA$32="Leve"),CONCATENATE("R4C",'Mapa final'!$O$32),"")</f>
        <v/>
      </c>
      <c r="O49" s="92" t="str">
        <f>IF(AND('Mapa final'!$Y$33="Muy Baja",'Mapa final'!$AA$33="Leve"),CONCATENATE("R4C",'Mapa final'!$O$33),"")</f>
        <v/>
      </c>
      <c r="P49" s="90" t="str">
        <f>IF(AND('Mapa final'!$Y$28="Muy Baja",'Mapa final'!$AA$28="Menor"),CONCATENATE("R4C",'Mapa final'!$O$28),"")</f>
        <v/>
      </c>
      <c r="Q49" s="91" t="str">
        <f>IF(AND('Mapa final'!$Y$29="Muy Baja",'Mapa final'!$AA$29="Menor"),CONCATENATE("R4C",'Mapa final'!$O$29),"")</f>
        <v/>
      </c>
      <c r="R49" s="91" t="str">
        <f>IF(AND('Mapa final'!$Y$30="Muy Baja",'Mapa final'!$AA$30="Menor"),CONCATENATE("R4C",'Mapa final'!$O$30),"")</f>
        <v/>
      </c>
      <c r="S49" s="91" t="str">
        <f>IF(AND('Mapa final'!$Y$31="Muy Baja",'Mapa final'!$AA$31="Menor"),CONCATENATE("R4C",'Mapa final'!$O$31),"")</f>
        <v/>
      </c>
      <c r="T49" s="91" t="str">
        <f>IF(AND('Mapa final'!$Y$32="Muy Baja",'Mapa final'!$AA$32="Menor"),CONCATENATE("R4C",'Mapa final'!$O$32),"")</f>
        <v/>
      </c>
      <c r="U49" s="92" t="str">
        <f>IF(AND('Mapa final'!$Y$33="Muy Baja",'Mapa final'!$AA$33="Menor"),CONCATENATE("R4C",'Mapa final'!$O$33),"")</f>
        <v/>
      </c>
      <c r="V49" s="81" t="str">
        <f>IF(AND('Mapa final'!$Y$28="Muy Baja",'Mapa final'!$AA$28="Moderado"),CONCATENATE("R4C",'Mapa final'!$O$28),"")</f>
        <v/>
      </c>
      <c r="W49" s="82" t="str">
        <f>IF(AND('Mapa final'!$Y$29="Muy Baja",'Mapa final'!$AA$29="Moderado"),CONCATENATE("R4C",'Mapa final'!$O$29),"")</f>
        <v/>
      </c>
      <c r="X49" s="82" t="str">
        <f>IF(AND('Mapa final'!$Y$30="Muy Baja",'Mapa final'!$AA$30="Moderado"),CONCATENATE("R4C",'Mapa final'!$O$30),"")</f>
        <v/>
      </c>
      <c r="Y49" s="82" t="str">
        <f>IF(AND('Mapa final'!$Y$31="Muy Baja",'Mapa final'!$AA$31="Moderado"),CONCATENATE("R4C",'Mapa final'!$O$31),"")</f>
        <v/>
      </c>
      <c r="Z49" s="82" t="str">
        <f>IF(AND('Mapa final'!$Y$32="Muy Baja",'Mapa final'!$AA$32="Moderado"),CONCATENATE("R4C",'Mapa final'!$O$32),"")</f>
        <v/>
      </c>
      <c r="AA49" s="83" t="str">
        <f>IF(AND('Mapa final'!$Y$33="Muy Baja",'Mapa final'!$AA$33="Moderado"),CONCATENATE("R4C",'Mapa final'!$O$33),"")</f>
        <v/>
      </c>
      <c r="AB49" s="66" t="str">
        <f>IF(AND('Mapa final'!$Y$28="Muy Baja",'Mapa final'!$AA$28="Mayor"),CONCATENATE("R4C",'Mapa final'!$O$28),"")</f>
        <v/>
      </c>
      <c r="AC49" s="67" t="str">
        <f>IF(AND('Mapa final'!$Y$29="Muy Baja",'Mapa final'!$AA$29="Mayor"),CONCATENATE("R4C",'Mapa final'!$O$29),"")</f>
        <v/>
      </c>
      <c r="AD49" s="67" t="str">
        <f>IF(AND('Mapa final'!$Y$30="Muy Baja",'Mapa final'!$AA$30="Mayor"),CONCATENATE("R4C",'Mapa final'!$O$30),"")</f>
        <v/>
      </c>
      <c r="AE49" s="67" t="str">
        <f>IF(AND('Mapa final'!$Y$31="Muy Baja",'Mapa final'!$AA$31="Mayor"),CONCATENATE("R4C",'Mapa final'!$O$31),"")</f>
        <v/>
      </c>
      <c r="AF49" s="67" t="str">
        <f>IF(AND('Mapa final'!$Y$32="Muy Baja",'Mapa final'!$AA$32="Mayor"),CONCATENATE("R4C",'Mapa final'!$O$32),"")</f>
        <v/>
      </c>
      <c r="AG49" s="68" t="str">
        <f>IF(AND('Mapa final'!$Y$33="Muy Baja",'Mapa final'!$AA$33="Mayor"),CONCATENATE("R4C",'Mapa final'!$O$33),"")</f>
        <v/>
      </c>
      <c r="AH49" s="69" t="str">
        <f>IF(AND('Mapa final'!$Y$28="Muy Baja",'Mapa final'!$AA$28="Catastrófico"),CONCATENATE("R4C",'Mapa final'!$O$28),"")</f>
        <v>R4C1</v>
      </c>
      <c r="AI49" s="70" t="str">
        <f>IF(AND('Mapa final'!$Y$29="Muy Baja",'Mapa final'!$AA$29="Catastrófico"),CONCATENATE("R4C",'Mapa final'!$O$29),"")</f>
        <v/>
      </c>
      <c r="AJ49" s="70" t="str">
        <f>IF(AND('Mapa final'!$Y$30="Muy Baja",'Mapa final'!$AA$30="Catastrófico"),CONCATENATE("R4C",'Mapa final'!$O$30),"")</f>
        <v/>
      </c>
      <c r="AK49" s="70" t="str">
        <f>IF(AND('Mapa final'!$Y$31="Muy Baja",'Mapa final'!$AA$31="Catastrófico"),CONCATENATE("R4C",'Mapa final'!$O$31),"")</f>
        <v/>
      </c>
      <c r="AL49" s="70" t="str">
        <f>IF(AND('Mapa final'!$Y$32="Muy Baja",'Mapa final'!$AA$32="Catastrófico"),CONCATENATE("R4C",'Mapa final'!$O$32),"")</f>
        <v/>
      </c>
      <c r="AM49" s="71" t="str">
        <f>IF(AND('Mapa final'!$Y$33="Muy Baja",'Mapa final'!$AA$33="Catastrófico"),CONCATENATE("R4C",'Mapa final'!$O$33),"")</f>
        <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row>
    <row r="50" spans="1:80" ht="15" customHeight="1" x14ac:dyDescent="0.25">
      <c r="A50" s="97"/>
      <c r="B50" s="364"/>
      <c r="C50" s="364"/>
      <c r="D50" s="365"/>
      <c r="E50" s="405"/>
      <c r="F50" s="406"/>
      <c r="G50" s="406"/>
      <c r="H50" s="406"/>
      <c r="I50" s="407"/>
      <c r="J50" s="90" t="str">
        <f>IF(AND('Mapa final'!$Y$34="Muy Baja",'Mapa final'!$AA$34="Leve"),CONCATENATE("R5C",'Mapa final'!$O$34),"")</f>
        <v/>
      </c>
      <c r="K50" s="91" t="str">
        <f>IF(AND('Mapa final'!$Y$35="Muy Baja",'Mapa final'!$AA$35="Leve"),CONCATENATE("R5C",'Mapa final'!$O$35),"")</f>
        <v/>
      </c>
      <c r="L50" s="91" t="str">
        <f>IF(AND('Mapa final'!$Y$36="Muy Baja",'Mapa final'!$AA$36="Leve"),CONCATENATE("R5C",'Mapa final'!$O$36),"")</f>
        <v/>
      </c>
      <c r="M50" s="91" t="str">
        <f>IF(AND('Mapa final'!$Y$37="Muy Baja",'Mapa final'!$AA$37="Leve"),CONCATENATE("R5C",'Mapa final'!$O$37),"")</f>
        <v/>
      </c>
      <c r="N50" s="91" t="str">
        <f>IF(AND('Mapa final'!$Y$38="Muy Baja",'Mapa final'!$AA$38="Leve"),CONCATENATE("R5C",'Mapa final'!$O$38),"")</f>
        <v/>
      </c>
      <c r="O50" s="92" t="str">
        <f>IF(AND('Mapa final'!$Y$39="Muy Baja",'Mapa final'!$AA$39="Leve"),CONCATENATE("R5C",'Mapa final'!$O$39),"")</f>
        <v/>
      </c>
      <c r="P50" s="90" t="str">
        <f>IF(AND('Mapa final'!$Y$34="Muy Baja",'Mapa final'!$AA$34="Menor"),CONCATENATE("R5C",'Mapa final'!$O$34),"")</f>
        <v/>
      </c>
      <c r="Q50" s="91" t="str">
        <f>IF(AND('Mapa final'!$Y$35="Muy Baja",'Mapa final'!$AA$35="Menor"),CONCATENATE("R5C",'Mapa final'!$O$35),"")</f>
        <v/>
      </c>
      <c r="R50" s="91" t="str">
        <f>IF(AND('Mapa final'!$Y$36="Muy Baja",'Mapa final'!$AA$36="Menor"),CONCATENATE("R5C",'Mapa final'!$O$36),"")</f>
        <v/>
      </c>
      <c r="S50" s="91" t="str">
        <f>IF(AND('Mapa final'!$Y$37="Muy Baja",'Mapa final'!$AA$37="Menor"),CONCATENATE("R5C",'Mapa final'!$O$37),"")</f>
        <v/>
      </c>
      <c r="T50" s="91" t="str">
        <f>IF(AND('Mapa final'!$Y$38="Muy Baja",'Mapa final'!$AA$38="Menor"),CONCATENATE("R5C",'Mapa final'!$O$38),"")</f>
        <v/>
      </c>
      <c r="U50" s="92" t="str">
        <f>IF(AND('Mapa final'!$Y$39="Muy Baja",'Mapa final'!$AA$39="Menor"),CONCATENATE("R5C",'Mapa final'!$O$39),"")</f>
        <v/>
      </c>
      <c r="V50" s="81" t="str">
        <f>IF(AND('Mapa final'!$Y$34="Muy Baja",'Mapa final'!$AA$34="Moderado"),CONCATENATE("R5C",'Mapa final'!$O$34),"")</f>
        <v/>
      </c>
      <c r="W50" s="82" t="str">
        <f>IF(AND('Mapa final'!$Y$35="Muy Baja",'Mapa final'!$AA$35="Moderado"),CONCATENATE("R5C",'Mapa final'!$O$35),"")</f>
        <v/>
      </c>
      <c r="X50" s="82" t="str">
        <f>IF(AND('Mapa final'!$Y$36="Muy Baja",'Mapa final'!$AA$36="Moderado"),CONCATENATE("R5C",'Mapa final'!$O$36),"")</f>
        <v/>
      </c>
      <c r="Y50" s="82" t="str">
        <f>IF(AND('Mapa final'!$Y$37="Muy Baja",'Mapa final'!$AA$37="Moderado"),CONCATENATE("R5C",'Mapa final'!$O$37),"")</f>
        <v/>
      </c>
      <c r="Z50" s="82" t="str">
        <f>IF(AND('Mapa final'!$Y$38="Muy Baja",'Mapa final'!$AA$38="Moderado"),CONCATENATE("R5C",'Mapa final'!$O$38),"")</f>
        <v/>
      </c>
      <c r="AA50" s="83" t="str">
        <f>IF(AND('Mapa final'!$Y$39="Muy Baja",'Mapa final'!$AA$39="Moderado"),CONCATENATE("R5C",'Mapa final'!$O$39),"")</f>
        <v/>
      </c>
      <c r="AB50" s="66" t="str">
        <f>IF(AND('Mapa final'!$Y$34="Muy Baja",'Mapa final'!$AA$34="Mayor"),CONCATENATE("R5C",'Mapa final'!$O$34),"")</f>
        <v/>
      </c>
      <c r="AC50" s="67" t="str">
        <f>IF(AND('Mapa final'!$Y$35="Muy Baja",'Mapa final'!$AA$35="Mayor"),CONCATENATE("R5C",'Mapa final'!$O$35),"")</f>
        <v/>
      </c>
      <c r="AD50" s="67" t="str">
        <f>IF(AND('Mapa final'!$Y$36="Muy Baja",'Mapa final'!$AA$36="Mayor"),CONCATENATE("R5C",'Mapa final'!$O$36),"")</f>
        <v/>
      </c>
      <c r="AE50" s="67" t="str">
        <f>IF(AND('Mapa final'!$Y$37="Muy Baja",'Mapa final'!$AA$37="Mayor"),CONCATENATE("R5C",'Mapa final'!$O$37),"")</f>
        <v/>
      </c>
      <c r="AF50" s="67" t="str">
        <f>IF(AND('Mapa final'!$Y$38="Muy Baja",'Mapa final'!$AA$38="Mayor"),CONCATENATE("R5C",'Mapa final'!$O$38),"")</f>
        <v/>
      </c>
      <c r="AG50" s="68" t="str">
        <f>IF(AND('Mapa final'!$Y$39="Muy Baja",'Mapa final'!$AA$39="Mayor"),CONCATENATE("R5C",'Mapa final'!$O$39),"")</f>
        <v/>
      </c>
      <c r="AH50" s="69" t="str">
        <f>IF(AND('Mapa final'!$Y$34="Muy Baja",'Mapa final'!$AA$34="Catastrófico"),CONCATENATE("R5C",'Mapa final'!$O$34),"")</f>
        <v>R5C1</v>
      </c>
      <c r="AI50" s="70" t="str">
        <f>IF(AND('Mapa final'!$Y$35="Muy Baja",'Mapa final'!$AA$35="Catastrófico"),CONCATENATE("R5C",'Mapa final'!$O$35),"")</f>
        <v/>
      </c>
      <c r="AJ50" s="70" t="str">
        <f>IF(AND('Mapa final'!$Y$36="Muy Baja",'Mapa final'!$AA$36="Catastrófico"),CONCATENATE("R5C",'Mapa final'!$O$36),"")</f>
        <v/>
      </c>
      <c r="AK50" s="70" t="str">
        <f>IF(AND('Mapa final'!$Y$37="Muy Baja",'Mapa final'!$AA$37="Catastrófico"),CONCATENATE("R5C",'Mapa final'!$O$37),"")</f>
        <v/>
      </c>
      <c r="AL50" s="70" t="str">
        <f>IF(AND('Mapa final'!$Y$38="Muy Baja",'Mapa final'!$AA$38="Catastrófico"),CONCATENATE("R5C",'Mapa final'!$O$38),"")</f>
        <v/>
      </c>
      <c r="AM50" s="71" t="str">
        <f>IF(AND('Mapa final'!$Y$39="Muy Baja",'Mapa final'!$AA$39="Catastrófico"),CONCATENATE("R5C",'Mapa final'!$O$39),"")</f>
        <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row>
    <row r="51" spans="1:80" ht="15" customHeight="1" x14ac:dyDescent="0.25">
      <c r="A51" s="97"/>
      <c r="B51" s="364"/>
      <c r="C51" s="364"/>
      <c r="D51" s="365"/>
      <c r="E51" s="405"/>
      <c r="F51" s="406"/>
      <c r="G51" s="406"/>
      <c r="H51" s="406"/>
      <c r="I51" s="407"/>
      <c r="J51" s="90" t="str">
        <f>IF(AND('Mapa final'!$Y$40="Muy Baja",'Mapa final'!$AA$40="Leve"),CONCATENATE("R6C",'Mapa final'!$O$40),"")</f>
        <v/>
      </c>
      <c r="K51" s="91" t="str">
        <f>IF(AND('Mapa final'!$Y$41="Muy Baja",'Mapa final'!$AA$41="Leve"),CONCATENATE("R6C",'Mapa final'!$O$41),"")</f>
        <v/>
      </c>
      <c r="L51" s="91" t="str">
        <f>IF(AND('Mapa final'!$Y$42="Muy Baja",'Mapa final'!$AA$42="Leve"),CONCATENATE("R6C",'Mapa final'!$O$42),"")</f>
        <v/>
      </c>
      <c r="M51" s="91" t="str">
        <f>IF(AND('Mapa final'!$Y$43="Muy Baja",'Mapa final'!$AA$43="Leve"),CONCATENATE("R6C",'Mapa final'!$O$43),"")</f>
        <v/>
      </c>
      <c r="N51" s="91" t="str">
        <f>IF(AND('Mapa final'!$Y$44="Muy Baja",'Mapa final'!$AA$44="Leve"),CONCATENATE("R6C",'Mapa final'!$O$44),"")</f>
        <v/>
      </c>
      <c r="O51" s="92" t="str">
        <f>IF(AND('Mapa final'!$Y$45="Muy Baja",'Mapa final'!$AA$45="Leve"),CONCATENATE("R6C",'Mapa final'!$O$45),"")</f>
        <v/>
      </c>
      <c r="P51" s="90" t="str">
        <f>IF(AND('Mapa final'!$Y$40="Muy Baja",'Mapa final'!$AA$40="Menor"),CONCATENATE("R6C",'Mapa final'!$O$40),"")</f>
        <v/>
      </c>
      <c r="Q51" s="91" t="str">
        <f>IF(AND('Mapa final'!$Y$41="Muy Baja",'Mapa final'!$AA$41="Menor"),CONCATENATE("R6C",'Mapa final'!$O$41),"")</f>
        <v/>
      </c>
      <c r="R51" s="91" t="str">
        <f>IF(AND('Mapa final'!$Y$42="Muy Baja",'Mapa final'!$AA$42="Menor"),CONCATENATE("R6C",'Mapa final'!$O$42),"")</f>
        <v/>
      </c>
      <c r="S51" s="91" t="str">
        <f>IF(AND('Mapa final'!$Y$43="Muy Baja",'Mapa final'!$AA$43="Menor"),CONCATENATE("R6C",'Mapa final'!$O$43),"")</f>
        <v/>
      </c>
      <c r="T51" s="91" t="str">
        <f>IF(AND('Mapa final'!$Y$44="Muy Baja",'Mapa final'!$AA$44="Menor"),CONCATENATE("R6C",'Mapa final'!$O$44),"")</f>
        <v/>
      </c>
      <c r="U51" s="92" t="str">
        <f>IF(AND('Mapa final'!$Y$45="Muy Baja",'Mapa final'!$AA$45="Menor"),CONCATENATE("R6C",'Mapa final'!$O$45),"")</f>
        <v/>
      </c>
      <c r="V51" s="81" t="str">
        <f>IF(AND('Mapa final'!$Y$40="Muy Baja",'Mapa final'!$AA$40="Moderado"),CONCATENATE("R6C",'Mapa final'!$O$40),"")</f>
        <v/>
      </c>
      <c r="W51" s="82" t="str">
        <f>IF(AND('Mapa final'!$Y$41="Muy Baja",'Mapa final'!$AA$41="Moderado"),CONCATENATE("R6C",'Mapa final'!$O$41),"")</f>
        <v/>
      </c>
      <c r="X51" s="82" t="str">
        <f>IF(AND('Mapa final'!$Y$42="Muy Baja",'Mapa final'!$AA$42="Moderado"),CONCATENATE("R6C",'Mapa final'!$O$42),"")</f>
        <v/>
      </c>
      <c r="Y51" s="82" t="str">
        <f>IF(AND('Mapa final'!$Y$43="Muy Baja",'Mapa final'!$AA$43="Moderado"),CONCATENATE("R6C",'Mapa final'!$O$43),"")</f>
        <v/>
      </c>
      <c r="Z51" s="82" t="str">
        <f>IF(AND('Mapa final'!$Y$44="Muy Baja",'Mapa final'!$AA$44="Moderado"),CONCATENATE("R6C",'Mapa final'!$O$44),"")</f>
        <v/>
      </c>
      <c r="AA51" s="83" t="str">
        <f>IF(AND('Mapa final'!$Y$45="Muy Baja",'Mapa final'!$AA$45="Moderado"),CONCATENATE("R6C",'Mapa final'!$O$45),"")</f>
        <v/>
      </c>
      <c r="AB51" s="66" t="str">
        <f>IF(AND('Mapa final'!$Y$40="Muy Baja",'Mapa final'!$AA$40="Mayor"),CONCATENATE("R6C",'Mapa final'!$O$40),"")</f>
        <v/>
      </c>
      <c r="AC51" s="67" t="str">
        <f>IF(AND('Mapa final'!$Y$41="Muy Baja",'Mapa final'!$AA$41="Mayor"),CONCATENATE("R6C",'Mapa final'!$O$41),"")</f>
        <v/>
      </c>
      <c r="AD51" s="67" t="str">
        <f>IF(AND('Mapa final'!$Y$42="Muy Baja",'Mapa final'!$AA$42="Mayor"),CONCATENATE("R6C",'Mapa final'!$O$42),"")</f>
        <v/>
      </c>
      <c r="AE51" s="67" t="str">
        <f>IF(AND('Mapa final'!$Y$43="Muy Baja",'Mapa final'!$AA$43="Mayor"),CONCATENATE("R6C",'Mapa final'!$O$43),"")</f>
        <v/>
      </c>
      <c r="AF51" s="67" t="str">
        <f>IF(AND('Mapa final'!$Y$44="Muy Baja",'Mapa final'!$AA$44="Mayor"),CONCATENATE("R6C",'Mapa final'!$O$44),"")</f>
        <v/>
      </c>
      <c r="AG51" s="68" t="str">
        <f>IF(AND('Mapa final'!$Y$45="Muy Baja",'Mapa final'!$AA$45="Mayor"),CONCATENATE("R6C",'Mapa final'!$O$45),"")</f>
        <v/>
      </c>
      <c r="AH51" s="69" t="str">
        <f>IF(AND('Mapa final'!$Y$40="Muy Baja",'Mapa final'!$AA$40="Catastrófico"),CONCATENATE("R6C",'Mapa final'!$O$40),"")</f>
        <v/>
      </c>
      <c r="AI51" s="70" t="str">
        <f>IF(AND('Mapa final'!$Y$41="Muy Baja",'Mapa final'!$AA$41="Catastrófico"),CONCATENATE("R6C",'Mapa final'!$O$41),"")</f>
        <v/>
      </c>
      <c r="AJ51" s="70" t="str">
        <f>IF(AND('Mapa final'!$Y$42="Muy Baja",'Mapa final'!$AA$42="Catastrófico"),CONCATENATE("R6C",'Mapa final'!$O$42),"")</f>
        <v/>
      </c>
      <c r="AK51" s="70" t="str">
        <f>IF(AND('Mapa final'!$Y$43="Muy Baja",'Mapa final'!$AA$43="Catastrófico"),CONCATENATE("R6C",'Mapa final'!$O$43),"")</f>
        <v/>
      </c>
      <c r="AL51" s="70" t="str">
        <f>IF(AND('Mapa final'!$Y$44="Muy Baja",'Mapa final'!$AA$44="Catastrófico"),CONCATENATE("R6C",'Mapa final'!$O$44),"")</f>
        <v/>
      </c>
      <c r="AM51" s="71" t="str">
        <f>IF(AND('Mapa final'!$Y$45="Muy Baja",'Mapa final'!$AA$45="Catastrófico"),CONCATENATE("R6C",'Mapa final'!$O$45),"")</f>
        <v/>
      </c>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row>
    <row r="52" spans="1:80" ht="15" customHeight="1" x14ac:dyDescent="0.25">
      <c r="A52" s="97"/>
      <c r="B52" s="364"/>
      <c r="C52" s="364"/>
      <c r="D52" s="365"/>
      <c r="E52" s="405"/>
      <c r="F52" s="406"/>
      <c r="G52" s="406"/>
      <c r="H52" s="406"/>
      <c r="I52" s="407"/>
      <c r="J52" s="90" t="str">
        <f>IF(AND('Mapa final'!$Y$46="Muy Baja",'Mapa final'!$AA$46="Leve"),CONCATENATE("R7C",'Mapa final'!$O$46),"")</f>
        <v/>
      </c>
      <c r="K52" s="91" t="str">
        <f>IF(AND('Mapa final'!$Y$47="Muy Baja",'Mapa final'!$AA$47="Leve"),CONCATENATE("R7C",'Mapa final'!$O$47),"")</f>
        <v/>
      </c>
      <c r="L52" s="91" t="str">
        <f>IF(AND('Mapa final'!$Y$48="Muy Baja",'Mapa final'!$AA$48="Leve"),CONCATENATE("R7C",'Mapa final'!$O$48),"")</f>
        <v/>
      </c>
      <c r="M52" s="91" t="str">
        <f>IF(AND('Mapa final'!$Y$49="Muy Baja",'Mapa final'!$AA$49="Leve"),CONCATENATE("R7C",'Mapa final'!$O$49),"")</f>
        <v/>
      </c>
      <c r="N52" s="91" t="str">
        <f>IF(AND('Mapa final'!$Y$50="Muy Baja",'Mapa final'!$AA$50="Leve"),CONCATENATE("R7C",'Mapa final'!$O$50),"")</f>
        <v/>
      </c>
      <c r="O52" s="92" t="str">
        <f>IF(AND('Mapa final'!$Y$51="Muy Baja",'Mapa final'!$AA$51="Leve"),CONCATENATE("R7C",'Mapa final'!$O$51),"")</f>
        <v/>
      </c>
      <c r="P52" s="90" t="str">
        <f>IF(AND('Mapa final'!$Y$46="Muy Baja",'Mapa final'!$AA$46="Menor"),CONCATENATE("R7C",'Mapa final'!$O$46),"")</f>
        <v/>
      </c>
      <c r="Q52" s="91" t="str">
        <f>IF(AND('Mapa final'!$Y$47="Muy Baja",'Mapa final'!$AA$47="Menor"),CONCATENATE("R7C",'Mapa final'!$O$47),"")</f>
        <v/>
      </c>
      <c r="R52" s="91" t="str">
        <f>IF(AND('Mapa final'!$Y$48="Muy Baja",'Mapa final'!$AA$48="Menor"),CONCATENATE("R7C",'Mapa final'!$O$48),"")</f>
        <v/>
      </c>
      <c r="S52" s="91" t="str">
        <f>IF(AND('Mapa final'!$Y$49="Muy Baja",'Mapa final'!$AA$49="Menor"),CONCATENATE("R7C",'Mapa final'!$O$49),"")</f>
        <v/>
      </c>
      <c r="T52" s="91" t="str">
        <f>IF(AND('Mapa final'!$Y$50="Muy Baja",'Mapa final'!$AA$50="Menor"),CONCATENATE("R7C",'Mapa final'!$O$50),"")</f>
        <v/>
      </c>
      <c r="U52" s="92" t="str">
        <f>IF(AND('Mapa final'!$Y$51="Muy Baja",'Mapa final'!$AA$51="Menor"),CONCATENATE("R7C",'Mapa final'!$O$51),"")</f>
        <v/>
      </c>
      <c r="V52" s="81" t="str">
        <f>IF(AND('Mapa final'!$Y$46="Muy Baja",'Mapa final'!$AA$46="Moderado"),CONCATENATE("R7C",'Mapa final'!$O$46),"")</f>
        <v/>
      </c>
      <c r="W52" s="82" t="str">
        <f>IF(AND('Mapa final'!$Y$47="Muy Baja",'Mapa final'!$AA$47="Moderado"),CONCATENATE("R7C",'Mapa final'!$O$47),"")</f>
        <v/>
      </c>
      <c r="X52" s="82" t="str">
        <f>IF(AND('Mapa final'!$Y$48="Muy Baja",'Mapa final'!$AA$48="Moderado"),CONCATENATE("R7C",'Mapa final'!$O$48),"")</f>
        <v/>
      </c>
      <c r="Y52" s="82" t="str">
        <f>IF(AND('Mapa final'!$Y$49="Muy Baja",'Mapa final'!$AA$49="Moderado"),CONCATENATE("R7C",'Mapa final'!$O$49),"")</f>
        <v/>
      </c>
      <c r="Z52" s="82" t="str">
        <f>IF(AND('Mapa final'!$Y$50="Muy Baja",'Mapa final'!$AA$50="Moderado"),CONCATENATE("R7C",'Mapa final'!$O$50),"")</f>
        <v/>
      </c>
      <c r="AA52" s="83" t="str">
        <f>IF(AND('Mapa final'!$Y$51="Muy Baja",'Mapa final'!$AA$51="Moderado"),CONCATENATE("R7C",'Mapa final'!$O$51),"")</f>
        <v/>
      </c>
      <c r="AB52" s="66" t="str">
        <f>IF(AND('Mapa final'!$Y$46="Muy Baja",'Mapa final'!$AA$46="Mayor"),CONCATENATE("R7C",'Mapa final'!$O$46),"")</f>
        <v/>
      </c>
      <c r="AC52" s="67" t="str">
        <f>IF(AND('Mapa final'!$Y$47="Muy Baja",'Mapa final'!$AA$47="Mayor"),CONCATENATE("R7C",'Mapa final'!$O$47),"")</f>
        <v/>
      </c>
      <c r="AD52" s="67" t="str">
        <f>IF(AND('Mapa final'!$Y$48="Muy Baja",'Mapa final'!$AA$48="Mayor"),CONCATENATE("R7C",'Mapa final'!$O$48),"")</f>
        <v/>
      </c>
      <c r="AE52" s="67" t="str">
        <f>IF(AND('Mapa final'!$Y$49="Muy Baja",'Mapa final'!$AA$49="Mayor"),CONCATENATE("R7C",'Mapa final'!$O$49),"")</f>
        <v/>
      </c>
      <c r="AF52" s="67" t="str">
        <f>IF(AND('Mapa final'!$Y$50="Muy Baja",'Mapa final'!$AA$50="Mayor"),CONCATENATE("R7C",'Mapa final'!$O$50),"")</f>
        <v/>
      </c>
      <c r="AG52" s="68" t="str">
        <f>IF(AND('Mapa final'!$Y$51="Muy Baja",'Mapa final'!$AA$51="Mayor"),CONCATENATE("R7C",'Mapa final'!$O$51),"")</f>
        <v/>
      </c>
      <c r="AH52" s="69" t="str">
        <f>IF(AND('Mapa final'!$Y$46="Muy Baja",'Mapa final'!$AA$46="Catastrófico"),CONCATENATE("R7C",'Mapa final'!$O$46),"")</f>
        <v/>
      </c>
      <c r="AI52" s="70" t="str">
        <f>IF(AND('Mapa final'!$Y$47="Muy Baja",'Mapa final'!$AA$47="Catastrófico"),CONCATENATE("R7C",'Mapa final'!$O$47),"")</f>
        <v/>
      </c>
      <c r="AJ52" s="70" t="str">
        <f>IF(AND('Mapa final'!$Y$48="Muy Baja",'Mapa final'!$AA$48="Catastrófico"),CONCATENATE("R7C",'Mapa final'!$O$48),"")</f>
        <v/>
      </c>
      <c r="AK52" s="70" t="str">
        <f>IF(AND('Mapa final'!$Y$49="Muy Baja",'Mapa final'!$AA$49="Catastrófico"),CONCATENATE("R7C",'Mapa final'!$O$49),"")</f>
        <v/>
      </c>
      <c r="AL52" s="70" t="str">
        <f>IF(AND('Mapa final'!$Y$50="Muy Baja",'Mapa final'!$AA$50="Catastrófico"),CONCATENATE("R7C",'Mapa final'!$O$50),"")</f>
        <v/>
      </c>
      <c r="AM52" s="71" t="str">
        <f>IF(AND('Mapa final'!$Y$51="Muy Baja",'Mapa final'!$AA$51="Catastrófico"),CONCATENATE("R7C",'Mapa final'!$O$51),"")</f>
        <v/>
      </c>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row>
    <row r="53" spans="1:80" ht="15" customHeight="1" x14ac:dyDescent="0.25">
      <c r="A53" s="97"/>
      <c r="B53" s="364"/>
      <c r="C53" s="364"/>
      <c r="D53" s="365"/>
      <c r="E53" s="405"/>
      <c r="F53" s="406"/>
      <c r="G53" s="406"/>
      <c r="H53" s="406"/>
      <c r="I53" s="407"/>
      <c r="J53" s="90" t="str">
        <f>IF(AND('Mapa final'!$Y$52="Muy Baja",'Mapa final'!$AA$52="Leve"),CONCATENATE("R8C",'Mapa final'!$O$52),"")</f>
        <v/>
      </c>
      <c r="K53" s="91" t="str">
        <f>IF(AND('Mapa final'!$Y$53="Muy Baja",'Mapa final'!$AA$53="Leve"),CONCATENATE("R8C",'Mapa final'!$O$53),"")</f>
        <v/>
      </c>
      <c r="L53" s="91" t="str">
        <f>IF(AND('Mapa final'!$Y$54="Muy Baja",'Mapa final'!$AA$54="Leve"),CONCATENATE("R8C",'Mapa final'!$O$54),"")</f>
        <v/>
      </c>
      <c r="M53" s="91" t="str">
        <f>IF(AND('Mapa final'!$Y$55="Muy Baja",'Mapa final'!$AA$55="Leve"),CONCATENATE("R8C",'Mapa final'!$O$55),"")</f>
        <v/>
      </c>
      <c r="N53" s="91" t="str">
        <f>IF(AND('Mapa final'!$Y$56="Muy Baja",'Mapa final'!$AA$56="Leve"),CONCATENATE("R8C",'Mapa final'!$O$56),"")</f>
        <v/>
      </c>
      <c r="O53" s="92" t="str">
        <f>IF(AND('Mapa final'!$Y$57="Muy Baja",'Mapa final'!$AA$57="Leve"),CONCATENATE("R8C",'Mapa final'!$O$57),"")</f>
        <v/>
      </c>
      <c r="P53" s="90" t="str">
        <f>IF(AND('Mapa final'!$Y$52="Muy Baja",'Mapa final'!$AA$52="Menor"),CONCATENATE("R8C",'Mapa final'!$O$52),"")</f>
        <v/>
      </c>
      <c r="Q53" s="91" t="str">
        <f>IF(AND('Mapa final'!$Y$53="Muy Baja",'Mapa final'!$AA$53="Menor"),CONCATENATE("R8C",'Mapa final'!$O$53),"")</f>
        <v/>
      </c>
      <c r="R53" s="91" t="str">
        <f>IF(AND('Mapa final'!$Y$54="Muy Baja",'Mapa final'!$AA$54="Menor"),CONCATENATE("R8C",'Mapa final'!$O$54),"")</f>
        <v/>
      </c>
      <c r="S53" s="91" t="str">
        <f>IF(AND('Mapa final'!$Y$55="Muy Baja",'Mapa final'!$AA$55="Menor"),CONCATENATE("R8C",'Mapa final'!$O$55),"")</f>
        <v/>
      </c>
      <c r="T53" s="91" t="str">
        <f>IF(AND('Mapa final'!$Y$56="Muy Baja",'Mapa final'!$AA$56="Menor"),CONCATENATE("R8C",'Mapa final'!$O$56),"")</f>
        <v/>
      </c>
      <c r="U53" s="92" t="str">
        <f>IF(AND('Mapa final'!$Y$57="Muy Baja",'Mapa final'!$AA$57="Menor"),CONCATENATE("R8C",'Mapa final'!$O$57),"")</f>
        <v/>
      </c>
      <c r="V53" s="81" t="str">
        <f>IF(AND('Mapa final'!$Y$52="Muy Baja",'Mapa final'!$AA$52="Moderado"),CONCATENATE("R8C",'Mapa final'!$O$52),"")</f>
        <v/>
      </c>
      <c r="W53" s="82" t="str">
        <f>IF(AND('Mapa final'!$Y$53="Muy Baja",'Mapa final'!$AA$53="Moderado"),CONCATENATE("R8C",'Mapa final'!$O$53),"")</f>
        <v/>
      </c>
      <c r="X53" s="82" t="str">
        <f>IF(AND('Mapa final'!$Y$54="Muy Baja",'Mapa final'!$AA$54="Moderado"),CONCATENATE("R8C",'Mapa final'!$O$54),"")</f>
        <v/>
      </c>
      <c r="Y53" s="82" t="str">
        <f>IF(AND('Mapa final'!$Y$55="Muy Baja",'Mapa final'!$AA$55="Moderado"),CONCATENATE("R8C",'Mapa final'!$O$55),"")</f>
        <v/>
      </c>
      <c r="Z53" s="82" t="str">
        <f>IF(AND('Mapa final'!$Y$56="Muy Baja",'Mapa final'!$AA$56="Moderado"),CONCATENATE("R8C",'Mapa final'!$O$56),"")</f>
        <v/>
      </c>
      <c r="AA53" s="83" t="str">
        <f>IF(AND('Mapa final'!$Y$57="Muy Baja",'Mapa final'!$AA$57="Moderado"),CONCATENATE("R8C",'Mapa final'!$O$57),"")</f>
        <v/>
      </c>
      <c r="AB53" s="66" t="str">
        <f>IF(AND('Mapa final'!$Y$52="Muy Baja",'Mapa final'!$AA$52="Mayor"),CONCATENATE("R8C",'Mapa final'!$O$52),"")</f>
        <v/>
      </c>
      <c r="AC53" s="67" t="str">
        <f>IF(AND('Mapa final'!$Y$53="Muy Baja",'Mapa final'!$AA$53="Mayor"),CONCATENATE("R8C",'Mapa final'!$O$53),"")</f>
        <v/>
      </c>
      <c r="AD53" s="67" t="str">
        <f>IF(AND('Mapa final'!$Y$54="Muy Baja",'Mapa final'!$AA$54="Mayor"),CONCATENATE("R8C",'Mapa final'!$O$54),"")</f>
        <v/>
      </c>
      <c r="AE53" s="67" t="str">
        <f>IF(AND('Mapa final'!$Y$55="Muy Baja",'Mapa final'!$AA$55="Mayor"),CONCATENATE("R8C",'Mapa final'!$O$55),"")</f>
        <v/>
      </c>
      <c r="AF53" s="67" t="str">
        <f>IF(AND('Mapa final'!$Y$56="Muy Baja",'Mapa final'!$AA$56="Mayor"),CONCATENATE("R8C",'Mapa final'!$O$56),"")</f>
        <v/>
      </c>
      <c r="AG53" s="68" t="str">
        <f>IF(AND('Mapa final'!$Y$57="Muy Baja",'Mapa final'!$AA$57="Mayor"),CONCATENATE("R8C",'Mapa final'!$O$57),"")</f>
        <v/>
      </c>
      <c r="AH53" s="69" t="str">
        <f>IF(AND('Mapa final'!$Y$52="Muy Baja",'Mapa final'!$AA$52="Catastrófico"),CONCATENATE("R8C",'Mapa final'!$O$52),"")</f>
        <v/>
      </c>
      <c r="AI53" s="70" t="str">
        <f>IF(AND('Mapa final'!$Y$53="Muy Baja",'Mapa final'!$AA$53="Catastrófico"),CONCATENATE("R8C",'Mapa final'!$O$53),"")</f>
        <v/>
      </c>
      <c r="AJ53" s="70" t="str">
        <f>IF(AND('Mapa final'!$Y$54="Muy Baja",'Mapa final'!$AA$54="Catastrófico"),CONCATENATE("R8C",'Mapa final'!$O$54),"")</f>
        <v/>
      </c>
      <c r="AK53" s="70" t="str">
        <f>IF(AND('Mapa final'!$Y$55="Muy Baja",'Mapa final'!$AA$55="Catastrófico"),CONCATENATE("R8C",'Mapa final'!$O$55),"")</f>
        <v/>
      </c>
      <c r="AL53" s="70" t="str">
        <f>IF(AND('Mapa final'!$Y$56="Muy Baja",'Mapa final'!$AA$56="Catastrófico"),CONCATENATE("R8C",'Mapa final'!$O$56),"")</f>
        <v/>
      </c>
      <c r="AM53" s="71" t="str">
        <f>IF(AND('Mapa final'!$Y$57="Muy Baja",'Mapa final'!$AA$57="Catastrófico"),CONCATENATE("R8C",'Mapa final'!$O$57),"")</f>
        <v/>
      </c>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row>
    <row r="54" spans="1:80" ht="15" customHeight="1" x14ac:dyDescent="0.25">
      <c r="A54" s="97"/>
      <c r="B54" s="364"/>
      <c r="C54" s="364"/>
      <c r="D54" s="365"/>
      <c r="E54" s="405"/>
      <c r="F54" s="406"/>
      <c r="G54" s="406"/>
      <c r="H54" s="406"/>
      <c r="I54" s="407"/>
      <c r="J54" s="90" t="str">
        <f>IF(AND('Mapa final'!$Y$58="Muy Baja",'Mapa final'!$AA$58="Leve"),CONCATENATE("R9C",'Mapa final'!$O$58),"")</f>
        <v/>
      </c>
      <c r="K54" s="91" t="str">
        <f>IF(AND('Mapa final'!$Y$59="Muy Baja",'Mapa final'!$AA$59="Leve"),CONCATENATE("R9C",'Mapa final'!$O$59),"")</f>
        <v/>
      </c>
      <c r="L54" s="91" t="str">
        <f>IF(AND('Mapa final'!$Y$60="Muy Baja",'Mapa final'!$AA$60="Leve"),CONCATENATE("R9C",'Mapa final'!$O$60),"")</f>
        <v/>
      </c>
      <c r="M54" s="91" t="str">
        <f>IF(AND('Mapa final'!$Y$61="Muy Baja",'Mapa final'!$AA$61="Leve"),CONCATENATE("R9C",'Mapa final'!$O$61),"")</f>
        <v/>
      </c>
      <c r="N54" s="91" t="str">
        <f>IF(AND('Mapa final'!$Y$62="Muy Baja",'Mapa final'!$AA$62="Leve"),CONCATENATE("R9C",'Mapa final'!$O$62),"")</f>
        <v/>
      </c>
      <c r="O54" s="92" t="str">
        <f>IF(AND('Mapa final'!$Y$63="Muy Baja",'Mapa final'!$AA$63="Leve"),CONCATENATE("R9C",'Mapa final'!$O$63),"")</f>
        <v/>
      </c>
      <c r="P54" s="90" t="str">
        <f>IF(AND('Mapa final'!$Y$58="Muy Baja",'Mapa final'!$AA$58="Menor"),CONCATENATE("R9C",'Mapa final'!$O$58),"")</f>
        <v/>
      </c>
      <c r="Q54" s="91" t="str">
        <f>IF(AND('Mapa final'!$Y$59="Muy Baja",'Mapa final'!$AA$59="Menor"),CONCATENATE("R9C",'Mapa final'!$O$59),"")</f>
        <v/>
      </c>
      <c r="R54" s="91" t="str">
        <f>IF(AND('Mapa final'!$Y$60="Muy Baja",'Mapa final'!$AA$60="Menor"),CONCATENATE("R9C",'Mapa final'!$O$60),"")</f>
        <v/>
      </c>
      <c r="S54" s="91" t="str">
        <f>IF(AND('Mapa final'!$Y$61="Muy Baja",'Mapa final'!$AA$61="Menor"),CONCATENATE("R9C",'Mapa final'!$O$61),"")</f>
        <v/>
      </c>
      <c r="T54" s="91" t="str">
        <f>IF(AND('Mapa final'!$Y$62="Muy Baja",'Mapa final'!$AA$62="Menor"),CONCATENATE("R9C",'Mapa final'!$O$62),"")</f>
        <v/>
      </c>
      <c r="U54" s="92" t="str">
        <f>IF(AND('Mapa final'!$Y$63="Muy Baja",'Mapa final'!$AA$63="Menor"),CONCATENATE("R9C",'Mapa final'!$O$63),"")</f>
        <v/>
      </c>
      <c r="V54" s="81" t="str">
        <f>IF(AND('Mapa final'!$Y$58="Muy Baja",'Mapa final'!$AA$58="Moderado"),CONCATENATE("R9C",'Mapa final'!$O$58),"")</f>
        <v/>
      </c>
      <c r="W54" s="82" t="str">
        <f>IF(AND('Mapa final'!$Y$59="Muy Baja",'Mapa final'!$AA$59="Moderado"),CONCATENATE("R9C",'Mapa final'!$O$59),"")</f>
        <v/>
      </c>
      <c r="X54" s="82" t="str">
        <f>IF(AND('Mapa final'!$Y$60="Muy Baja",'Mapa final'!$AA$60="Moderado"),CONCATENATE("R9C",'Mapa final'!$O$60),"")</f>
        <v/>
      </c>
      <c r="Y54" s="82" t="str">
        <f>IF(AND('Mapa final'!$Y$61="Muy Baja",'Mapa final'!$AA$61="Moderado"),CONCATENATE("R9C",'Mapa final'!$O$61),"")</f>
        <v/>
      </c>
      <c r="Z54" s="82" t="str">
        <f>IF(AND('Mapa final'!$Y$62="Muy Baja",'Mapa final'!$AA$62="Moderado"),CONCATENATE("R9C",'Mapa final'!$O$62),"")</f>
        <v/>
      </c>
      <c r="AA54" s="83" t="str">
        <f>IF(AND('Mapa final'!$Y$63="Muy Baja",'Mapa final'!$AA$63="Moderado"),CONCATENATE("R9C",'Mapa final'!$O$63),"")</f>
        <v/>
      </c>
      <c r="AB54" s="66" t="str">
        <f>IF(AND('Mapa final'!$Y$58="Muy Baja",'Mapa final'!$AA$58="Mayor"),CONCATENATE("R9C",'Mapa final'!$O$58),"")</f>
        <v/>
      </c>
      <c r="AC54" s="67" t="str">
        <f>IF(AND('Mapa final'!$Y$59="Muy Baja",'Mapa final'!$AA$59="Mayor"),CONCATENATE("R9C",'Mapa final'!$O$59),"")</f>
        <v/>
      </c>
      <c r="AD54" s="67" t="str">
        <f>IF(AND('Mapa final'!$Y$60="Muy Baja",'Mapa final'!$AA$60="Mayor"),CONCATENATE("R9C",'Mapa final'!$O$60),"")</f>
        <v/>
      </c>
      <c r="AE54" s="67" t="str">
        <f>IF(AND('Mapa final'!$Y$61="Muy Baja",'Mapa final'!$AA$61="Mayor"),CONCATENATE("R9C",'Mapa final'!$O$61),"")</f>
        <v/>
      </c>
      <c r="AF54" s="67" t="str">
        <f>IF(AND('Mapa final'!$Y$62="Muy Baja",'Mapa final'!$AA$62="Mayor"),CONCATENATE("R9C",'Mapa final'!$O$62),"")</f>
        <v/>
      </c>
      <c r="AG54" s="68" t="str">
        <f>IF(AND('Mapa final'!$Y$63="Muy Baja",'Mapa final'!$AA$63="Mayor"),CONCATENATE("R9C",'Mapa final'!$O$63),"")</f>
        <v/>
      </c>
      <c r="AH54" s="69" t="str">
        <f>IF(AND('Mapa final'!$Y$58="Muy Baja",'Mapa final'!$AA$58="Catastrófico"),CONCATENATE("R9C",'Mapa final'!$O$58),"")</f>
        <v/>
      </c>
      <c r="AI54" s="70" t="str">
        <f>IF(AND('Mapa final'!$Y$59="Muy Baja",'Mapa final'!$AA$59="Catastrófico"),CONCATENATE("R9C",'Mapa final'!$O$59),"")</f>
        <v/>
      </c>
      <c r="AJ54" s="70" t="str">
        <f>IF(AND('Mapa final'!$Y$60="Muy Baja",'Mapa final'!$AA$60="Catastrófico"),CONCATENATE("R9C",'Mapa final'!$O$60),"")</f>
        <v/>
      </c>
      <c r="AK54" s="70" t="str">
        <f>IF(AND('Mapa final'!$Y$61="Muy Baja",'Mapa final'!$AA$61="Catastrófico"),CONCATENATE("R9C",'Mapa final'!$O$61),"")</f>
        <v/>
      </c>
      <c r="AL54" s="70" t="str">
        <f>IF(AND('Mapa final'!$Y$62="Muy Baja",'Mapa final'!$AA$62="Catastrófico"),CONCATENATE("R9C",'Mapa final'!$O$62),"")</f>
        <v/>
      </c>
      <c r="AM54" s="71" t="str">
        <f>IF(AND('Mapa final'!$Y$63="Muy Baja",'Mapa final'!$AA$63="Catastrófico"),CONCATENATE("R9C",'Mapa final'!$O$63),"")</f>
        <v/>
      </c>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row>
    <row r="55" spans="1:80" ht="15.75" customHeight="1" thickBot="1" x14ac:dyDescent="0.3">
      <c r="A55" s="97"/>
      <c r="B55" s="364"/>
      <c r="C55" s="364"/>
      <c r="D55" s="365"/>
      <c r="E55" s="408"/>
      <c r="F55" s="409"/>
      <c r="G55" s="409"/>
      <c r="H55" s="409"/>
      <c r="I55" s="410"/>
      <c r="J55" s="93" t="str">
        <f>IF(AND('Mapa final'!$Y$64="Muy Baja",'Mapa final'!$AA$64="Leve"),CONCATENATE("R10C",'Mapa final'!$O$64),"")</f>
        <v/>
      </c>
      <c r="K55" s="94" t="str">
        <f>IF(AND('Mapa final'!$Y$65="Muy Baja",'Mapa final'!$AA$65="Leve"),CONCATENATE("R10C",'Mapa final'!$O$65),"")</f>
        <v/>
      </c>
      <c r="L55" s="94" t="str">
        <f>IF(AND('Mapa final'!$Y$66="Muy Baja",'Mapa final'!$AA$66="Leve"),CONCATENATE("R10C",'Mapa final'!$O$66),"")</f>
        <v/>
      </c>
      <c r="M55" s="94" t="str">
        <f>IF(AND('Mapa final'!$Y$67="Muy Baja",'Mapa final'!$AA$67="Leve"),CONCATENATE("R10C",'Mapa final'!$O$67),"")</f>
        <v/>
      </c>
      <c r="N55" s="94" t="str">
        <f>IF(AND('Mapa final'!$Y$68="Muy Baja",'Mapa final'!$AA$68="Leve"),CONCATENATE("R10C",'Mapa final'!$O$68),"")</f>
        <v/>
      </c>
      <c r="O55" s="95" t="str">
        <f>IF(AND('Mapa final'!$Y$69="Muy Baja",'Mapa final'!$AA$69="Leve"),CONCATENATE("R10C",'Mapa final'!$O$69),"")</f>
        <v/>
      </c>
      <c r="P55" s="93" t="str">
        <f>IF(AND('Mapa final'!$Y$64="Muy Baja",'Mapa final'!$AA$64="Menor"),CONCATENATE("R10C",'Mapa final'!$O$64),"")</f>
        <v/>
      </c>
      <c r="Q55" s="94" t="str">
        <f>IF(AND('Mapa final'!$Y$65="Muy Baja",'Mapa final'!$AA$65="Menor"),CONCATENATE("R10C",'Mapa final'!$O$65),"")</f>
        <v/>
      </c>
      <c r="R55" s="94" t="str">
        <f>IF(AND('Mapa final'!$Y$66="Muy Baja",'Mapa final'!$AA$66="Menor"),CONCATENATE("R10C",'Mapa final'!$O$66),"")</f>
        <v/>
      </c>
      <c r="S55" s="94" t="str">
        <f>IF(AND('Mapa final'!$Y$67="Muy Baja",'Mapa final'!$AA$67="Menor"),CONCATENATE("R10C",'Mapa final'!$O$67),"")</f>
        <v/>
      </c>
      <c r="T55" s="94" t="str">
        <f>IF(AND('Mapa final'!$Y$68="Muy Baja",'Mapa final'!$AA$68="Menor"),CONCATENATE("R10C",'Mapa final'!$O$68),"")</f>
        <v/>
      </c>
      <c r="U55" s="95" t="str">
        <f>IF(AND('Mapa final'!$Y$69="Muy Baja",'Mapa final'!$AA$69="Menor"),CONCATENATE("R10C",'Mapa final'!$O$69),"")</f>
        <v/>
      </c>
      <c r="V55" s="84" t="str">
        <f>IF(AND('Mapa final'!$Y$64="Muy Baja",'Mapa final'!$AA$64="Moderado"),CONCATENATE("R10C",'Mapa final'!$O$64),"")</f>
        <v/>
      </c>
      <c r="W55" s="85" t="str">
        <f>IF(AND('Mapa final'!$Y$65="Muy Baja",'Mapa final'!$AA$65="Moderado"),CONCATENATE("R10C",'Mapa final'!$O$65),"")</f>
        <v/>
      </c>
      <c r="X55" s="85" t="str">
        <f>IF(AND('Mapa final'!$Y$66="Muy Baja",'Mapa final'!$AA$66="Moderado"),CONCATENATE("R10C",'Mapa final'!$O$66),"")</f>
        <v/>
      </c>
      <c r="Y55" s="85" t="str">
        <f>IF(AND('Mapa final'!$Y$67="Muy Baja",'Mapa final'!$AA$67="Moderado"),CONCATENATE("R10C",'Mapa final'!$O$67),"")</f>
        <v/>
      </c>
      <c r="Z55" s="85" t="str">
        <f>IF(AND('Mapa final'!$Y$68="Muy Baja",'Mapa final'!$AA$68="Moderado"),CONCATENATE("R10C",'Mapa final'!$O$68),"")</f>
        <v/>
      </c>
      <c r="AA55" s="86" t="str">
        <f>IF(AND('Mapa final'!$Y$69="Muy Baja",'Mapa final'!$AA$69="Moderado"),CONCATENATE("R10C",'Mapa final'!$O$69),"")</f>
        <v/>
      </c>
      <c r="AB55" s="72" t="str">
        <f>IF(AND('Mapa final'!$Y$64="Muy Baja",'Mapa final'!$AA$64="Mayor"),CONCATENATE("R10C",'Mapa final'!$O$64),"")</f>
        <v/>
      </c>
      <c r="AC55" s="73" t="str">
        <f>IF(AND('Mapa final'!$Y$65="Muy Baja",'Mapa final'!$AA$65="Mayor"),CONCATENATE("R10C",'Mapa final'!$O$65),"")</f>
        <v/>
      </c>
      <c r="AD55" s="73" t="str">
        <f>IF(AND('Mapa final'!$Y$66="Muy Baja",'Mapa final'!$AA$66="Mayor"),CONCATENATE("R10C",'Mapa final'!$O$66),"")</f>
        <v/>
      </c>
      <c r="AE55" s="73" t="str">
        <f>IF(AND('Mapa final'!$Y$67="Muy Baja",'Mapa final'!$AA$67="Mayor"),CONCATENATE("R10C",'Mapa final'!$O$67),"")</f>
        <v/>
      </c>
      <c r="AF55" s="73" t="str">
        <f>IF(AND('Mapa final'!$Y$68="Muy Baja",'Mapa final'!$AA$68="Mayor"),CONCATENATE("R10C",'Mapa final'!$O$68),"")</f>
        <v/>
      </c>
      <c r="AG55" s="74" t="str">
        <f>IF(AND('Mapa final'!$Y$69="Muy Baja",'Mapa final'!$AA$69="Mayor"),CONCATENATE("R10C",'Mapa final'!$O$69),"")</f>
        <v/>
      </c>
      <c r="AH55" s="75" t="str">
        <f>IF(AND('Mapa final'!$Y$64="Muy Baja",'Mapa final'!$AA$64="Catastrófico"),CONCATENATE("R10C",'Mapa final'!$O$64),"")</f>
        <v/>
      </c>
      <c r="AI55" s="76" t="str">
        <f>IF(AND('Mapa final'!$Y$65="Muy Baja",'Mapa final'!$AA$65="Catastrófico"),CONCATENATE("R10C",'Mapa final'!$O$65),"")</f>
        <v/>
      </c>
      <c r="AJ55" s="76" t="str">
        <f>IF(AND('Mapa final'!$Y$66="Muy Baja",'Mapa final'!$AA$66="Catastrófico"),CONCATENATE("R10C",'Mapa final'!$O$66),"")</f>
        <v/>
      </c>
      <c r="AK55" s="76" t="str">
        <f>IF(AND('Mapa final'!$Y$67="Muy Baja",'Mapa final'!$AA$67="Catastrófico"),CONCATENATE("R10C",'Mapa final'!$O$67),"")</f>
        <v/>
      </c>
      <c r="AL55" s="76" t="str">
        <f>IF(AND('Mapa final'!$Y$68="Muy Baja",'Mapa final'!$AA$68="Catastrófico"),CONCATENATE("R10C",'Mapa final'!$O$68),"")</f>
        <v/>
      </c>
      <c r="AM55" s="77" t="str">
        <f>IF(AND('Mapa final'!$Y$69="Muy Baja",'Mapa final'!$AA$69="Catastrófico"),CONCATENATE("R10C",'Mapa final'!$O$69),"")</f>
        <v/>
      </c>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row>
    <row r="56" spans="1:80" x14ac:dyDescent="0.25">
      <c r="A56" s="97"/>
      <c r="B56" s="97"/>
      <c r="C56" s="97"/>
      <c r="D56" s="97"/>
      <c r="E56" s="97"/>
      <c r="F56" s="97"/>
      <c r="G56" s="97"/>
      <c r="H56" s="97"/>
      <c r="I56" s="97"/>
      <c r="J56" s="402" t="s">
        <v>192</v>
      </c>
      <c r="K56" s="403"/>
      <c r="L56" s="403"/>
      <c r="M56" s="403"/>
      <c r="N56" s="403"/>
      <c r="O56" s="404"/>
      <c r="P56" s="402" t="s">
        <v>193</v>
      </c>
      <c r="Q56" s="403"/>
      <c r="R56" s="403"/>
      <c r="S56" s="403"/>
      <c r="T56" s="403"/>
      <c r="U56" s="404"/>
      <c r="V56" s="402" t="s">
        <v>194</v>
      </c>
      <c r="W56" s="403"/>
      <c r="X56" s="403"/>
      <c r="Y56" s="403"/>
      <c r="Z56" s="403"/>
      <c r="AA56" s="404"/>
      <c r="AB56" s="402" t="s">
        <v>195</v>
      </c>
      <c r="AC56" s="411"/>
      <c r="AD56" s="403"/>
      <c r="AE56" s="403"/>
      <c r="AF56" s="403"/>
      <c r="AG56" s="404"/>
      <c r="AH56" s="402" t="s">
        <v>196</v>
      </c>
      <c r="AI56" s="403"/>
      <c r="AJ56" s="403"/>
      <c r="AK56" s="403"/>
      <c r="AL56" s="403"/>
      <c r="AM56" s="404"/>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row>
    <row r="57" spans="1:80" x14ac:dyDescent="0.25">
      <c r="A57" s="97"/>
      <c r="B57" s="97"/>
      <c r="C57" s="97"/>
      <c r="D57" s="97"/>
      <c r="E57" s="97"/>
      <c r="F57" s="97"/>
      <c r="G57" s="97"/>
      <c r="H57" s="97"/>
      <c r="I57" s="97"/>
      <c r="J57" s="405"/>
      <c r="K57" s="406"/>
      <c r="L57" s="406"/>
      <c r="M57" s="406"/>
      <c r="N57" s="406"/>
      <c r="O57" s="407"/>
      <c r="P57" s="405"/>
      <c r="Q57" s="406"/>
      <c r="R57" s="406"/>
      <c r="S57" s="406"/>
      <c r="T57" s="406"/>
      <c r="U57" s="407"/>
      <c r="V57" s="405"/>
      <c r="W57" s="406"/>
      <c r="X57" s="406"/>
      <c r="Y57" s="406"/>
      <c r="Z57" s="406"/>
      <c r="AA57" s="407"/>
      <c r="AB57" s="405"/>
      <c r="AC57" s="406"/>
      <c r="AD57" s="406"/>
      <c r="AE57" s="406"/>
      <c r="AF57" s="406"/>
      <c r="AG57" s="407"/>
      <c r="AH57" s="405"/>
      <c r="AI57" s="406"/>
      <c r="AJ57" s="406"/>
      <c r="AK57" s="406"/>
      <c r="AL57" s="406"/>
      <c r="AM57" s="40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row>
    <row r="58" spans="1:80" x14ac:dyDescent="0.25">
      <c r="A58" s="97"/>
      <c r="B58" s="97"/>
      <c r="C58" s="97"/>
      <c r="D58" s="97"/>
      <c r="E58" s="97"/>
      <c r="F58" s="97"/>
      <c r="G58" s="97"/>
      <c r="H58" s="97"/>
      <c r="I58" s="97"/>
      <c r="J58" s="405"/>
      <c r="K58" s="406"/>
      <c r="L58" s="406"/>
      <c r="M58" s="406"/>
      <c r="N58" s="406"/>
      <c r="O58" s="407"/>
      <c r="P58" s="405"/>
      <c r="Q58" s="406"/>
      <c r="R58" s="406"/>
      <c r="S58" s="406"/>
      <c r="T58" s="406"/>
      <c r="U58" s="407"/>
      <c r="V58" s="405"/>
      <c r="W58" s="406"/>
      <c r="X58" s="406"/>
      <c r="Y58" s="406"/>
      <c r="Z58" s="406"/>
      <c r="AA58" s="407"/>
      <c r="AB58" s="405"/>
      <c r="AC58" s="406"/>
      <c r="AD58" s="406"/>
      <c r="AE58" s="406"/>
      <c r="AF58" s="406"/>
      <c r="AG58" s="407"/>
      <c r="AH58" s="405"/>
      <c r="AI58" s="406"/>
      <c r="AJ58" s="406"/>
      <c r="AK58" s="406"/>
      <c r="AL58" s="406"/>
      <c r="AM58" s="40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row>
    <row r="59" spans="1:80" x14ac:dyDescent="0.25">
      <c r="A59" s="97"/>
      <c r="B59" s="97"/>
      <c r="C59" s="97"/>
      <c r="D59" s="97"/>
      <c r="E59" s="97"/>
      <c r="F59" s="97"/>
      <c r="G59" s="97"/>
      <c r="H59" s="97"/>
      <c r="I59" s="97"/>
      <c r="J59" s="405"/>
      <c r="K59" s="406"/>
      <c r="L59" s="406"/>
      <c r="M59" s="406"/>
      <c r="N59" s="406"/>
      <c r="O59" s="407"/>
      <c r="P59" s="405"/>
      <c r="Q59" s="406"/>
      <c r="R59" s="406"/>
      <c r="S59" s="406"/>
      <c r="T59" s="406"/>
      <c r="U59" s="407"/>
      <c r="V59" s="405"/>
      <c r="W59" s="406"/>
      <c r="X59" s="406"/>
      <c r="Y59" s="406"/>
      <c r="Z59" s="406"/>
      <c r="AA59" s="407"/>
      <c r="AB59" s="405"/>
      <c r="AC59" s="406"/>
      <c r="AD59" s="406"/>
      <c r="AE59" s="406"/>
      <c r="AF59" s="406"/>
      <c r="AG59" s="407"/>
      <c r="AH59" s="405"/>
      <c r="AI59" s="406"/>
      <c r="AJ59" s="406"/>
      <c r="AK59" s="406"/>
      <c r="AL59" s="406"/>
      <c r="AM59" s="40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row>
    <row r="60" spans="1:80" x14ac:dyDescent="0.25">
      <c r="A60" s="97"/>
      <c r="B60" s="97"/>
      <c r="C60" s="97"/>
      <c r="D60" s="97"/>
      <c r="E60" s="97"/>
      <c r="F60" s="97"/>
      <c r="G60" s="97"/>
      <c r="H60" s="97"/>
      <c r="I60" s="97"/>
      <c r="J60" s="405"/>
      <c r="K60" s="406"/>
      <c r="L60" s="406"/>
      <c r="M60" s="406"/>
      <c r="N60" s="406"/>
      <c r="O60" s="407"/>
      <c r="P60" s="405"/>
      <c r="Q60" s="406"/>
      <c r="R60" s="406"/>
      <c r="S60" s="406"/>
      <c r="T60" s="406"/>
      <c r="U60" s="407"/>
      <c r="V60" s="405"/>
      <c r="W60" s="406"/>
      <c r="X60" s="406"/>
      <c r="Y60" s="406"/>
      <c r="Z60" s="406"/>
      <c r="AA60" s="407"/>
      <c r="AB60" s="405"/>
      <c r="AC60" s="406"/>
      <c r="AD60" s="406"/>
      <c r="AE60" s="406"/>
      <c r="AF60" s="406"/>
      <c r="AG60" s="407"/>
      <c r="AH60" s="405"/>
      <c r="AI60" s="406"/>
      <c r="AJ60" s="406"/>
      <c r="AK60" s="406"/>
      <c r="AL60" s="406"/>
      <c r="AM60" s="40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row>
    <row r="61" spans="1:80" ht="15.75" thickBot="1" x14ac:dyDescent="0.3">
      <c r="A61" s="97"/>
      <c r="B61" s="97"/>
      <c r="C61" s="97"/>
      <c r="D61" s="97"/>
      <c r="E61" s="97"/>
      <c r="F61" s="97"/>
      <c r="G61" s="97"/>
      <c r="H61" s="97"/>
      <c r="I61" s="97"/>
      <c r="J61" s="408"/>
      <c r="K61" s="409"/>
      <c r="L61" s="409"/>
      <c r="M61" s="409"/>
      <c r="N61" s="409"/>
      <c r="O61" s="410"/>
      <c r="P61" s="408"/>
      <c r="Q61" s="409"/>
      <c r="R61" s="409"/>
      <c r="S61" s="409"/>
      <c r="T61" s="409"/>
      <c r="U61" s="410"/>
      <c r="V61" s="408"/>
      <c r="W61" s="409"/>
      <c r="X61" s="409"/>
      <c r="Y61" s="409"/>
      <c r="Z61" s="409"/>
      <c r="AA61" s="410"/>
      <c r="AB61" s="408"/>
      <c r="AC61" s="409"/>
      <c r="AD61" s="409"/>
      <c r="AE61" s="409"/>
      <c r="AF61" s="409"/>
      <c r="AG61" s="410"/>
      <c r="AH61" s="408"/>
      <c r="AI61" s="409"/>
      <c r="AJ61" s="409"/>
      <c r="AK61" s="409"/>
      <c r="AL61" s="409"/>
      <c r="AM61" s="410"/>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row>
    <row r="62" spans="1:80" x14ac:dyDescent="0.25">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row>
    <row r="63" spans="1:80" ht="15" customHeight="1" x14ac:dyDescent="0.25">
      <c r="A63" s="97"/>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97"/>
      <c r="AV63" s="97"/>
      <c r="AW63" s="97"/>
      <c r="AX63" s="97"/>
      <c r="AY63" s="97"/>
      <c r="AZ63" s="97"/>
      <c r="BA63" s="97"/>
      <c r="BB63" s="97"/>
      <c r="BC63" s="97"/>
      <c r="BD63" s="97"/>
      <c r="BE63" s="97"/>
      <c r="BF63" s="97"/>
      <c r="BG63" s="97"/>
      <c r="BH63" s="97"/>
    </row>
    <row r="64" spans="1:80" ht="15" customHeight="1" x14ac:dyDescent="0.25">
      <c r="A64" s="97"/>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97"/>
      <c r="AV64" s="97"/>
      <c r="AW64" s="97"/>
      <c r="AX64" s="97"/>
      <c r="AY64" s="97"/>
      <c r="AZ64" s="97"/>
      <c r="BA64" s="97"/>
      <c r="BB64" s="97"/>
      <c r="BC64" s="97"/>
      <c r="BD64" s="97"/>
      <c r="BE64" s="97"/>
      <c r="BF64" s="97"/>
      <c r="BG64" s="97"/>
      <c r="BH64" s="97"/>
    </row>
    <row r="65" spans="1:60" x14ac:dyDescent="0.25">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row>
    <row r="66" spans="1:60" x14ac:dyDescent="0.25">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row>
    <row r="67" spans="1:60" x14ac:dyDescent="0.25">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row>
    <row r="68" spans="1:60" x14ac:dyDescent="0.25">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row>
    <row r="69" spans="1:60" x14ac:dyDescent="0.25">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row>
    <row r="70" spans="1:60" x14ac:dyDescent="0.25">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row>
    <row r="71" spans="1:60" x14ac:dyDescent="0.25">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row>
    <row r="72" spans="1:60" x14ac:dyDescent="0.25">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row>
    <row r="73" spans="1:60" x14ac:dyDescent="0.25">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row>
    <row r="74" spans="1:60" x14ac:dyDescent="0.25">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row>
    <row r="75" spans="1:60" x14ac:dyDescent="0.25">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row>
    <row r="76" spans="1:60" x14ac:dyDescent="0.25">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row>
    <row r="77" spans="1:60" x14ac:dyDescent="0.25">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row>
    <row r="78" spans="1:60" x14ac:dyDescent="0.25">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row>
    <row r="79" spans="1:60" x14ac:dyDescent="0.25">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row>
    <row r="80" spans="1:60" x14ac:dyDescent="0.25">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row>
    <row r="81" spans="1:60" x14ac:dyDescent="0.25">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row>
    <row r="82" spans="1:60" x14ac:dyDescent="0.25">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row>
    <row r="83" spans="1:60" x14ac:dyDescent="0.25">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row>
    <row r="84" spans="1:60" x14ac:dyDescent="0.25">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row>
    <row r="85" spans="1:60" x14ac:dyDescent="0.25">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row>
    <row r="86" spans="1:60" x14ac:dyDescent="0.25">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row>
    <row r="87" spans="1:60" x14ac:dyDescent="0.25">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row>
    <row r="88" spans="1:60" x14ac:dyDescent="0.25">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row>
    <row r="89" spans="1:60" x14ac:dyDescent="0.25">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row>
    <row r="90" spans="1:60" x14ac:dyDescent="0.25">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row>
    <row r="91" spans="1:60" x14ac:dyDescent="0.25">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row>
    <row r="92" spans="1:60" x14ac:dyDescent="0.25">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row>
    <row r="93" spans="1:60" x14ac:dyDescent="0.25">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row>
    <row r="94" spans="1:60" x14ac:dyDescent="0.25">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row>
    <row r="95" spans="1:60" x14ac:dyDescent="0.25">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row>
    <row r="96" spans="1:60" x14ac:dyDescent="0.25">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row>
    <row r="97" spans="1:60" x14ac:dyDescent="0.25">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row>
    <row r="98" spans="1:60" x14ac:dyDescent="0.25">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row>
    <row r="99" spans="1:60" x14ac:dyDescent="0.25">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row>
    <row r="100" spans="1:60" x14ac:dyDescent="0.25">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row>
    <row r="101" spans="1:60" x14ac:dyDescent="0.25">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row>
    <row r="102" spans="1:60" x14ac:dyDescent="0.25">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row>
    <row r="103" spans="1:60" x14ac:dyDescent="0.25">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row>
    <row r="104" spans="1:60" x14ac:dyDescent="0.25">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row>
    <row r="105" spans="1:60" x14ac:dyDescent="0.25">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row>
    <row r="106" spans="1:60" x14ac:dyDescent="0.25">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row>
    <row r="107" spans="1:60" x14ac:dyDescent="0.25">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row>
    <row r="108" spans="1:60" x14ac:dyDescent="0.25">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row>
    <row r="109" spans="1:60" x14ac:dyDescent="0.25">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row>
    <row r="110" spans="1:60" x14ac:dyDescent="0.25">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row>
    <row r="111" spans="1:60" x14ac:dyDescent="0.25">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row>
    <row r="112" spans="1:60" x14ac:dyDescent="0.25">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row>
    <row r="113" spans="1:60" x14ac:dyDescent="0.25">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row>
    <row r="114" spans="1:60" x14ac:dyDescent="0.25">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row>
    <row r="115" spans="1:60" x14ac:dyDescent="0.25">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row>
    <row r="116" spans="1:60" x14ac:dyDescent="0.25">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row>
    <row r="117" spans="1:60" x14ac:dyDescent="0.25">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row>
    <row r="118" spans="1:60" x14ac:dyDescent="0.25">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row>
    <row r="119" spans="1:60" x14ac:dyDescent="0.25">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row>
    <row r="120" spans="1:60" x14ac:dyDescent="0.25">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row>
    <row r="121" spans="1:60" x14ac:dyDescent="0.25">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row>
    <row r="122" spans="1:60" x14ac:dyDescent="0.25">
      <c r="A122" s="97"/>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row>
    <row r="123" spans="1:60" x14ac:dyDescent="0.25">
      <c r="A123" s="97"/>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row>
    <row r="124" spans="1:60" x14ac:dyDescent="0.25">
      <c r="A124" s="97"/>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row>
    <row r="125" spans="1:60" x14ac:dyDescent="0.25">
      <c r="A125" s="97"/>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row>
    <row r="126" spans="1:60" x14ac:dyDescent="0.25">
      <c r="A126" s="97"/>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row>
    <row r="127" spans="1:60" x14ac:dyDescent="0.25">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row>
    <row r="128" spans="1:60" x14ac:dyDescent="0.25">
      <c r="A128" s="97"/>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row>
    <row r="129" spans="1:60" x14ac:dyDescent="0.25">
      <c r="A129" s="97"/>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row>
    <row r="130" spans="1:60" x14ac:dyDescent="0.25">
      <c r="A130" s="97"/>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row>
    <row r="131" spans="1:60" x14ac:dyDescent="0.25">
      <c r="A131" s="97"/>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row>
    <row r="132" spans="1:60" x14ac:dyDescent="0.25">
      <c r="A132" s="97"/>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row>
    <row r="133" spans="1:60" x14ac:dyDescent="0.25">
      <c r="A133" s="97"/>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row>
    <row r="134" spans="1:60" x14ac:dyDescent="0.25">
      <c r="A134" s="97"/>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row>
    <row r="135" spans="1:60" x14ac:dyDescent="0.25">
      <c r="A135" s="97"/>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row>
    <row r="136" spans="1:60" x14ac:dyDescent="0.25">
      <c r="A136" s="97"/>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row>
    <row r="137" spans="1:60" x14ac:dyDescent="0.25">
      <c r="A137" s="97"/>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row>
    <row r="138" spans="1:60" x14ac:dyDescent="0.25">
      <c r="A138" s="97"/>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row>
    <row r="139" spans="1:60" x14ac:dyDescent="0.25">
      <c r="A139" s="97"/>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row>
    <row r="140" spans="1:60" x14ac:dyDescent="0.25">
      <c r="A140" s="97"/>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row>
    <row r="141" spans="1:60" x14ac:dyDescent="0.25">
      <c r="A141" s="97"/>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row>
    <row r="142" spans="1:60" x14ac:dyDescent="0.25">
      <c r="A142" s="97"/>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row>
    <row r="143" spans="1:60" x14ac:dyDescent="0.25">
      <c r="A143" s="97"/>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row>
    <row r="144" spans="1:60" x14ac:dyDescent="0.25">
      <c r="A144" s="97"/>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row>
    <row r="145" spans="1:60" x14ac:dyDescent="0.25">
      <c r="A145" s="97"/>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row>
    <row r="146" spans="1:60" x14ac:dyDescent="0.25">
      <c r="A146" s="97"/>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row>
    <row r="147" spans="1:60" x14ac:dyDescent="0.25">
      <c r="A147" s="97"/>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row>
    <row r="148" spans="1:60" x14ac:dyDescent="0.25">
      <c r="A148" s="97"/>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row>
    <row r="149" spans="1:60" x14ac:dyDescent="0.25">
      <c r="A149" s="97"/>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row>
    <row r="150" spans="1:60" x14ac:dyDescent="0.25">
      <c r="A150" s="97"/>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row>
    <row r="151" spans="1:60" x14ac:dyDescent="0.25">
      <c r="A151" s="97"/>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row>
    <row r="152" spans="1:60" x14ac:dyDescent="0.25">
      <c r="A152" s="97"/>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row>
    <row r="153" spans="1:60" x14ac:dyDescent="0.25">
      <c r="A153" s="97"/>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row>
    <row r="154" spans="1:60" x14ac:dyDescent="0.25">
      <c r="A154" s="97"/>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row>
    <row r="155" spans="1:60" x14ac:dyDescent="0.25">
      <c r="A155" s="97"/>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row>
    <row r="156" spans="1:60" x14ac:dyDescent="0.25">
      <c r="A156" s="97"/>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row>
    <row r="157" spans="1:60" x14ac:dyDescent="0.25">
      <c r="A157" s="97"/>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row>
    <row r="158" spans="1:60" x14ac:dyDescent="0.25">
      <c r="A158" s="97"/>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row>
    <row r="159" spans="1:60" x14ac:dyDescent="0.25">
      <c r="A159" s="97"/>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row>
    <row r="160" spans="1:60" x14ac:dyDescent="0.25">
      <c r="A160" s="97"/>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row>
    <row r="161" spans="1:60" x14ac:dyDescent="0.25">
      <c r="A161" s="97"/>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row>
    <row r="162" spans="1:60" x14ac:dyDescent="0.25">
      <c r="A162" s="97"/>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97"/>
      <c r="BB162" s="97"/>
      <c r="BC162" s="97"/>
      <c r="BD162" s="97"/>
      <c r="BE162" s="97"/>
      <c r="BF162" s="97"/>
      <c r="BG162" s="97"/>
      <c r="BH162" s="97"/>
    </row>
    <row r="163" spans="1:60" x14ac:dyDescent="0.25">
      <c r="A163" s="97"/>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97"/>
      <c r="BB163" s="97"/>
      <c r="BC163" s="97"/>
      <c r="BD163" s="97"/>
      <c r="BE163" s="97"/>
      <c r="BF163" s="97"/>
      <c r="BG163" s="97"/>
      <c r="BH163" s="97"/>
    </row>
    <row r="164" spans="1:60" x14ac:dyDescent="0.25">
      <c r="A164" s="97"/>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97"/>
      <c r="BB164" s="97"/>
      <c r="BC164" s="97"/>
      <c r="BD164" s="97"/>
      <c r="BE164" s="97"/>
      <c r="BF164" s="97"/>
      <c r="BG164" s="97"/>
      <c r="BH164" s="97"/>
    </row>
    <row r="165" spans="1:60" x14ac:dyDescent="0.25">
      <c r="A165" s="97"/>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97"/>
      <c r="BB165" s="97"/>
      <c r="BC165" s="97"/>
      <c r="BD165" s="97"/>
      <c r="BE165" s="97"/>
      <c r="BF165" s="97"/>
      <c r="BG165" s="97"/>
      <c r="BH165" s="97"/>
    </row>
    <row r="166" spans="1:60" x14ac:dyDescent="0.25">
      <c r="A166" s="97"/>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97"/>
      <c r="BB166" s="97"/>
      <c r="BC166" s="97"/>
      <c r="BD166" s="97"/>
      <c r="BE166" s="97"/>
      <c r="BF166" s="97"/>
      <c r="BG166" s="97"/>
      <c r="BH166" s="97"/>
    </row>
    <row r="167" spans="1:60" x14ac:dyDescent="0.25">
      <c r="A167" s="97"/>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97"/>
      <c r="BB167" s="97"/>
      <c r="BC167" s="97"/>
      <c r="BD167" s="97"/>
      <c r="BE167" s="97"/>
      <c r="BF167" s="97"/>
      <c r="BG167" s="97"/>
      <c r="BH167" s="97"/>
    </row>
    <row r="168" spans="1:60" x14ac:dyDescent="0.25">
      <c r="A168" s="97"/>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97"/>
      <c r="BB168" s="97"/>
      <c r="BC168" s="97"/>
      <c r="BD168" s="97"/>
      <c r="BE168" s="97"/>
      <c r="BF168" s="97"/>
      <c r="BG168" s="97"/>
      <c r="BH168" s="97"/>
    </row>
    <row r="169" spans="1:60" x14ac:dyDescent="0.25">
      <c r="A169" s="97"/>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row>
    <row r="170" spans="1:60" x14ac:dyDescent="0.25">
      <c r="A170" s="97"/>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row>
    <row r="171" spans="1:60" x14ac:dyDescent="0.25">
      <c r="A171" s="97"/>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97"/>
      <c r="BB171" s="97"/>
      <c r="BC171" s="97"/>
      <c r="BD171" s="97"/>
      <c r="BE171" s="97"/>
      <c r="BF171" s="97"/>
      <c r="BG171" s="97"/>
      <c r="BH171" s="97"/>
    </row>
    <row r="172" spans="1:60" x14ac:dyDescent="0.25">
      <c r="A172" s="97"/>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row>
    <row r="173" spans="1:60" x14ac:dyDescent="0.25">
      <c r="A173" s="97"/>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row>
    <row r="174" spans="1:60" x14ac:dyDescent="0.25">
      <c r="A174" s="97"/>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97"/>
      <c r="BF174" s="97"/>
      <c r="BG174" s="97"/>
      <c r="BH174" s="97"/>
    </row>
    <row r="175" spans="1:60" x14ac:dyDescent="0.25">
      <c r="A175" s="97"/>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97"/>
      <c r="BB175" s="97"/>
      <c r="BC175" s="97"/>
      <c r="BD175" s="97"/>
      <c r="BE175" s="97"/>
      <c r="BF175" s="97"/>
      <c r="BG175" s="97"/>
      <c r="BH175" s="97"/>
    </row>
    <row r="176" spans="1:60" x14ac:dyDescent="0.25">
      <c r="A176" s="97"/>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row>
    <row r="177" spans="1:60" x14ac:dyDescent="0.25">
      <c r="A177" s="97"/>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97"/>
      <c r="BB177" s="97"/>
      <c r="BC177" s="97"/>
      <c r="BD177" s="97"/>
      <c r="BE177" s="97"/>
      <c r="BF177" s="97"/>
      <c r="BG177" s="97"/>
      <c r="BH177" s="97"/>
    </row>
    <row r="178" spans="1:60" x14ac:dyDescent="0.25">
      <c r="A178" s="97"/>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97"/>
      <c r="BB178" s="97"/>
      <c r="BC178" s="97"/>
      <c r="BD178" s="97"/>
      <c r="BE178" s="97"/>
      <c r="BF178" s="97"/>
      <c r="BG178" s="97"/>
      <c r="BH178" s="97"/>
    </row>
    <row r="179" spans="1:60" x14ac:dyDescent="0.25">
      <c r="A179" s="97"/>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row>
    <row r="180" spans="1:60" x14ac:dyDescent="0.25">
      <c r="A180" s="97"/>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7"/>
      <c r="BC180" s="97"/>
      <c r="BD180" s="97"/>
      <c r="BE180" s="97"/>
      <c r="BF180" s="97"/>
      <c r="BG180" s="97"/>
      <c r="BH180" s="97"/>
    </row>
    <row r="181" spans="1:60" x14ac:dyDescent="0.25">
      <c r="A181" s="97"/>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97"/>
      <c r="AU181" s="97"/>
      <c r="AV181" s="97"/>
      <c r="AW181" s="97"/>
      <c r="AX181" s="97"/>
      <c r="AY181" s="97"/>
      <c r="AZ181" s="97"/>
      <c r="BA181" s="97"/>
      <c r="BB181" s="97"/>
      <c r="BC181" s="97"/>
      <c r="BD181" s="97"/>
      <c r="BE181" s="97"/>
      <c r="BF181" s="97"/>
      <c r="BG181" s="97"/>
      <c r="BH181" s="97"/>
    </row>
    <row r="182" spans="1:60" x14ac:dyDescent="0.25">
      <c r="A182" s="97"/>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c r="AP182" s="97"/>
      <c r="AQ182" s="97"/>
      <c r="AR182" s="97"/>
      <c r="AS182" s="97"/>
      <c r="AT182" s="97"/>
      <c r="AU182" s="97"/>
      <c r="AV182" s="97"/>
      <c r="AW182" s="97"/>
      <c r="AX182" s="97"/>
      <c r="AY182" s="97"/>
      <c r="AZ182" s="97"/>
      <c r="BA182" s="97"/>
      <c r="BB182" s="97"/>
      <c r="BC182" s="97"/>
      <c r="BD182" s="97"/>
      <c r="BE182" s="97"/>
      <c r="BF182" s="97"/>
      <c r="BG182" s="97"/>
      <c r="BH182" s="97"/>
    </row>
    <row r="183" spans="1:60" x14ac:dyDescent="0.25">
      <c r="A183" s="97"/>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97"/>
      <c r="AU183" s="97"/>
      <c r="AV183" s="97"/>
      <c r="AW183" s="97"/>
      <c r="AX183" s="97"/>
      <c r="AY183" s="97"/>
      <c r="AZ183" s="97"/>
      <c r="BA183" s="97"/>
      <c r="BB183" s="97"/>
      <c r="BC183" s="97"/>
      <c r="BD183" s="97"/>
      <c r="BE183" s="97"/>
      <c r="BF183" s="97"/>
      <c r="BG183" s="97"/>
      <c r="BH183" s="97"/>
    </row>
    <row r="184" spans="1:60" x14ac:dyDescent="0.25">
      <c r="A184" s="97"/>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c r="BB184" s="97"/>
      <c r="BC184" s="97"/>
      <c r="BD184" s="97"/>
      <c r="BE184" s="97"/>
      <c r="BF184" s="97"/>
      <c r="BG184" s="97"/>
      <c r="BH184" s="97"/>
    </row>
    <row r="185" spans="1:60" x14ac:dyDescent="0.25">
      <c r="A185" s="97"/>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c r="AY185" s="97"/>
      <c r="AZ185" s="97"/>
      <c r="BA185" s="97"/>
      <c r="BB185" s="97"/>
      <c r="BC185" s="97"/>
      <c r="BD185" s="97"/>
      <c r="BE185" s="97"/>
      <c r="BF185" s="97"/>
      <c r="BG185" s="97"/>
      <c r="BH185" s="97"/>
    </row>
    <row r="186" spans="1:60" x14ac:dyDescent="0.25">
      <c r="A186" s="97"/>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c r="AP186" s="97"/>
      <c r="AQ186" s="97"/>
      <c r="AR186" s="97"/>
      <c r="AS186" s="97"/>
      <c r="AT186" s="97"/>
      <c r="AU186" s="97"/>
      <c r="AV186" s="97"/>
      <c r="AW186" s="97"/>
      <c r="AX186" s="97"/>
      <c r="AY186" s="97"/>
      <c r="AZ186" s="97"/>
      <c r="BA186" s="97"/>
      <c r="BB186" s="97"/>
      <c r="BC186" s="97"/>
      <c r="BD186" s="97"/>
      <c r="BE186" s="97"/>
      <c r="BF186" s="97"/>
      <c r="BG186" s="97"/>
      <c r="BH186" s="97"/>
    </row>
    <row r="187" spans="1:60" x14ac:dyDescent="0.25">
      <c r="A187" s="97"/>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97"/>
      <c r="AU187" s="97"/>
      <c r="AV187" s="97"/>
      <c r="AW187" s="97"/>
      <c r="AX187" s="97"/>
      <c r="AY187" s="97"/>
      <c r="AZ187" s="97"/>
      <c r="BA187" s="97"/>
      <c r="BB187" s="97"/>
      <c r="BC187" s="97"/>
      <c r="BD187" s="97"/>
      <c r="BE187" s="97"/>
      <c r="BF187" s="97"/>
      <c r="BG187" s="97"/>
      <c r="BH187" s="97"/>
    </row>
    <row r="188" spans="1:60" x14ac:dyDescent="0.25">
      <c r="A188" s="97"/>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row>
    <row r="189" spans="1:60" x14ac:dyDescent="0.25">
      <c r="A189" s="97"/>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row>
    <row r="190" spans="1:60" x14ac:dyDescent="0.25">
      <c r="A190" s="97"/>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row>
    <row r="191" spans="1:60" x14ac:dyDescent="0.25">
      <c r="A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c r="AU191" s="97"/>
      <c r="AV191" s="97"/>
      <c r="AW191" s="97"/>
      <c r="AX191" s="97"/>
      <c r="AY191" s="97"/>
      <c r="AZ191" s="97"/>
      <c r="BA191" s="97"/>
      <c r="BB191" s="97"/>
      <c r="BC191" s="97"/>
      <c r="BD191" s="97"/>
      <c r="BE191" s="97"/>
      <c r="BF191" s="97"/>
      <c r="BG191" s="97"/>
      <c r="BH191" s="97"/>
    </row>
    <row r="192" spans="1:60" x14ac:dyDescent="0.25">
      <c r="A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c r="AP192" s="97"/>
      <c r="AQ192" s="97"/>
      <c r="AR192" s="97"/>
      <c r="AS192" s="97"/>
      <c r="AT192" s="97"/>
      <c r="AU192" s="97"/>
      <c r="AV192" s="97"/>
      <c r="AW192" s="97"/>
      <c r="AX192" s="97"/>
      <c r="AY192" s="97"/>
      <c r="AZ192" s="97"/>
      <c r="BA192" s="97"/>
      <c r="BB192" s="97"/>
      <c r="BC192" s="97"/>
      <c r="BD192" s="97"/>
      <c r="BE192" s="97"/>
      <c r="BF192" s="97"/>
      <c r="BG192" s="97"/>
      <c r="BH192" s="97"/>
    </row>
    <row r="193" spans="1:60" x14ac:dyDescent="0.25">
      <c r="A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c r="AU193" s="97"/>
      <c r="AV193" s="97"/>
      <c r="AW193" s="97"/>
      <c r="AX193" s="97"/>
      <c r="AY193" s="97"/>
      <c r="AZ193" s="97"/>
      <c r="BA193" s="97"/>
      <c r="BB193" s="97"/>
      <c r="BC193" s="97"/>
      <c r="BD193" s="97"/>
      <c r="BE193" s="97"/>
      <c r="BF193" s="97"/>
      <c r="BG193" s="97"/>
      <c r="BH193" s="97"/>
    </row>
    <row r="194" spans="1:60" x14ac:dyDescent="0.25">
      <c r="A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c r="AU194" s="97"/>
      <c r="AV194" s="97"/>
      <c r="AW194" s="97"/>
      <c r="AX194" s="97"/>
      <c r="AY194" s="97"/>
      <c r="AZ194" s="97"/>
      <c r="BA194" s="97"/>
      <c r="BB194" s="97"/>
      <c r="BC194" s="97"/>
      <c r="BD194" s="97"/>
      <c r="BE194" s="97"/>
      <c r="BF194" s="97"/>
      <c r="BG194" s="97"/>
      <c r="BH194" s="97"/>
    </row>
    <row r="195" spans="1:60" x14ac:dyDescent="0.25">
      <c r="A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7"/>
      <c r="AO195" s="97"/>
      <c r="AP195" s="97"/>
      <c r="AQ195" s="97"/>
      <c r="AR195" s="97"/>
      <c r="AS195" s="97"/>
      <c r="AT195" s="97"/>
      <c r="AU195" s="97"/>
      <c r="AV195" s="97"/>
      <c r="AW195" s="97"/>
      <c r="AX195" s="97"/>
      <c r="AY195" s="97"/>
      <c r="AZ195" s="97"/>
      <c r="BA195" s="97"/>
      <c r="BB195" s="97"/>
      <c r="BC195" s="97"/>
      <c r="BD195" s="97"/>
      <c r="BE195" s="97"/>
      <c r="BF195" s="97"/>
      <c r="BG195" s="97"/>
      <c r="BH195" s="97"/>
    </row>
    <row r="196" spans="1:60" x14ac:dyDescent="0.25">
      <c r="A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c r="AP196" s="97"/>
      <c r="AQ196" s="97"/>
      <c r="AR196" s="97"/>
      <c r="AS196" s="97"/>
      <c r="AT196" s="97"/>
      <c r="AU196" s="97"/>
      <c r="AV196" s="97"/>
      <c r="AW196" s="97"/>
      <c r="AX196" s="97"/>
      <c r="AY196" s="97"/>
      <c r="AZ196" s="97"/>
      <c r="BA196" s="97"/>
      <c r="BB196" s="97"/>
      <c r="BC196" s="97"/>
      <c r="BD196" s="97"/>
      <c r="BE196" s="97"/>
      <c r="BF196" s="97"/>
      <c r="BG196" s="97"/>
      <c r="BH196" s="97"/>
    </row>
    <row r="197" spans="1:60" x14ac:dyDescent="0.25">
      <c r="A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c r="AP197" s="97"/>
      <c r="AQ197" s="97"/>
      <c r="AR197" s="97"/>
      <c r="AS197" s="97"/>
      <c r="AT197" s="97"/>
      <c r="AU197" s="97"/>
      <c r="AV197" s="97"/>
      <c r="AW197" s="97"/>
      <c r="AX197" s="97"/>
      <c r="AY197" s="97"/>
      <c r="AZ197" s="97"/>
      <c r="BA197" s="97"/>
      <c r="BB197" s="97"/>
      <c r="BC197" s="97"/>
      <c r="BD197" s="97"/>
      <c r="BE197" s="97"/>
      <c r="BF197" s="97"/>
      <c r="BG197" s="97"/>
      <c r="BH197" s="97"/>
    </row>
    <row r="198" spans="1:60" x14ac:dyDescent="0.25">
      <c r="A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97"/>
      <c r="AT198" s="97"/>
      <c r="AU198" s="97"/>
      <c r="AV198" s="97"/>
      <c r="AW198" s="97"/>
      <c r="AX198" s="97"/>
      <c r="AY198" s="97"/>
      <c r="AZ198" s="97"/>
      <c r="BA198" s="97"/>
      <c r="BB198" s="97"/>
      <c r="BC198" s="97"/>
      <c r="BD198" s="97"/>
      <c r="BE198" s="97"/>
      <c r="BF198" s="97"/>
      <c r="BG198" s="97"/>
      <c r="BH198" s="97"/>
    </row>
    <row r="199" spans="1:60" x14ac:dyDescent="0.25">
      <c r="A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c r="AU199" s="97"/>
      <c r="AV199" s="97"/>
      <c r="AW199" s="97"/>
      <c r="AX199" s="97"/>
      <c r="AY199" s="97"/>
      <c r="AZ199" s="97"/>
      <c r="BA199" s="97"/>
      <c r="BB199" s="97"/>
      <c r="BC199" s="97"/>
      <c r="BD199" s="97"/>
      <c r="BE199" s="97"/>
      <c r="BF199" s="97"/>
      <c r="BG199" s="97"/>
      <c r="BH199" s="97"/>
    </row>
    <row r="200" spans="1:60" x14ac:dyDescent="0.25">
      <c r="A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c r="AU200" s="97"/>
      <c r="AV200" s="97"/>
      <c r="AW200" s="97"/>
      <c r="AX200" s="97"/>
      <c r="AY200" s="97"/>
      <c r="AZ200" s="97"/>
      <c r="BA200" s="97"/>
      <c r="BB200" s="97"/>
      <c r="BC200" s="97"/>
      <c r="BD200" s="97"/>
      <c r="BE200" s="97"/>
      <c r="BF200" s="97"/>
      <c r="BG200" s="97"/>
      <c r="BH200" s="97"/>
    </row>
    <row r="201" spans="1:60" x14ac:dyDescent="0.25">
      <c r="A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c r="AP201" s="97"/>
      <c r="AQ201" s="97"/>
      <c r="AR201" s="97"/>
      <c r="AS201" s="97"/>
      <c r="AT201" s="97"/>
      <c r="AU201" s="97"/>
      <c r="AV201" s="97"/>
      <c r="AW201" s="97"/>
      <c r="AX201" s="97"/>
      <c r="AY201" s="97"/>
      <c r="AZ201" s="97"/>
      <c r="BA201" s="97"/>
      <c r="BB201" s="97"/>
      <c r="BC201" s="97"/>
      <c r="BD201" s="97"/>
      <c r="BE201" s="97"/>
      <c r="BF201" s="97"/>
      <c r="BG201" s="97"/>
      <c r="BH201" s="97"/>
    </row>
    <row r="202" spans="1:60" x14ac:dyDescent="0.25">
      <c r="A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c r="BF202" s="97"/>
      <c r="BG202" s="97"/>
      <c r="BH202" s="97"/>
    </row>
    <row r="203" spans="1:60" x14ac:dyDescent="0.25">
      <c r="A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7"/>
      <c r="AO203" s="97"/>
      <c r="AP203" s="97"/>
      <c r="AQ203" s="97"/>
      <c r="AR203" s="97"/>
      <c r="AS203" s="97"/>
      <c r="AT203" s="97"/>
      <c r="AU203" s="97"/>
      <c r="AV203" s="97"/>
      <c r="AW203" s="97"/>
      <c r="AX203" s="97"/>
      <c r="AY203" s="97"/>
      <c r="AZ203" s="97"/>
      <c r="BA203" s="97"/>
      <c r="BB203" s="97"/>
      <c r="BC203" s="97"/>
      <c r="BD203" s="97"/>
      <c r="BE203" s="97"/>
      <c r="BF203" s="97"/>
      <c r="BG203" s="97"/>
      <c r="BH203" s="97"/>
    </row>
    <row r="204" spans="1:60" x14ac:dyDescent="0.25">
      <c r="A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97"/>
      <c r="BE204" s="97"/>
      <c r="BF204" s="97"/>
      <c r="BG204" s="97"/>
      <c r="BH204" s="97"/>
    </row>
    <row r="205" spans="1:60" x14ac:dyDescent="0.25">
      <c r="A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97"/>
      <c r="BE205" s="97"/>
      <c r="BF205" s="97"/>
      <c r="BG205" s="97"/>
      <c r="BH205" s="97"/>
    </row>
    <row r="206" spans="1:60" x14ac:dyDescent="0.25">
      <c r="A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Y206" s="97"/>
      <c r="AZ206" s="97"/>
      <c r="BA206" s="97"/>
      <c r="BB206" s="97"/>
      <c r="BC206" s="97"/>
      <c r="BD206" s="97"/>
      <c r="BE206" s="97"/>
      <c r="BF206" s="97"/>
      <c r="BG206" s="97"/>
      <c r="BH206" s="97"/>
    </row>
    <row r="207" spans="1:60" x14ac:dyDescent="0.25">
      <c r="A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c r="BF207" s="97"/>
      <c r="BG207" s="97"/>
      <c r="BH207" s="97"/>
    </row>
    <row r="208" spans="1:60" x14ac:dyDescent="0.25">
      <c r="A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97"/>
      <c r="BB208" s="97"/>
      <c r="BC208" s="97"/>
      <c r="BD208" s="97"/>
      <c r="BE208" s="97"/>
      <c r="BF208" s="97"/>
      <c r="BG208" s="97"/>
      <c r="BH208" s="97"/>
    </row>
    <row r="209" spans="1:60" x14ac:dyDescent="0.25">
      <c r="A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97"/>
      <c r="BE209" s="97"/>
      <c r="BF209" s="97"/>
      <c r="BG209" s="97"/>
      <c r="BH209" s="97"/>
    </row>
    <row r="210" spans="1:60" x14ac:dyDescent="0.25">
      <c r="A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c r="BF210" s="97"/>
      <c r="BG210" s="97"/>
      <c r="BH210" s="97"/>
    </row>
    <row r="211" spans="1:60" x14ac:dyDescent="0.25">
      <c r="A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c r="BF211" s="97"/>
      <c r="BG211" s="97"/>
      <c r="BH211" s="97"/>
    </row>
    <row r="212" spans="1:60" x14ac:dyDescent="0.25">
      <c r="A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97"/>
      <c r="AR212" s="97"/>
      <c r="AS212" s="97"/>
      <c r="AT212" s="97"/>
      <c r="AU212" s="97"/>
      <c r="AV212" s="97"/>
      <c r="AW212" s="97"/>
      <c r="AX212" s="97"/>
      <c r="AY212" s="97"/>
      <c r="AZ212" s="97"/>
      <c r="BA212" s="97"/>
      <c r="BB212" s="97"/>
      <c r="BC212" s="97"/>
      <c r="BD212" s="97"/>
      <c r="BE212" s="97"/>
      <c r="BF212" s="97"/>
      <c r="BG212" s="97"/>
      <c r="BH212" s="97"/>
    </row>
    <row r="213" spans="1:60" x14ac:dyDescent="0.25">
      <c r="A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7"/>
      <c r="AJ213" s="97"/>
      <c r="AK213" s="97"/>
      <c r="AL213" s="97"/>
      <c r="AM213" s="97"/>
      <c r="AN213" s="97"/>
      <c r="AO213" s="97"/>
      <c r="AP213" s="97"/>
      <c r="AQ213" s="97"/>
      <c r="AR213" s="97"/>
      <c r="AS213" s="97"/>
      <c r="AT213" s="97"/>
      <c r="AU213" s="97"/>
      <c r="AV213" s="97"/>
      <c r="AW213" s="97"/>
      <c r="AX213" s="97"/>
      <c r="AY213" s="97"/>
      <c r="AZ213" s="97"/>
      <c r="BA213" s="97"/>
      <c r="BB213" s="97"/>
      <c r="BC213" s="97"/>
      <c r="BD213" s="97"/>
      <c r="BE213" s="97"/>
      <c r="BF213" s="97"/>
      <c r="BG213" s="97"/>
      <c r="BH213" s="97"/>
    </row>
    <row r="214" spans="1:60" x14ac:dyDescent="0.25">
      <c r="A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c r="AP214" s="97"/>
      <c r="AQ214" s="97"/>
      <c r="AR214" s="97"/>
      <c r="AS214" s="97"/>
      <c r="AT214" s="97"/>
      <c r="AU214" s="97"/>
      <c r="AV214" s="97"/>
      <c r="AW214" s="97"/>
      <c r="AX214" s="97"/>
      <c r="AY214" s="97"/>
      <c r="AZ214" s="97"/>
      <c r="BA214" s="97"/>
      <c r="BB214" s="97"/>
      <c r="BC214" s="97"/>
      <c r="BD214" s="97"/>
      <c r="BE214" s="97"/>
      <c r="BF214" s="97"/>
      <c r="BG214" s="97"/>
      <c r="BH214" s="97"/>
    </row>
    <row r="215" spans="1:60" x14ac:dyDescent="0.25">
      <c r="A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c r="AP215" s="97"/>
      <c r="AQ215" s="97"/>
      <c r="AR215" s="97"/>
      <c r="AS215" s="97"/>
      <c r="AT215" s="97"/>
      <c r="AU215" s="97"/>
      <c r="AV215" s="97"/>
      <c r="AW215" s="97"/>
      <c r="AX215" s="97"/>
      <c r="AY215" s="97"/>
      <c r="AZ215" s="97"/>
      <c r="BA215" s="97"/>
      <c r="BB215" s="97"/>
      <c r="BC215" s="97"/>
      <c r="BD215" s="97"/>
      <c r="BE215" s="97"/>
      <c r="BF215" s="97"/>
      <c r="BG215" s="97"/>
      <c r="BH215" s="97"/>
    </row>
    <row r="216" spans="1:60" x14ac:dyDescent="0.25">
      <c r="A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c r="AP216" s="97"/>
      <c r="AQ216" s="97"/>
      <c r="AR216" s="97"/>
      <c r="AS216" s="97"/>
      <c r="AT216" s="97"/>
      <c r="AU216" s="97"/>
      <c r="AV216" s="97"/>
      <c r="AW216" s="97"/>
      <c r="AX216" s="97"/>
      <c r="AY216" s="97"/>
      <c r="AZ216" s="97"/>
      <c r="BA216" s="97"/>
      <c r="BB216" s="97"/>
      <c r="BC216" s="97"/>
      <c r="BD216" s="97"/>
      <c r="BE216" s="97"/>
      <c r="BF216" s="97"/>
      <c r="BG216" s="97"/>
      <c r="BH216" s="97"/>
    </row>
    <row r="217" spans="1:60" x14ac:dyDescent="0.25">
      <c r="A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c r="AP217" s="97"/>
      <c r="AQ217" s="97"/>
      <c r="AR217" s="97"/>
      <c r="AS217" s="97"/>
      <c r="AT217" s="97"/>
      <c r="AU217" s="97"/>
      <c r="AV217" s="97"/>
      <c r="AW217" s="97"/>
      <c r="AX217" s="97"/>
      <c r="AY217" s="97"/>
      <c r="AZ217" s="97"/>
      <c r="BA217" s="97"/>
      <c r="BB217" s="97"/>
      <c r="BC217" s="97"/>
      <c r="BD217" s="97"/>
      <c r="BE217" s="97"/>
      <c r="BF217" s="97"/>
      <c r="BG217" s="97"/>
      <c r="BH217" s="97"/>
    </row>
    <row r="218" spans="1:60" x14ac:dyDescent="0.25">
      <c r="A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c r="BF218" s="97"/>
      <c r="BG218" s="97"/>
      <c r="BH218" s="97"/>
    </row>
    <row r="219" spans="1:60" x14ac:dyDescent="0.25">
      <c r="A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c r="AT219" s="97"/>
      <c r="AU219" s="97"/>
      <c r="AV219" s="97"/>
      <c r="AW219" s="97"/>
      <c r="AX219" s="97"/>
      <c r="AY219" s="97"/>
      <c r="AZ219" s="97"/>
      <c r="BA219" s="97"/>
      <c r="BB219" s="97"/>
      <c r="BC219" s="97"/>
      <c r="BD219" s="97"/>
      <c r="BE219" s="97"/>
      <c r="BF219" s="97"/>
      <c r="BG219" s="97"/>
      <c r="BH219" s="97"/>
    </row>
    <row r="220" spans="1:60" x14ac:dyDescent="0.25">
      <c r="A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c r="AP220" s="97"/>
      <c r="AQ220" s="97"/>
      <c r="AR220" s="97"/>
      <c r="AS220" s="97"/>
      <c r="AT220" s="97"/>
      <c r="AU220" s="97"/>
      <c r="AV220" s="97"/>
      <c r="AW220" s="97"/>
      <c r="AX220" s="97"/>
      <c r="AY220" s="97"/>
      <c r="AZ220" s="97"/>
      <c r="BA220" s="97"/>
      <c r="BB220" s="97"/>
      <c r="BC220" s="97"/>
      <c r="BD220" s="97"/>
      <c r="BE220" s="97"/>
      <c r="BF220" s="97"/>
      <c r="BG220" s="97"/>
      <c r="BH220" s="97"/>
    </row>
    <row r="221" spans="1:60" x14ac:dyDescent="0.25">
      <c r="A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c r="AP221" s="97"/>
      <c r="AQ221" s="97"/>
      <c r="AR221" s="97"/>
      <c r="AS221" s="97"/>
      <c r="AT221" s="97"/>
      <c r="AU221" s="97"/>
      <c r="AV221" s="97"/>
      <c r="AW221" s="97"/>
      <c r="AX221" s="97"/>
      <c r="AY221" s="97"/>
      <c r="AZ221" s="97"/>
      <c r="BA221" s="97"/>
      <c r="BB221" s="97"/>
      <c r="BC221" s="97"/>
      <c r="BD221" s="97"/>
      <c r="BE221" s="97"/>
      <c r="BF221" s="97"/>
      <c r="BG221" s="97"/>
      <c r="BH221" s="97"/>
    </row>
    <row r="222" spans="1:60" x14ac:dyDescent="0.25">
      <c r="A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7"/>
      <c r="AP222" s="97"/>
      <c r="AQ222" s="97"/>
      <c r="AR222" s="97"/>
      <c r="AS222" s="97"/>
      <c r="AT222" s="97"/>
      <c r="AU222" s="97"/>
      <c r="AV222" s="97"/>
      <c r="AW222" s="97"/>
      <c r="AX222" s="97"/>
      <c r="AY222" s="97"/>
      <c r="AZ222" s="97"/>
      <c r="BA222" s="97"/>
      <c r="BB222" s="97"/>
      <c r="BC222" s="97"/>
      <c r="BD222" s="97"/>
      <c r="BE222" s="97"/>
      <c r="BF222" s="97"/>
      <c r="BG222" s="97"/>
      <c r="BH222" s="97"/>
    </row>
    <row r="223" spans="1:60" x14ac:dyDescent="0.25">
      <c r="A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c r="AJ223" s="97"/>
      <c r="AK223" s="97"/>
      <c r="AL223" s="97"/>
      <c r="AM223" s="97"/>
      <c r="AN223" s="97"/>
      <c r="AO223" s="97"/>
      <c r="AP223" s="97"/>
      <c r="AQ223" s="97"/>
      <c r="AR223" s="97"/>
      <c r="AS223" s="97"/>
      <c r="AT223" s="97"/>
      <c r="AU223" s="97"/>
      <c r="AV223" s="97"/>
      <c r="AW223" s="97"/>
      <c r="AX223" s="97"/>
      <c r="AY223" s="97"/>
      <c r="AZ223" s="97"/>
      <c r="BA223" s="97"/>
      <c r="BB223" s="97"/>
      <c r="BC223" s="97"/>
      <c r="BD223" s="97"/>
      <c r="BE223" s="97"/>
      <c r="BF223" s="97"/>
      <c r="BG223" s="97"/>
      <c r="BH223" s="97"/>
    </row>
    <row r="224" spans="1:60" x14ac:dyDescent="0.25">
      <c r="A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row>
    <row r="225" spans="1:60" x14ac:dyDescent="0.25">
      <c r="A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c r="AP225" s="97"/>
      <c r="AQ225" s="97"/>
      <c r="AR225" s="97"/>
      <c r="AS225" s="97"/>
      <c r="AT225" s="97"/>
      <c r="AU225" s="97"/>
      <c r="AV225" s="97"/>
      <c r="AW225" s="97"/>
      <c r="AX225" s="97"/>
      <c r="AY225" s="97"/>
      <c r="AZ225" s="97"/>
      <c r="BA225" s="97"/>
      <c r="BB225" s="97"/>
      <c r="BC225" s="97"/>
      <c r="BD225" s="97"/>
      <c r="BE225" s="97"/>
      <c r="BF225" s="97"/>
      <c r="BG225" s="97"/>
      <c r="BH225" s="97"/>
    </row>
    <row r="226" spans="1:60" x14ac:dyDescent="0.25">
      <c r="A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c r="AP226" s="97"/>
      <c r="AQ226" s="97"/>
      <c r="AR226" s="97"/>
      <c r="AS226" s="97"/>
      <c r="AT226" s="97"/>
      <c r="AU226" s="97"/>
      <c r="AV226" s="97"/>
      <c r="AW226" s="97"/>
      <c r="AX226" s="97"/>
      <c r="AY226" s="97"/>
      <c r="AZ226" s="97"/>
      <c r="BA226" s="97"/>
      <c r="BB226" s="97"/>
      <c r="BC226" s="97"/>
      <c r="BD226" s="97"/>
      <c r="BE226" s="97"/>
      <c r="BF226" s="97"/>
      <c r="BG226" s="97"/>
      <c r="BH226" s="97"/>
    </row>
    <row r="227" spans="1:60" x14ac:dyDescent="0.25">
      <c r="A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c r="AU227" s="97"/>
      <c r="AV227" s="97"/>
      <c r="AW227" s="97"/>
      <c r="AX227" s="97"/>
      <c r="AY227" s="97"/>
      <c r="AZ227" s="97"/>
      <c r="BA227" s="97"/>
      <c r="BB227" s="97"/>
      <c r="BC227" s="97"/>
      <c r="BD227" s="97"/>
      <c r="BE227" s="97"/>
      <c r="BF227" s="97"/>
      <c r="BG227" s="97"/>
      <c r="BH227" s="97"/>
    </row>
    <row r="228" spans="1:60" x14ac:dyDescent="0.25">
      <c r="A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7"/>
      <c r="BC228" s="97"/>
      <c r="BD228" s="97"/>
      <c r="BE228" s="97"/>
      <c r="BF228" s="97"/>
      <c r="BG228" s="97"/>
      <c r="BH228" s="97"/>
    </row>
    <row r="229" spans="1:60" x14ac:dyDescent="0.25">
      <c r="A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c r="AU229" s="97"/>
      <c r="AV229" s="97"/>
      <c r="AW229" s="97"/>
      <c r="AX229" s="97"/>
      <c r="AY229" s="97"/>
      <c r="AZ229" s="97"/>
      <c r="BA229" s="97"/>
      <c r="BB229" s="97"/>
      <c r="BC229" s="97"/>
      <c r="BD229" s="97"/>
      <c r="BE229" s="97"/>
      <c r="BF229" s="97"/>
      <c r="BG229" s="97"/>
      <c r="BH229" s="97"/>
    </row>
    <row r="230" spans="1:60" x14ac:dyDescent="0.25">
      <c r="A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c r="AP230" s="97"/>
      <c r="AQ230" s="97"/>
      <c r="AR230" s="97"/>
      <c r="AS230" s="97"/>
      <c r="AT230" s="97"/>
      <c r="AU230" s="97"/>
      <c r="AV230" s="97"/>
      <c r="AW230" s="97"/>
      <c r="AX230" s="97"/>
      <c r="AY230" s="97"/>
      <c r="AZ230" s="97"/>
      <c r="BA230" s="97"/>
      <c r="BB230" s="97"/>
      <c r="BC230" s="97"/>
      <c r="BD230" s="97"/>
      <c r="BE230" s="97"/>
      <c r="BF230" s="97"/>
      <c r="BG230" s="97"/>
      <c r="BH230" s="97"/>
    </row>
    <row r="231" spans="1:60" x14ac:dyDescent="0.25">
      <c r="A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c r="AP231" s="97"/>
      <c r="AQ231" s="97"/>
      <c r="AR231" s="97"/>
      <c r="AS231" s="97"/>
      <c r="AT231" s="97"/>
      <c r="AU231" s="97"/>
      <c r="AV231" s="97"/>
      <c r="AW231" s="97"/>
      <c r="AX231" s="97"/>
      <c r="AY231" s="97"/>
      <c r="AZ231" s="97"/>
      <c r="BA231" s="97"/>
      <c r="BB231" s="97"/>
      <c r="BC231" s="97"/>
      <c r="BD231" s="97"/>
      <c r="BE231" s="97"/>
      <c r="BF231" s="97"/>
      <c r="BG231" s="97"/>
      <c r="BH231" s="97"/>
    </row>
    <row r="232" spans="1:60" x14ac:dyDescent="0.25">
      <c r="A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c r="AP232" s="97"/>
      <c r="AQ232" s="97"/>
      <c r="AR232" s="97"/>
      <c r="AS232" s="97"/>
      <c r="AT232" s="97"/>
      <c r="AU232" s="97"/>
      <c r="AV232" s="97"/>
      <c r="AW232" s="97"/>
      <c r="AX232" s="97"/>
      <c r="AY232" s="97"/>
      <c r="AZ232" s="97"/>
      <c r="BA232" s="97"/>
      <c r="BB232" s="97"/>
      <c r="BC232" s="97"/>
      <c r="BD232" s="97"/>
      <c r="BE232" s="97"/>
      <c r="BF232" s="97"/>
      <c r="BG232" s="97"/>
      <c r="BH232" s="97"/>
    </row>
    <row r="233" spans="1:60" x14ac:dyDescent="0.25">
      <c r="A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c r="AP233" s="97"/>
      <c r="AQ233" s="97"/>
      <c r="AR233" s="97"/>
      <c r="AS233" s="97"/>
      <c r="AT233" s="97"/>
      <c r="AU233" s="97"/>
      <c r="AV233" s="97"/>
      <c r="AW233" s="97"/>
      <c r="AX233" s="97"/>
      <c r="AY233" s="97"/>
      <c r="AZ233" s="97"/>
      <c r="BA233" s="97"/>
      <c r="BB233" s="97"/>
      <c r="BC233" s="97"/>
      <c r="BD233" s="97"/>
      <c r="BE233" s="97"/>
      <c r="BF233" s="97"/>
      <c r="BG233" s="97"/>
      <c r="BH233" s="97"/>
    </row>
    <row r="234" spans="1:60" x14ac:dyDescent="0.25">
      <c r="A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97"/>
      <c r="AU234" s="97"/>
      <c r="AV234" s="97"/>
      <c r="AW234" s="97"/>
      <c r="AX234" s="97"/>
      <c r="AY234" s="97"/>
      <c r="AZ234" s="97"/>
      <c r="BA234" s="97"/>
      <c r="BB234" s="97"/>
      <c r="BC234" s="97"/>
      <c r="BD234" s="97"/>
      <c r="BE234" s="97"/>
      <c r="BF234" s="97"/>
      <c r="BG234" s="97"/>
      <c r="BH234" s="97"/>
    </row>
    <row r="235" spans="1:60" x14ac:dyDescent="0.25">
      <c r="A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c r="AP235" s="97"/>
      <c r="AQ235" s="97"/>
      <c r="AR235" s="97"/>
      <c r="AS235" s="97"/>
      <c r="AT235" s="97"/>
      <c r="AU235" s="97"/>
      <c r="AV235" s="97"/>
      <c r="AW235" s="97"/>
      <c r="AX235" s="97"/>
      <c r="AY235" s="97"/>
      <c r="AZ235" s="97"/>
      <c r="BA235" s="97"/>
      <c r="BB235" s="97"/>
      <c r="BC235" s="97"/>
      <c r="BD235" s="97"/>
      <c r="BE235" s="97"/>
      <c r="BF235" s="97"/>
      <c r="BG235" s="97"/>
      <c r="BH235" s="97"/>
    </row>
    <row r="236" spans="1:60" x14ac:dyDescent="0.25">
      <c r="A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7"/>
      <c r="AP236" s="97"/>
      <c r="AQ236" s="97"/>
      <c r="AR236" s="97"/>
      <c r="AS236" s="97"/>
      <c r="AT236" s="97"/>
      <c r="AU236" s="97"/>
      <c r="AV236" s="97"/>
      <c r="AW236" s="97"/>
      <c r="AX236" s="97"/>
      <c r="AY236" s="97"/>
      <c r="AZ236" s="97"/>
      <c r="BA236" s="97"/>
      <c r="BB236" s="97"/>
      <c r="BC236" s="97"/>
      <c r="BD236" s="97"/>
      <c r="BE236" s="97"/>
      <c r="BF236" s="97"/>
      <c r="BG236" s="97"/>
      <c r="BH236" s="97"/>
    </row>
    <row r="237" spans="1:60" x14ac:dyDescent="0.25">
      <c r="A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c r="AY237" s="97"/>
      <c r="AZ237" s="97"/>
      <c r="BA237" s="97"/>
      <c r="BB237" s="97"/>
      <c r="BC237" s="97"/>
      <c r="BD237" s="97"/>
      <c r="BE237" s="97"/>
      <c r="BF237" s="97"/>
      <c r="BG237" s="97"/>
      <c r="BH237" s="97"/>
    </row>
    <row r="238" spans="1:60" x14ac:dyDescent="0.25">
      <c r="A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c r="AY238" s="97"/>
      <c r="AZ238" s="97"/>
      <c r="BA238" s="97"/>
      <c r="BB238" s="97"/>
      <c r="BC238" s="97"/>
      <c r="BD238" s="97"/>
      <c r="BE238" s="97"/>
      <c r="BF238" s="97"/>
      <c r="BG238" s="97"/>
      <c r="BH238" s="97"/>
    </row>
    <row r="239" spans="1:60" x14ac:dyDescent="0.25">
      <c r="A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97"/>
      <c r="AR239" s="97"/>
      <c r="AS239" s="97"/>
      <c r="AT239" s="97"/>
      <c r="AU239" s="97"/>
      <c r="AV239" s="97"/>
      <c r="AW239" s="97"/>
      <c r="AX239" s="97"/>
      <c r="AY239" s="97"/>
      <c r="AZ239" s="97"/>
      <c r="BA239" s="97"/>
      <c r="BB239" s="97"/>
      <c r="BC239" s="97"/>
      <c r="BD239" s="97"/>
      <c r="BE239" s="97"/>
      <c r="BF239" s="97"/>
      <c r="BG239" s="97"/>
      <c r="BH239" s="97"/>
    </row>
    <row r="240" spans="1:60" x14ac:dyDescent="0.25">
      <c r="A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c r="BF240" s="97"/>
      <c r="BG240" s="97"/>
      <c r="BH240" s="97"/>
    </row>
    <row r="241" spans="1:60" x14ac:dyDescent="0.25">
      <c r="A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row>
    <row r="242" spans="1:60" x14ac:dyDescent="0.25">
      <c r="A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c r="AP242" s="97"/>
      <c r="AQ242" s="97"/>
      <c r="AR242" s="97"/>
      <c r="AS242" s="97"/>
      <c r="AT242" s="97"/>
      <c r="AU242" s="97"/>
      <c r="AV242" s="97"/>
      <c r="AW242" s="97"/>
      <c r="AX242" s="97"/>
      <c r="AY242" s="97"/>
      <c r="AZ242" s="97"/>
      <c r="BA242" s="97"/>
      <c r="BB242" s="97"/>
      <c r="BC242" s="97"/>
      <c r="BD242" s="97"/>
      <c r="BE242" s="97"/>
      <c r="BF242" s="97"/>
      <c r="BG242" s="97"/>
      <c r="BH242" s="97"/>
    </row>
    <row r="243" spans="1:60" x14ac:dyDescent="0.25">
      <c r="A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c r="AU243" s="97"/>
      <c r="AV243" s="97"/>
      <c r="AW243" s="97"/>
      <c r="AX243" s="97"/>
      <c r="AY243" s="97"/>
      <c r="AZ243" s="97"/>
      <c r="BA243" s="97"/>
      <c r="BB243" s="97"/>
      <c r="BC243" s="97"/>
      <c r="BD243" s="97"/>
      <c r="BE243" s="97"/>
      <c r="BF243" s="97"/>
      <c r="BG243" s="97"/>
      <c r="BH243" s="97"/>
    </row>
    <row r="244" spans="1:60" x14ac:dyDescent="0.25">
      <c r="A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F244" s="97"/>
      <c r="BG244" s="97"/>
      <c r="BH244" s="97"/>
    </row>
    <row r="245" spans="1:60" x14ac:dyDescent="0.25">
      <c r="A245" s="97"/>
    </row>
    <row r="246" spans="1:60" x14ac:dyDescent="0.25">
      <c r="A246" s="97"/>
    </row>
    <row r="247" spans="1:60" x14ac:dyDescent="0.25">
      <c r="A247" s="97"/>
    </row>
    <row r="248" spans="1:60" x14ac:dyDescent="0.25">
      <c r="A248" s="97"/>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80" zoomScaleNormal="80" workbookViewId="0">
      <selection activeCell="C8" sqref="C8"/>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97"/>
      <c r="B1" s="451" t="s">
        <v>199</v>
      </c>
      <c r="C1" s="451"/>
      <c r="D1" s="451"/>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1:37" x14ac:dyDescent="0.25">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row>
    <row r="3" spans="1:37" ht="25.5" x14ac:dyDescent="0.25">
      <c r="A3" s="97"/>
      <c r="B3" s="11"/>
      <c r="C3" s="12" t="s">
        <v>200</v>
      </c>
      <c r="D3" s="12" t="s">
        <v>182</v>
      </c>
      <c r="E3" s="97"/>
      <c r="F3" s="97"/>
      <c r="G3" s="97"/>
      <c r="H3" s="97"/>
      <c r="I3" s="97"/>
      <c r="J3" s="97"/>
      <c r="K3" s="97"/>
      <c r="L3" s="97"/>
      <c r="M3" s="97"/>
      <c r="N3" s="97"/>
      <c r="O3" s="97"/>
      <c r="P3" s="97"/>
      <c r="Q3" s="97"/>
      <c r="R3" s="97"/>
      <c r="S3" s="97"/>
      <c r="T3" s="97"/>
      <c r="U3" s="97"/>
      <c r="V3" s="97"/>
      <c r="W3" s="97"/>
      <c r="X3" s="97"/>
      <c r="Y3" s="97"/>
      <c r="Z3" s="97"/>
      <c r="AA3" s="97"/>
      <c r="AB3" s="97"/>
      <c r="AC3" s="97"/>
      <c r="AD3" s="97"/>
      <c r="AE3" s="97"/>
    </row>
    <row r="4" spans="1:37" ht="51" x14ac:dyDescent="0.25">
      <c r="A4" s="97"/>
      <c r="B4" s="13" t="s">
        <v>201</v>
      </c>
      <c r="C4" s="14" t="s">
        <v>202</v>
      </c>
      <c r="D4" s="15">
        <v>0.2</v>
      </c>
      <c r="E4" s="97"/>
      <c r="F4" s="97"/>
      <c r="G4" s="97"/>
      <c r="H4" s="97"/>
      <c r="I4" s="97"/>
      <c r="J4" s="97"/>
      <c r="K4" s="97"/>
      <c r="L4" s="97"/>
      <c r="M4" s="97"/>
      <c r="N4" s="97"/>
      <c r="O4" s="97"/>
      <c r="P4" s="97"/>
      <c r="Q4" s="97"/>
      <c r="R4" s="97"/>
      <c r="S4" s="97"/>
      <c r="T4" s="97"/>
      <c r="U4" s="97"/>
      <c r="V4" s="97"/>
      <c r="W4" s="97"/>
      <c r="X4" s="97"/>
      <c r="Y4" s="97"/>
      <c r="Z4" s="97"/>
      <c r="AA4" s="97"/>
      <c r="AB4" s="97"/>
      <c r="AC4" s="97"/>
      <c r="AD4" s="97"/>
      <c r="AE4" s="97"/>
    </row>
    <row r="5" spans="1:37" ht="51" x14ac:dyDescent="0.25">
      <c r="A5" s="97"/>
      <c r="B5" s="16" t="s">
        <v>203</v>
      </c>
      <c r="C5" s="17" t="s">
        <v>204</v>
      </c>
      <c r="D5" s="18">
        <v>0.4</v>
      </c>
      <c r="E5" s="97"/>
      <c r="F5" s="97"/>
      <c r="G5" s="97"/>
      <c r="H5" s="97"/>
      <c r="I5" s="97"/>
      <c r="J5" s="97"/>
      <c r="K5" s="97"/>
      <c r="L5" s="97"/>
      <c r="M5" s="97"/>
      <c r="N5" s="97"/>
      <c r="O5" s="97"/>
      <c r="P5" s="97"/>
      <c r="Q5" s="97"/>
      <c r="R5" s="97"/>
      <c r="S5" s="97"/>
      <c r="T5" s="97"/>
      <c r="U5" s="97"/>
      <c r="V5" s="97"/>
      <c r="W5" s="97"/>
      <c r="X5" s="97"/>
      <c r="Y5" s="97"/>
      <c r="Z5" s="97"/>
      <c r="AA5" s="97"/>
      <c r="AB5" s="97"/>
      <c r="AC5" s="97"/>
      <c r="AD5" s="97"/>
      <c r="AE5" s="97"/>
    </row>
    <row r="6" spans="1:37" ht="51" x14ac:dyDescent="0.25">
      <c r="A6" s="97"/>
      <c r="B6" s="19" t="s">
        <v>205</v>
      </c>
      <c r="C6" s="17" t="s">
        <v>206</v>
      </c>
      <c r="D6" s="18">
        <v>0.6</v>
      </c>
      <c r="E6" s="97"/>
      <c r="F6" s="97"/>
      <c r="G6" s="97"/>
      <c r="H6" s="97"/>
      <c r="I6" s="97"/>
      <c r="J6" s="97"/>
      <c r="K6" s="97"/>
      <c r="L6" s="97"/>
      <c r="M6" s="97"/>
      <c r="N6" s="97"/>
      <c r="O6" s="97"/>
      <c r="P6" s="97"/>
      <c r="Q6" s="97"/>
      <c r="R6" s="97"/>
      <c r="S6" s="97"/>
      <c r="T6" s="97"/>
      <c r="U6" s="97"/>
      <c r="V6" s="97"/>
      <c r="W6" s="97"/>
      <c r="X6" s="97"/>
      <c r="Y6" s="97"/>
      <c r="Z6" s="97"/>
      <c r="AA6" s="97"/>
      <c r="AB6" s="97"/>
      <c r="AC6" s="97"/>
      <c r="AD6" s="97"/>
      <c r="AE6" s="97"/>
    </row>
    <row r="7" spans="1:37" ht="76.5" x14ac:dyDescent="0.25">
      <c r="A7" s="97"/>
      <c r="B7" s="20" t="s">
        <v>207</v>
      </c>
      <c r="C7" s="17" t="s">
        <v>208</v>
      </c>
      <c r="D7" s="18">
        <v>0.8</v>
      </c>
      <c r="E7" s="97"/>
      <c r="F7" s="97"/>
      <c r="G7" s="97"/>
      <c r="H7" s="97"/>
      <c r="I7" s="97"/>
      <c r="J7" s="97"/>
      <c r="K7" s="97"/>
      <c r="L7" s="97"/>
      <c r="M7" s="97"/>
      <c r="N7" s="97"/>
      <c r="O7" s="97"/>
      <c r="P7" s="97"/>
      <c r="Q7" s="97"/>
      <c r="R7" s="97"/>
      <c r="S7" s="97"/>
      <c r="T7" s="97"/>
      <c r="U7" s="97"/>
      <c r="V7" s="97"/>
      <c r="W7" s="97"/>
      <c r="X7" s="97"/>
      <c r="Y7" s="97"/>
      <c r="Z7" s="97"/>
      <c r="AA7" s="97"/>
      <c r="AB7" s="97"/>
      <c r="AC7" s="97"/>
      <c r="AD7" s="97"/>
      <c r="AE7" s="97"/>
    </row>
    <row r="8" spans="1:37" ht="51" x14ac:dyDescent="0.25">
      <c r="A8" s="97"/>
      <c r="B8" s="21" t="s">
        <v>209</v>
      </c>
      <c r="C8" s="17" t="s">
        <v>210</v>
      </c>
      <c r="D8" s="18">
        <v>1</v>
      </c>
      <c r="E8" s="97"/>
      <c r="F8" s="97"/>
      <c r="G8" s="97"/>
      <c r="H8" s="97"/>
      <c r="I8" s="97"/>
      <c r="J8" s="97"/>
      <c r="K8" s="97"/>
      <c r="L8" s="97"/>
      <c r="M8" s="97"/>
      <c r="N8" s="97"/>
      <c r="O8" s="97"/>
      <c r="P8" s="97"/>
      <c r="Q8" s="97"/>
      <c r="R8" s="97"/>
      <c r="S8" s="97"/>
      <c r="T8" s="97"/>
      <c r="U8" s="97"/>
      <c r="V8" s="97"/>
      <c r="W8" s="97"/>
      <c r="X8" s="97"/>
      <c r="Y8" s="97"/>
      <c r="Z8" s="97"/>
      <c r="AA8" s="97"/>
      <c r="AB8" s="97"/>
      <c r="AC8" s="97"/>
      <c r="AD8" s="97"/>
      <c r="AE8" s="97"/>
    </row>
    <row r="9" spans="1:37" x14ac:dyDescent="0.25">
      <c r="A9" s="97"/>
      <c r="B9" s="121"/>
      <c r="C9" s="121"/>
      <c r="D9" s="121"/>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row>
    <row r="10" spans="1:37" ht="16.5" x14ac:dyDescent="0.25">
      <c r="A10" s="97"/>
      <c r="B10" s="122"/>
      <c r="C10" s="121"/>
      <c r="D10" s="121"/>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row>
    <row r="11" spans="1:37" x14ac:dyDescent="0.25">
      <c r="A11" s="97"/>
      <c r="B11" s="121"/>
      <c r="C11" s="121"/>
      <c r="D11" s="121"/>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row>
    <row r="12" spans="1:37" x14ac:dyDescent="0.25">
      <c r="A12" s="97"/>
      <c r="B12" s="121"/>
      <c r="C12" s="121"/>
      <c r="D12" s="121"/>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row>
    <row r="13" spans="1:37" x14ac:dyDescent="0.25">
      <c r="A13" s="97"/>
      <c r="B13" s="121"/>
      <c r="C13" s="121"/>
      <c r="D13" s="121"/>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row>
    <row r="14" spans="1:37" x14ac:dyDescent="0.25">
      <c r="A14" s="97"/>
      <c r="B14" s="121"/>
      <c r="C14" s="121"/>
      <c r="D14" s="121"/>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row>
    <row r="15" spans="1:37" x14ac:dyDescent="0.25">
      <c r="A15" s="97"/>
      <c r="B15" s="121"/>
      <c r="C15" s="121"/>
      <c r="D15" s="121"/>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row>
    <row r="16" spans="1:37" x14ac:dyDescent="0.25">
      <c r="A16" s="97"/>
      <c r="B16" s="121"/>
      <c r="C16" s="121"/>
      <c r="D16" s="121"/>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row>
    <row r="17" spans="1:37" x14ac:dyDescent="0.25">
      <c r="A17" s="97"/>
      <c r="B17" s="121"/>
      <c r="C17" s="121"/>
      <c r="D17" s="121"/>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row>
    <row r="18" spans="1:37" x14ac:dyDescent="0.25">
      <c r="A18" s="97"/>
      <c r="B18" s="121"/>
      <c r="C18" s="121"/>
      <c r="D18" s="121"/>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row>
    <row r="19" spans="1:37" x14ac:dyDescent="0.25">
      <c r="A19" s="97"/>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row>
    <row r="20" spans="1:37" x14ac:dyDescent="0.25">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row>
    <row r="21" spans="1:37" x14ac:dyDescent="0.25">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row>
    <row r="22" spans="1:37" x14ac:dyDescent="0.25">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row>
    <row r="23" spans="1:37" x14ac:dyDescent="0.25">
      <c r="A23" s="97"/>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row>
    <row r="24" spans="1:37" x14ac:dyDescent="0.25">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row>
    <row r="25" spans="1:37" x14ac:dyDescent="0.25">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row>
    <row r="26" spans="1:37" x14ac:dyDescent="0.25">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row>
    <row r="27" spans="1:37" x14ac:dyDescent="0.25">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row>
    <row r="28" spans="1:37" x14ac:dyDescent="0.25">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row>
    <row r="29" spans="1:37" x14ac:dyDescent="0.25">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row>
    <row r="30" spans="1:37" x14ac:dyDescent="0.25">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row>
    <row r="31" spans="1:37" x14ac:dyDescent="0.25">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row>
    <row r="32" spans="1:37" x14ac:dyDescent="0.25">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row>
    <row r="33" spans="1:31" x14ac:dyDescent="0.25">
      <c r="A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row>
    <row r="34" spans="1:31" x14ac:dyDescent="0.25">
      <c r="A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row>
    <row r="35" spans="1:31" x14ac:dyDescent="0.25">
      <c r="A35" s="97"/>
    </row>
    <row r="36" spans="1:31" x14ac:dyDescent="0.25">
      <c r="A36" s="97"/>
    </row>
    <row r="37" spans="1:31" x14ac:dyDescent="0.25">
      <c r="A37" s="97"/>
    </row>
    <row r="38" spans="1:31" x14ac:dyDescent="0.25">
      <c r="A38" s="97"/>
    </row>
    <row r="39" spans="1:31" x14ac:dyDescent="0.25">
      <c r="A39" s="97"/>
    </row>
    <row r="40" spans="1:31" x14ac:dyDescent="0.25">
      <c r="A40" s="97"/>
    </row>
    <row r="41" spans="1:31" x14ac:dyDescent="0.25">
      <c r="A41" s="97"/>
    </row>
    <row r="42" spans="1:31" x14ac:dyDescent="0.25">
      <c r="A42" s="97"/>
    </row>
    <row r="43" spans="1:31" x14ac:dyDescent="0.25">
      <c r="A43" s="97"/>
    </row>
    <row r="44" spans="1:31" x14ac:dyDescent="0.25">
      <c r="A44" s="97"/>
    </row>
    <row r="45" spans="1:31" x14ac:dyDescent="0.25">
      <c r="A45" s="97"/>
    </row>
    <row r="46" spans="1:31" x14ac:dyDescent="0.25">
      <c r="A46" s="97"/>
    </row>
    <row r="47" spans="1:31" x14ac:dyDescent="0.25">
      <c r="A47" s="97"/>
    </row>
    <row r="48" spans="1:31" x14ac:dyDescent="0.25">
      <c r="A48" s="97"/>
    </row>
    <row r="49" spans="1:1" x14ac:dyDescent="0.25">
      <c r="A49" s="97"/>
    </row>
    <row r="50" spans="1:1" x14ac:dyDescent="0.25">
      <c r="A50" s="97"/>
    </row>
    <row r="51" spans="1:1" x14ac:dyDescent="0.25">
      <c r="A51" s="97"/>
    </row>
    <row r="52" spans="1:1" x14ac:dyDescent="0.25">
      <c r="A52" s="97"/>
    </row>
    <row r="53" spans="1:1" x14ac:dyDescent="0.25">
      <c r="A53" s="97"/>
    </row>
    <row r="54" spans="1:1" x14ac:dyDescent="0.25">
      <c r="A54" s="97"/>
    </row>
    <row r="55" spans="1:1" x14ac:dyDescent="0.25">
      <c r="A55" s="9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zoomScale="70" zoomScaleNormal="70" workbookViewId="0">
      <selection activeCell="C16" sqref="C16"/>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97"/>
      <c r="B1" s="452" t="s">
        <v>211</v>
      </c>
      <c r="C1" s="452"/>
      <c r="D1" s="452"/>
      <c r="E1" s="97"/>
      <c r="F1" s="97"/>
      <c r="G1" s="97"/>
      <c r="H1" s="97"/>
      <c r="I1" s="97"/>
      <c r="J1" s="97"/>
      <c r="K1" s="97"/>
      <c r="L1" s="97"/>
      <c r="M1" s="97"/>
      <c r="N1" s="97"/>
      <c r="O1" s="97"/>
      <c r="P1" s="97"/>
      <c r="Q1" s="97"/>
      <c r="R1" s="97"/>
      <c r="S1" s="97"/>
      <c r="T1" s="97"/>
      <c r="U1" s="97"/>
    </row>
    <row r="2" spans="1:21" x14ac:dyDescent="0.25">
      <c r="A2" s="97"/>
      <c r="B2" s="97"/>
      <c r="C2" s="97"/>
      <c r="D2" s="97"/>
      <c r="E2" s="97"/>
      <c r="F2" s="97"/>
      <c r="G2" s="97"/>
      <c r="H2" s="97"/>
      <c r="I2" s="97"/>
      <c r="J2" s="97"/>
      <c r="K2" s="97"/>
      <c r="L2" s="97"/>
      <c r="M2" s="97"/>
      <c r="N2" s="97"/>
      <c r="O2" s="97"/>
      <c r="P2" s="97"/>
      <c r="Q2" s="97"/>
      <c r="R2" s="97"/>
      <c r="S2" s="97"/>
      <c r="T2" s="97"/>
      <c r="U2" s="97"/>
    </row>
    <row r="3" spans="1:21" ht="30" x14ac:dyDescent="0.25">
      <c r="A3" s="97"/>
      <c r="B3" s="118"/>
      <c r="C3" s="38" t="s">
        <v>212</v>
      </c>
      <c r="D3" s="38" t="s">
        <v>213</v>
      </c>
      <c r="E3" s="97"/>
      <c r="F3" s="97"/>
      <c r="G3" s="97"/>
      <c r="H3" s="97"/>
      <c r="I3" s="97"/>
      <c r="J3" s="97"/>
      <c r="K3" s="97"/>
      <c r="L3" s="97"/>
      <c r="M3" s="97"/>
      <c r="N3" s="97"/>
      <c r="O3" s="97"/>
      <c r="P3" s="97"/>
      <c r="Q3" s="97"/>
      <c r="R3" s="97"/>
      <c r="S3" s="97"/>
      <c r="T3" s="97"/>
      <c r="U3" s="97"/>
    </row>
    <row r="4" spans="1:21" ht="33.75" x14ac:dyDescent="0.25">
      <c r="A4" s="117" t="s">
        <v>214</v>
      </c>
      <c r="B4" s="41" t="s">
        <v>215</v>
      </c>
      <c r="C4" s="46" t="s">
        <v>216</v>
      </c>
      <c r="D4" s="39" t="s">
        <v>217</v>
      </c>
      <c r="E4" s="97"/>
      <c r="F4" s="97"/>
      <c r="G4" s="97"/>
      <c r="H4" s="97"/>
      <c r="I4" s="97"/>
      <c r="J4" s="97"/>
      <c r="K4" s="97"/>
      <c r="L4" s="97"/>
      <c r="M4" s="97"/>
      <c r="N4" s="97"/>
      <c r="O4" s="97"/>
      <c r="P4" s="97"/>
      <c r="Q4" s="97"/>
      <c r="R4" s="97"/>
      <c r="S4" s="97"/>
      <c r="T4" s="97"/>
      <c r="U4" s="97"/>
    </row>
    <row r="5" spans="1:21" ht="67.5" x14ac:dyDescent="0.25">
      <c r="A5" s="117" t="s">
        <v>218</v>
      </c>
      <c r="B5" s="42" t="s">
        <v>219</v>
      </c>
      <c r="C5" s="47" t="s">
        <v>220</v>
      </c>
      <c r="D5" s="40" t="s">
        <v>221</v>
      </c>
      <c r="E5" s="97"/>
      <c r="F5" s="97"/>
      <c r="G5" s="97"/>
      <c r="H5" s="97"/>
      <c r="I5" s="97"/>
      <c r="J5" s="97"/>
      <c r="K5" s="97"/>
      <c r="L5" s="97"/>
      <c r="M5" s="97"/>
      <c r="N5" s="97"/>
      <c r="O5" s="97"/>
      <c r="P5" s="97"/>
      <c r="Q5" s="97"/>
      <c r="R5" s="97"/>
      <c r="S5" s="97"/>
      <c r="T5" s="97"/>
      <c r="U5" s="97"/>
    </row>
    <row r="6" spans="1:21" ht="67.5" x14ac:dyDescent="0.25">
      <c r="A6" s="117" t="s">
        <v>188</v>
      </c>
      <c r="B6" s="43" t="s">
        <v>222</v>
      </c>
      <c r="C6" s="47" t="s">
        <v>223</v>
      </c>
      <c r="D6" s="40" t="s">
        <v>224</v>
      </c>
      <c r="E6" s="97"/>
      <c r="F6" s="97"/>
      <c r="G6" s="97"/>
      <c r="H6" s="97"/>
      <c r="I6" s="97"/>
      <c r="J6" s="97"/>
      <c r="K6" s="97"/>
      <c r="L6" s="97"/>
      <c r="M6" s="97"/>
      <c r="N6" s="97"/>
      <c r="O6" s="97"/>
      <c r="P6" s="97"/>
      <c r="Q6" s="97"/>
      <c r="R6" s="97"/>
      <c r="S6" s="97"/>
      <c r="T6" s="97"/>
      <c r="U6" s="97"/>
    </row>
    <row r="7" spans="1:21" ht="101.25" x14ac:dyDescent="0.25">
      <c r="A7" s="117" t="s">
        <v>225</v>
      </c>
      <c r="B7" s="44" t="s">
        <v>226</v>
      </c>
      <c r="C7" s="47" t="s">
        <v>227</v>
      </c>
      <c r="D7" s="40" t="s">
        <v>228</v>
      </c>
      <c r="E7" s="97"/>
      <c r="F7" s="97"/>
      <c r="G7" s="97"/>
      <c r="H7" s="97"/>
      <c r="I7" s="97"/>
      <c r="J7" s="97"/>
      <c r="K7" s="97"/>
      <c r="L7" s="97"/>
      <c r="M7" s="97"/>
      <c r="N7" s="97"/>
      <c r="O7" s="97"/>
      <c r="P7" s="97"/>
      <c r="Q7" s="97"/>
      <c r="R7" s="97"/>
      <c r="S7" s="97"/>
      <c r="T7" s="97"/>
      <c r="U7" s="97"/>
    </row>
    <row r="8" spans="1:21" ht="67.5" x14ac:dyDescent="0.25">
      <c r="A8" s="117" t="s">
        <v>229</v>
      </c>
      <c r="B8" s="45" t="s">
        <v>230</v>
      </c>
      <c r="C8" s="47" t="s">
        <v>231</v>
      </c>
      <c r="D8" s="40" t="s">
        <v>232</v>
      </c>
      <c r="E8" s="97"/>
      <c r="F8" s="97"/>
      <c r="G8" s="97"/>
      <c r="H8" s="97"/>
      <c r="I8" s="97"/>
      <c r="J8" s="97"/>
      <c r="K8" s="97"/>
      <c r="L8" s="97"/>
      <c r="M8" s="97"/>
      <c r="N8" s="97"/>
      <c r="O8" s="97"/>
      <c r="P8" s="97"/>
      <c r="Q8" s="97"/>
      <c r="R8" s="97"/>
      <c r="S8" s="97"/>
      <c r="T8" s="97"/>
      <c r="U8" s="97"/>
    </row>
    <row r="9" spans="1:21" ht="20.25" x14ac:dyDescent="0.25">
      <c r="A9" s="117"/>
      <c r="B9" s="117"/>
      <c r="C9" s="119"/>
      <c r="D9" s="119"/>
      <c r="E9" s="97"/>
      <c r="F9" s="97"/>
      <c r="G9" s="97"/>
      <c r="H9" s="97"/>
      <c r="I9" s="97"/>
      <c r="J9" s="97"/>
      <c r="K9" s="97"/>
      <c r="L9" s="97"/>
      <c r="M9" s="97"/>
      <c r="N9" s="97"/>
      <c r="O9" s="97"/>
      <c r="P9" s="97"/>
      <c r="Q9" s="97"/>
      <c r="R9" s="97"/>
      <c r="S9" s="97"/>
      <c r="T9" s="97"/>
      <c r="U9" s="97"/>
    </row>
    <row r="10" spans="1:21" ht="16.5" x14ac:dyDescent="0.25">
      <c r="A10" s="117"/>
      <c r="B10" s="120"/>
      <c r="C10" s="120"/>
      <c r="D10" s="120"/>
      <c r="E10" s="97"/>
      <c r="F10" s="97"/>
      <c r="G10" s="97"/>
      <c r="H10" s="97"/>
      <c r="I10" s="97"/>
      <c r="J10" s="97"/>
      <c r="K10" s="97"/>
      <c r="L10" s="97"/>
      <c r="M10" s="97"/>
      <c r="N10" s="97"/>
      <c r="O10" s="97"/>
      <c r="P10" s="97"/>
      <c r="Q10" s="97"/>
      <c r="R10" s="97"/>
      <c r="S10" s="97"/>
      <c r="T10" s="97"/>
      <c r="U10" s="97"/>
    </row>
    <row r="11" spans="1:21" x14ac:dyDescent="0.25">
      <c r="A11" s="117"/>
      <c r="B11" s="117" t="s">
        <v>233</v>
      </c>
      <c r="C11" s="117" t="s">
        <v>234</v>
      </c>
      <c r="D11" s="117" t="s">
        <v>235</v>
      </c>
      <c r="E11" s="97"/>
      <c r="F11" s="97"/>
      <c r="G11" s="97"/>
      <c r="H11" s="97"/>
      <c r="I11" s="97"/>
      <c r="J11" s="97"/>
      <c r="K11" s="97"/>
      <c r="L11" s="97"/>
      <c r="M11" s="97"/>
      <c r="N11" s="97"/>
      <c r="O11" s="97"/>
      <c r="P11" s="97"/>
      <c r="Q11" s="97"/>
      <c r="R11" s="97"/>
      <c r="S11" s="97"/>
      <c r="T11" s="97"/>
      <c r="U11" s="97"/>
    </row>
    <row r="12" spans="1:21" x14ac:dyDescent="0.25">
      <c r="A12" s="117"/>
      <c r="B12" s="117" t="s">
        <v>236</v>
      </c>
      <c r="C12" s="117" t="s">
        <v>237</v>
      </c>
      <c r="D12" s="117" t="s">
        <v>238</v>
      </c>
      <c r="E12" s="97"/>
      <c r="F12" s="97"/>
      <c r="G12" s="97"/>
      <c r="H12" s="97"/>
      <c r="I12" s="97"/>
      <c r="J12" s="97"/>
      <c r="K12" s="97"/>
      <c r="L12" s="97"/>
      <c r="M12" s="97"/>
      <c r="N12" s="97"/>
      <c r="O12" s="97"/>
      <c r="P12" s="97"/>
      <c r="Q12" s="97"/>
      <c r="R12" s="97"/>
      <c r="S12" s="97"/>
      <c r="T12" s="97"/>
      <c r="U12" s="97"/>
    </row>
    <row r="13" spans="1:21" x14ac:dyDescent="0.25">
      <c r="A13" s="117"/>
      <c r="B13" s="117"/>
      <c r="C13" s="117" t="s">
        <v>239</v>
      </c>
      <c r="D13" s="117" t="s">
        <v>114</v>
      </c>
      <c r="E13" s="97"/>
      <c r="F13" s="97"/>
      <c r="G13" s="97"/>
      <c r="H13" s="97"/>
      <c r="I13" s="97"/>
      <c r="J13" s="97"/>
      <c r="K13" s="97"/>
      <c r="L13" s="97"/>
      <c r="M13" s="97"/>
      <c r="N13" s="97"/>
      <c r="O13" s="97"/>
      <c r="P13" s="97"/>
      <c r="Q13" s="97"/>
      <c r="R13" s="97"/>
      <c r="S13" s="97"/>
      <c r="T13" s="97"/>
      <c r="U13" s="97"/>
    </row>
    <row r="14" spans="1:21" x14ac:dyDescent="0.25">
      <c r="A14" s="117"/>
      <c r="B14" s="117"/>
      <c r="C14" s="117" t="s">
        <v>136</v>
      </c>
      <c r="D14" s="117"/>
      <c r="E14" s="97"/>
      <c r="F14" s="97"/>
      <c r="G14" s="97"/>
      <c r="H14" s="97"/>
      <c r="I14" s="97"/>
      <c r="J14" s="97"/>
      <c r="K14" s="97"/>
      <c r="L14" s="97"/>
      <c r="M14" s="97"/>
      <c r="N14" s="97"/>
      <c r="O14" s="97"/>
      <c r="P14" s="97"/>
      <c r="Q14" s="97"/>
      <c r="R14" s="97"/>
      <c r="S14" s="97"/>
      <c r="T14" s="97"/>
      <c r="U14" s="97"/>
    </row>
    <row r="15" spans="1:21" x14ac:dyDescent="0.25">
      <c r="A15" s="117"/>
      <c r="B15" s="117"/>
      <c r="C15" s="117" t="s">
        <v>240</v>
      </c>
      <c r="D15" s="117" t="s">
        <v>141</v>
      </c>
      <c r="E15" s="97"/>
      <c r="F15" s="97"/>
      <c r="G15" s="97"/>
      <c r="H15" s="97"/>
      <c r="I15" s="97"/>
      <c r="J15" s="97"/>
      <c r="K15" s="97"/>
      <c r="L15" s="97"/>
      <c r="M15" s="97"/>
      <c r="N15" s="97"/>
      <c r="O15" s="97"/>
      <c r="P15" s="97"/>
      <c r="Q15" s="97"/>
      <c r="R15" s="97"/>
      <c r="S15" s="97"/>
      <c r="T15" s="97"/>
      <c r="U15" s="97"/>
    </row>
    <row r="16" spans="1:21" x14ac:dyDescent="0.25">
      <c r="A16" s="117"/>
      <c r="B16" s="117"/>
      <c r="C16" s="117"/>
      <c r="D16" s="117"/>
      <c r="E16" s="97"/>
      <c r="F16" s="97"/>
      <c r="G16" s="97"/>
      <c r="H16" s="97"/>
      <c r="I16" s="97"/>
      <c r="J16" s="97"/>
      <c r="K16" s="97"/>
      <c r="L16" s="97"/>
      <c r="M16" s="97"/>
      <c r="N16" s="97"/>
      <c r="O16" s="97"/>
    </row>
    <row r="17" spans="1:15" x14ac:dyDescent="0.25">
      <c r="A17" s="117"/>
      <c r="B17" s="117"/>
      <c r="C17" s="117"/>
      <c r="D17" s="117"/>
      <c r="E17" s="97"/>
      <c r="F17" s="97"/>
      <c r="G17" s="97"/>
      <c r="H17" s="97"/>
      <c r="I17" s="97"/>
      <c r="J17" s="97"/>
      <c r="K17" s="97"/>
      <c r="L17" s="97"/>
      <c r="M17" s="97"/>
      <c r="N17" s="97"/>
      <c r="O17" s="97"/>
    </row>
    <row r="18" spans="1:15" x14ac:dyDescent="0.25">
      <c r="A18" s="117"/>
      <c r="B18" s="121"/>
      <c r="C18" s="121"/>
      <c r="D18" s="121"/>
      <c r="E18" s="97"/>
      <c r="F18" s="97"/>
      <c r="G18" s="97"/>
      <c r="H18" s="97"/>
      <c r="I18" s="97"/>
      <c r="J18" s="97"/>
      <c r="K18" s="97"/>
      <c r="L18" s="97"/>
      <c r="M18" s="97"/>
      <c r="N18" s="97"/>
      <c r="O18" s="97"/>
    </row>
    <row r="19" spans="1:15" x14ac:dyDescent="0.25">
      <c r="A19" s="117"/>
      <c r="B19" s="121"/>
      <c r="C19" s="121"/>
      <c r="D19" s="121"/>
      <c r="E19" s="97"/>
      <c r="F19" s="97"/>
      <c r="G19" s="97"/>
      <c r="H19" s="97"/>
      <c r="I19" s="97"/>
      <c r="J19" s="97"/>
      <c r="K19" s="97"/>
      <c r="L19" s="97"/>
      <c r="M19" s="97"/>
      <c r="N19" s="97"/>
      <c r="O19" s="97"/>
    </row>
    <row r="20" spans="1:15" x14ac:dyDescent="0.25">
      <c r="A20" s="117"/>
      <c r="B20" s="121"/>
      <c r="C20" s="121"/>
      <c r="D20" s="121"/>
      <c r="E20" s="97"/>
      <c r="F20" s="97"/>
      <c r="G20" s="97"/>
      <c r="H20" s="97"/>
      <c r="I20" s="97"/>
      <c r="J20" s="97"/>
      <c r="K20" s="97"/>
      <c r="L20" s="97"/>
      <c r="M20" s="97"/>
      <c r="N20" s="97"/>
      <c r="O20" s="97"/>
    </row>
    <row r="21" spans="1:15" x14ac:dyDescent="0.25">
      <c r="A21" s="117"/>
      <c r="B21" s="121"/>
      <c r="C21" s="121"/>
      <c r="D21" s="121"/>
      <c r="E21" s="97"/>
      <c r="F21" s="97"/>
      <c r="G21" s="97"/>
      <c r="H21" s="97"/>
      <c r="I21" s="97"/>
      <c r="J21" s="97"/>
      <c r="K21" s="97"/>
      <c r="L21" s="97"/>
      <c r="M21" s="97"/>
      <c r="N21" s="97"/>
      <c r="O21" s="97"/>
    </row>
    <row r="22" spans="1:15" ht="20.25" x14ac:dyDescent="0.25">
      <c r="A22" s="117"/>
      <c r="B22" s="117"/>
      <c r="C22" s="119"/>
      <c r="D22" s="119"/>
      <c r="E22" s="97"/>
      <c r="F22" s="97"/>
      <c r="G22" s="97"/>
      <c r="H22" s="97"/>
      <c r="I22" s="97"/>
      <c r="J22" s="97"/>
      <c r="K22" s="97"/>
      <c r="L22" s="97"/>
      <c r="M22" s="97"/>
      <c r="N22" s="97"/>
      <c r="O22" s="97"/>
    </row>
    <row r="23" spans="1:15" ht="20.25" x14ac:dyDescent="0.25">
      <c r="A23" s="117"/>
      <c r="B23" s="117"/>
      <c r="C23" s="119"/>
      <c r="D23" s="119"/>
      <c r="E23" s="97"/>
      <c r="F23" s="97"/>
      <c r="G23" s="97"/>
      <c r="H23" s="97"/>
      <c r="I23" s="97"/>
      <c r="J23" s="97"/>
      <c r="K23" s="97"/>
      <c r="L23" s="97"/>
      <c r="M23" s="97"/>
      <c r="N23" s="97"/>
      <c r="O23" s="97"/>
    </row>
    <row r="24" spans="1:15" ht="20.25" x14ac:dyDescent="0.25">
      <c r="A24" s="117"/>
      <c r="B24" s="117"/>
      <c r="C24" s="119"/>
      <c r="D24" s="119"/>
      <c r="E24" s="97"/>
      <c r="F24" s="97"/>
      <c r="G24" s="97"/>
      <c r="H24" s="97"/>
      <c r="I24" s="97"/>
      <c r="J24" s="97"/>
      <c r="K24" s="97"/>
      <c r="L24" s="97"/>
      <c r="M24" s="97"/>
      <c r="N24" s="97"/>
      <c r="O24" s="97"/>
    </row>
    <row r="25" spans="1:15" ht="20.25" x14ac:dyDescent="0.25">
      <c r="A25" s="117"/>
      <c r="B25" s="117"/>
      <c r="C25" s="119"/>
      <c r="D25" s="119"/>
      <c r="E25" s="97"/>
      <c r="F25" s="97"/>
      <c r="G25" s="97"/>
      <c r="H25" s="97"/>
      <c r="I25" s="97"/>
      <c r="J25" s="97"/>
      <c r="K25" s="97"/>
      <c r="L25" s="97"/>
      <c r="M25" s="97"/>
      <c r="N25" s="97"/>
      <c r="O25" s="97"/>
    </row>
    <row r="26" spans="1:15" ht="20.25" x14ac:dyDescent="0.25">
      <c r="A26" s="117"/>
      <c r="B26" s="117"/>
      <c r="C26" s="119"/>
      <c r="D26" s="119"/>
      <c r="E26" s="97"/>
      <c r="F26" s="97"/>
      <c r="G26" s="97"/>
      <c r="H26" s="97"/>
      <c r="I26" s="97"/>
      <c r="J26" s="97"/>
      <c r="K26" s="97"/>
      <c r="L26" s="97"/>
      <c r="M26" s="97"/>
      <c r="N26" s="97"/>
      <c r="O26" s="97"/>
    </row>
    <row r="27" spans="1:15" ht="20.25" x14ac:dyDescent="0.25">
      <c r="A27" s="117"/>
      <c r="B27" s="117"/>
      <c r="C27" s="119"/>
      <c r="D27" s="119"/>
      <c r="E27" s="97"/>
      <c r="F27" s="97"/>
      <c r="G27" s="97"/>
      <c r="H27" s="97"/>
      <c r="I27" s="97"/>
      <c r="J27" s="97"/>
      <c r="K27" s="97"/>
      <c r="L27" s="97"/>
      <c r="M27" s="97"/>
      <c r="N27" s="97"/>
      <c r="O27" s="97"/>
    </row>
    <row r="28" spans="1:15" ht="20.25" x14ac:dyDescent="0.25">
      <c r="A28" s="117"/>
      <c r="B28" s="117"/>
      <c r="C28" s="119"/>
      <c r="D28" s="119"/>
      <c r="E28" s="97"/>
      <c r="F28" s="97"/>
      <c r="G28" s="97"/>
      <c r="H28" s="97"/>
      <c r="I28" s="97"/>
      <c r="J28" s="97"/>
      <c r="K28" s="97"/>
      <c r="L28" s="97"/>
      <c r="M28" s="97"/>
      <c r="N28" s="97"/>
      <c r="O28" s="97"/>
    </row>
    <row r="29" spans="1:15" ht="20.25" x14ac:dyDescent="0.25">
      <c r="A29" s="117"/>
      <c r="B29" s="117"/>
      <c r="C29" s="119"/>
      <c r="D29" s="119"/>
      <c r="E29" s="97"/>
      <c r="F29" s="97"/>
      <c r="G29" s="97"/>
      <c r="H29" s="97"/>
      <c r="I29" s="97"/>
      <c r="J29" s="97"/>
      <c r="K29" s="97"/>
      <c r="L29" s="97"/>
      <c r="M29" s="97"/>
      <c r="N29" s="97"/>
      <c r="O29" s="97"/>
    </row>
    <row r="30" spans="1:15" ht="20.25" x14ac:dyDescent="0.25">
      <c r="A30" s="117"/>
      <c r="B30" s="117"/>
      <c r="C30" s="119"/>
      <c r="D30" s="119"/>
      <c r="E30" s="97"/>
      <c r="F30" s="97"/>
      <c r="G30" s="97"/>
      <c r="H30" s="97"/>
      <c r="I30" s="97"/>
      <c r="J30" s="97"/>
      <c r="K30" s="97"/>
      <c r="L30" s="97"/>
      <c r="M30" s="97"/>
      <c r="N30" s="97"/>
      <c r="O30" s="97"/>
    </row>
    <row r="31" spans="1:15" ht="20.25" x14ac:dyDescent="0.25">
      <c r="A31" s="117"/>
      <c r="B31" s="117"/>
      <c r="C31" s="119"/>
      <c r="D31" s="119"/>
      <c r="E31" s="97"/>
      <c r="F31" s="97"/>
      <c r="G31" s="97"/>
      <c r="H31" s="97"/>
      <c r="I31" s="97"/>
      <c r="J31" s="97"/>
      <c r="K31" s="97"/>
      <c r="L31" s="97"/>
      <c r="M31" s="97"/>
      <c r="N31" s="97"/>
      <c r="O31" s="97"/>
    </row>
    <row r="32" spans="1:15" ht="20.25" x14ac:dyDescent="0.25">
      <c r="A32" s="117"/>
      <c r="B32" s="117"/>
      <c r="C32" s="119"/>
      <c r="D32" s="119"/>
      <c r="E32" s="97"/>
      <c r="F32" s="97"/>
      <c r="G32" s="97"/>
      <c r="H32" s="97"/>
      <c r="I32" s="97"/>
      <c r="J32" s="97"/>
      <c r="K32" s="97"/>
      <c r="L32" s="97"/>
      <c r="M32" s="97"/>
      <c r="N32" s="97"/>
      <c r="O32" s="97"/>
    </row>
    <row r="33" spans="1:15" ht="20.25" x14ac:dyDescent="0.25">
      <c r="A33" s="117"/>
      <c r="B33" s="117"/>
      <c r="C33" s="119"/>
      <c r="D33" s="119"/>
      <c r="E33" s="97"/>
      <c r="F33" s="97"/>
      <c r="G33" s="97"/>
      <c r="H33" s="97"/>
      <c r="I33" s="97"/>
      <c r="J33" s="97"/>
      <c r="K33" s="97"/>
      <c r="L33" s="97"/>
      <c r="M33" s="97"/>
      <c r="N33" s="97"/>
      <c r="O33" s="97"/>
    </row>
    <row r="34" spans="1:15" ht="20.25" x14ac:dyDescent="0.25">
      <c r="A34" s="117"/>
      <c r="B34" s="117"/>
      <c r="C34" s="119"/>
      <c r="D34" s="119"/>
      <c r="E34" s="97"/>
      <c r="F34" s="97"/>
      <c r="G34" s="97"/>
      <c r="H34" s="97"/>
      <c r="I34" s="97"/>
      <c r="J34" s="97"/>
      <c r="K34" s="97"/>
      <c r="L34" s="97"/>
      <c r="M34" s="97"/>
      <c r="N34" s="97"/>
      <c r="O34" s="97"/>
    </row>
    <row r="35" spans="1:15" ht="20.25" x14ac:dyDescent="0.25">
      <c r="A35" s="117"/>
      <c r="B35" s="117"/>
      <c r="C35" s="119"/>
      <c r="D35" s="119"/>
      <c r="E35" s="97"/>
      <c r="F35" s="97"/>
      <c r="G35" s="97"/>
      <c r="H35" s="97"/>
      <c r="I35" s="97"/>
      <c r="J35" s="97"/>
      <c r="K35" s="97"/>
      <c r="L35" s="97"/>
      <c r="M35" s="97"/>
      <c r="N35" s="97"/>
      <c r="O35" s="97"/>
    </row>
    <row r="36" spans="1:15" ht="20.25" x14ac:dyDescent="0.25">
      <c r="A36" s="117"/>
      <c r="B36" s="117"/>
      <c r="C36" s="119"/>
      <c r="D36" s="119"/>
      <c r="E36" s="97"/>
      <c r="F36" s="97"/>
      <c r="G36" s="97"/>
      <c r="H36" s="97"/>
      <c r="I36" s="97"/>
      <c r="J36" s="97"/>
      <c r="K36" s="97"/>
      <c r="L36" s="97"/>
      <c r="M36" s="97"/>
      <c r="N36" s="97"/>
      <c r="O36" s="97"/>
    </row>
    <row r="37" spans="1:15" ht="20.25" x14ac:dyDescent="0.25">
      <c r="A37" s="117"/>
      <c r="B37" s="117"/>
      <c r="C37" s="119"/>
      <c r="D37" s="119"/>
      <c r="E37" s="97"/>
      <c r="F37" s="97"/>
      <c r="G37" s="97"/>
      <c r="H37" s="97"/>
      <c r="I37" s="97"/>
      <c r="J37" s="97"/>
      <c r="K37" s="97"/>
      <c r="L37" s="97"/>
      <c r="M37" s="97"/>
      <c r="N37" s="97"/>
      <c r="O37" s="97"/>
    </row>
    <row r="38" spans="1:15" ht="20.25" x14ac:dyDescent="0.25">
      <c r="A38" s="117"/>
      <c r="B38" s="117"/>
      <c r="C38" s="119"/>
      <c r="D38" s="119"/>
      <c r="E38" s="97"/>
      <c r="F38" s="97"/>
      <c r="G38" s="97"/>
      <c r="H38" s="97"/>
      <c r="I38" s="97"/>
      <c r="J38" s="97"/>
      <c r="K38" s="97"/>
      <c r="L38" s="97"/>
      <c r="M38" s="97"/>
      <c r="N38" s="97"/>
      <c r="O38" s="97"/>
    </row>
    <row r="39" spans="1:15" ht="20.25" x14ac:dyDescent="0.25">
      <c r="A39" s="117"/>
      <c r="B39" s="117"/>
      <c r="C39" s="119"/>
      <c r="D39" s="119"/>
      <c r="E39" s="97"/>
      <c r="F39" s="97"/>
      <c r="G39" s="97"/>
      <c r="H39" s="97"/>
      <c r="I39" s="97"/>
      <c r="J39" s="97"/>
      <c r="K39" s="97"/>
      <c r="L39" s="97"/>
      <c r="M39" s="97"/>
      <c r="N39" s="97"/>
      <c r="O39" s="97"/>
    </row>
    <row r="40" spans="1:15" ht="20.25" x14ac:dyDescent="0.25">
      <c r="A40" s="117"/>
      <c r="B40" s="117"/>
      <c r="C40" s="119"/>
      <c r="D40" s="119"/>
      <c r="E40" s="97"/>
      <c r="F40" s="97"/>
      <c r="G40" s="97"/>
      <c r="H40" s="97"/>
      <c r="I40" s="97"/>
      <c r="J40" s="97"/>
      <c r="K40" s="97"/>
      <c r="L40" s="97"/>
      <c r="M40" s="97"/>
      <c r="N40" s="97"/>
      <c r="O40" s="97"/>
    </row>
    <row r="41" spans="1:15" ht="20.25" x14ac:dyDescent="0.25">
      <c r="A41" s="117"/>
      <c r="B41" s="117"/>
      <c r="C41" s="119"/>
      <c r="D41" s="119"/>
      <c r="E41" s="97"/>
      <c r="F41" s="97"/>
      <c r="G41" s="97"/>
      <c r="H41" s="97"/>
      <c r="I41" s="97"/>
      <c r="J41" s="97"/>
      <c r="K41" s="97"/>
      <c r="L41" s="97"/>
      <c r="M41" s="97"/>
      <c r="N41" s="97"/>
      <c r="O41" s="97"/>
    </row>
    <row r="42" spans="1:15" ht="20.25" x14ac:dyDescent="0.25">
      <c r="A42" s="117"/>
      <c r="B42" s="117"/>
      <c r="C42" s="119"/>
      <c r="D42" s="119"/>
      <c r="E42" s="97"/>
      <c r="F42" s="97"/>
      <c r="G42" s="97"/>
      <c r="H42" s="97"/>
      <c r="I42" s="97"/>
      <c r="J42" s="97"/>
      <c r="K42" s="97"/>
      <c r="L42" s="97"/>
      <c r="M42" s="97"/>
      <c r="N42" s="97"/>
      <c r="O42" s="97"/>
    </row>
    <row r="43" spans="1:15" ht="20.25" x14ac:dyDescent="0.25">
      <c r="A43" s="117"/>
      <c r="B43" s="117"/>
      <c r="C43" s="119"/>
      <c r="D43" s="119"/>
      <c r="E43" s="97"/>
      <c r="F43" s="97"/>
      <c r="G43" s="97"/>
      <c r="H43" s="97"/>
      <c r="I43" s="97"/>
      <c r="J43" s="97"/>
      <c r="K43" s="97"/>
      <c r="L43" s="97"/>
      <c r="M43" s="97"/>
      <c r="N43" s="97"/>
      <c r="O43" s="97"/>
    </row>
    <row r="44" spans="1:15" ht="20.25" x14ac:dyDescent="0.25">
      <c r="A44" s="117"/>
      <c r="B44" s="117"/>
      <c r="C44" s="119"/>
      <c r="D44" s="119"/>
      <c r="E44" s="97"/>
      <c r="F44" s="97"/>
      <c r="G44" s="97"/>
      <c r="H44" s="97"/>
      <c r="I44" s="97"/>
      <c r="J44" s="97"/>
      <c r="K44" s="97"/>
      <c r="L44" s="97"/>
      <c r="M44" s="97"/>
      <c r="N44" s="97"/>
      <c r="O44" s="97"/>
    </row>
    <row r="45" spans="1:15" ht="20.25" x14ac:dyDescent="0.25">
      <c r="A45" s="117"/>
      <c r="B45" s="117"/>
      <c r="C45" s="119"/>
      <c r="D45" s="119"/>
      <c r="E45" s="97"/>
      <c r="F45" s="97"/>
      <c r="G45" s="97"/>
      <c r="H45" s="97"/>
      <c r="I45" s="97"/>
      <c r="J45" s="97"/>
      <c r="K45" s="97"/>
      <c r="L45" s="97"/>
      <c r="M45" s="97"/>
      <c r="N45" s="97"/>
      <c r="O45" s="97"/>
    </row>
    <row r="46" spans="1:15" ht="20.25" x14ac:dyDescent="0.25">
      <c r="A46" s="117"/>
      <c r="B46" s="117"/>
      <c r="C46" s="119"/>
      <c r="D46" s="119"/>
      <c r="E46" s="97"/>
      <c r="F46" s="97"/>
      <c r="G46" s="97"/>
      <c r="H46" s="97"/>
      <c r="I46" s="97"/>
      <c r="J46" s="97"/>
      <c r="K46" s="97"/>
      <c r="L46" s="97"/>
      <c r="M46" s="97"/>
      <c r="N46" s="97"/>
      <c r="O46" s="97"/>
    </row>
    <row r="47" spans="1:15" ht="20.25" x14ac:dyDescent="0.25">
      <c r="A47" s="117"/>
      <c r="B47" s="117"/>
      <c r="C47" s="119"/>
      <c r="D47" s="119"/>
      <c r="E47" s="97"/>
      <c r="F47" s="97"/>
      <c r="G47" s="97"/>
      <c r="H47" s="97"/>
      <c r="I47" s="97"/>
      <c r="J47" s="97"/>
      <c r="K47" s="97"/>
      <c r="L47" s="97"/>
      <c r="M47" s="97"/>
      <c r="N47" s="97"/>
      <c r="O47" s="97"/>
    </row>
    <row r="48" spans="1:15" ht="20.25" x14ac:dyDescent="0.25">
      <c r="A48" s="117"/>
      <c r="B48" s="117"/>
      <c r="C48" s="119"/>
      <c r="D48" s="119"/>
      <c r="E48" s="97"/>
      <c r="F48" s="97"/>
      <c r="G48" s="97"/>
      <c r="H48" s="97"/>
      <c r="I48" s="97"/>
      <c r="J48" s="97"/>
      <c r="K48" s="97"/>
      <c r="L48" s="97"/>
      <c r="M48" s="97"/>
      <c r="N48" s="97"/>
      <c r="O48" s="97"/>
    </row>
    <row r="49" spans="1:15" ht="20.25" x14ac:dyDescent="0.25">
      <c r="A49" s="117"/>
      <c r="B49" s="117"/>
      <c r="C49" s="119"/>
      <c r="D49" s="119"/>
      <c r="E49" s="97"/>
      <c r="F49" s="97"/>
      <c r="G49" s="97"/>
      <c r="H49" s="97"/>
      <c r="I49" s="97"/>
      <c r="J49" s="97"/>
      <c r="K49" s="97"/>
      <c r="L49" s="97"/>
      <c r="M49" s="97"/>
      <c r="N49" s="97"/>
      <c r="O49" s="97"/>
    </row>
    <row r="50" spans="1:15" ht="20.25" x14ac:dyDescent="0.25">
      <c r="A50" s="117"/>
      <c r="B50" s="117"/>
      <c r="C50" s="119"/>
      <c r="D50" s="119"/>
      <c r="E50" s="97"/>
      <c r="F50" s="97"/>
      <c r="G50" s="97"/>
      <c r="H50" s="97"/>
      <c r="I50" s="97"/>
      <c r="J50" s="97"/>
      <c r="K50" s="97"/>
      <c r="L50" s="97"/>
      <c r="M50" s="97"/>
      <c r="N50" s="97"/>
      <c r="O50" s="97"/>
    </row>
    <row r="51" spans="1:15" ht="20.25" x14ac:dyDescent="0.25">
      <c r="A51" s="117"/>
      <c r="B51" s="117"/>
      <c r="C51" s="119"/>
      <c r="D51" s="119"/>
      <c r="E51" s="97"/>
      <c r="F51" s="97"/>
      <c r="G51" s="97"/>
      <c r="H51" s="97"/>
      <c r="I51" s="97"/>
      <c r="J51" s="97"/>
      <c r="K51" s="97"/>
      <c r="L51" s="97"/>
      <c r="M51" s="97"/>
      <c r="N51" s="97"/>
      <c r="O51" s="97"/>
    </row>
    <row r="52" spans="1:15" ht="20.25" x14ac:dyDescent="0.25">
      <c r="A52" s="117"/>
      <c r="B52" s="23"/>
      <c r="C52" s="36"/>
      <c r="D52" s="36"/>
    </row>
    <row r="53" spans="1:15" ht="20.25" x14ac:dyDescent="0.25">
      <c r="A53" s="117"/>
      <c r="B53" s="23"/>
      <c r="C53" s="36"/>
      <c r="D53" s="36"/>
    </row>
    <row r="54" spans="1:15" ht="20.25" x14ac:dyDescent="0.25">
      <c r="A54" s="117"/>
      <c r="B54" s="23"/>
      <c r="C54" s="36"/>
      <c r="D54" s="36"/>
    </row>
    <row r="55" spans="1:15" ht="20.25" x14ac:dyDescent="0.25">
      <c r="A55" s="117"/>
      <c r="B55" s="23"/>
      <c r="C55" s="36"/>
      <c r="D55" s="36"/>
    </row>
    <row r="56" spans="1:15" ht="20.25" x14ac:dyDescent="0.25">
      <c r="A56" s="117"/>
      <c r="B56" s="23"/>
      <c r="C56" s="36"/>
      <c r="D56" s="36"/>
    </row>
    <row r="57" spans="1:15" ht="20.25" x14ac:dyDescent="0.25">
      <c r="A57" s="117"/>
      <c r="B57" s="23"/>
      <c r="C57" s="36"/>
      <c r="D57" s="36"/>
    </row>
    <row r="58" spans="1:15" ht="20.25" x14ac:dyDescent="0.25">
      <c r="A58" s="117"/>
      <c r="B58" s="23"/>
      <c r="C58" s="36"/>
      <c r="D58" s="36"/>
    </row>
    <row r="59" spans="1:15" ht="20.25" x14ac:dyDescent="0.25">
      <c r="A59" s="117"/>
      <c r="B59" s="23"/>
      <c r="C59" s="36"/>
      <c r="D59" s="36"/>
    </row>
    <row r="60" spans="1:15" ht="20.25" x14ac:dyDescent="0.25">
      <c r="A60" s="117"/>
      <c r="B60" s="23"/>
      <c r="C60" s="36"/>
      <c r="D60" s="36"/>
    </row>
    <row r="61" spans="1:15" ht="20.25" x14ac:dyDescent="0.25">
      <c r="A61" s="117"/>
      <c r="B61" s="23"/>
      <c r="C61" s="36"/>
      <c r="D61" s="36"/>
    </row>
    <row r="62" spans="1:15" ht="20.25" x14ac:dyDescent="0.25">
      <c r="A62" s="117"/>
      <c r="B62" s="23"/>
      <c r="C62" s="36"/>
      <c r="D62" s="36"/>
    </row>
    <row r="63" spans="1:15" ht="20.25" x14ac:dyDescent="0.25">
      <c r="A63" s="117"/>
      <c r="B63" s="23"/>
      <c r="C63" s="36"/>
      <c r="D63" s="36"/>
    </row>
    <row r="64" spans="1:15" ht="20.25" x14ac:dyDescent="0.25">
      <c r="A64" s="117"/>
      <c r="B64" s="23"/>
      <c r="C64" s="36"/>
      <c r="D64" s="36"/>
    </row>
    <row r="65" spans="1:4" ht="20.25" x14ac:dyDescent="0.25">
      <c r="A65" s="117"/>
      <c r="B65" s="23"/>
      <c r="C65" s="36"/>
      <c r="D65" s="36"/>
    </row>
    <row r="66" spans="1:4" ht="20.25" x14ac:dyDescent="0.25">
      <c r="A66" s="117"/>
      <c r="B66" s="23"/>
      <c r="C66" s="36"/>
      <c r="D66" s="36"/>
    </row>
    <row r="67" spans="1:4" ht="20.25" x14ac:dyDescent="0.25">
      <c r="A67" s="117"/>
      <c r="B67" s="23"/>
      <c r="C67" s="36"/>
      <c r="D67" s="36"/>
    </row>
    <row r="68" spans="1:4" ht="20.25" x14ac:dyDescent="0.25">
      <c r="A68" s="117"/>
      <c r="B68" s="23"/>
      <c r="C68" s="36"/>
      <c r="D68" s="36"/>
    </row>
    <row r="69" spans="1:4" ht="20.25" x14ac:dyDescent="0.25">
      <c r="A69" s="117"/>
      <c r="B69" s="23"/>
      <c r="C69" s="36"/>
      <c r="D69" s="36"/>
    </row>
    <row r="70" spans="1:4" ht="20.25" x14ac:dyDescent="0.25">
      <c r="A70" s="117"/>
      <c r="B70" s="23"/>
      <c r="C70" s="36"/>
      <c r="D70" s="36"/>
    </row>
    <row r="71" spans="1:4" ht="20.25" x14ac:dyDescent="0.25">
      <c r="A71" s="117"/>
      <c r="B71" s="23"/>
      <c r="C71" s="36"/>
      <c r="D71" s="36"/>
    </row>
    <row r="72" spans="1:4" ht="20.25" x14ac:dyDescent="0.25">
      <c r="A72" s="117"/>
      <c r="B72" s="23"/>
      <c r="C72" s="36"/>
      <c r="D72" s="36"/>
    </row>
    <row r="73" spans="1:4" ht="20.25" x14ac:dyDescent="0.25">
      <c r="A73" s="117"/>
      <c r="B73" s="23"/>
      <c r="C73" s="36"/>
      <c r="D73" s="36"/>
    </row>
    <row r="74" spans="1:4" ht="20.25" x14ac:dyDescent="0.25">
      <c r="A74" s="117"/>
      <c r="B74" s="23"/>
      <c r="C74" s="36"/>
      <c r="D74" s="36"/>
    </row>
    <row r="75" spans="1:4" ht="20.25" x14ac:dyDescent="0.25">
      <c r="A75" s="117"/>
      <c r="B75" s="23"/>
      <c r="C75" s="36"/>
      <c r="D75" s="36"/>
    </row>
    <row r="76" spans="1:4" ht="20.25" x14ac:dyDescent="0.25">
      <c r="A76" s="117"/>
      <c r="B76" s="23"/>
      <c r="C76" s="36"/>
      <c r="D76" s="36"/>
    </row>
    <row r="77" spans="1:4" ht="20.25" x14ac:dyDescent="0.25">
      <c r="A77" s="117"/>
      <c r="B77" s="23"/>
      <c r="C77" s="36"/>
      <c r="D77" s="36"/>
    </row>
    <row r="78" spans="1:4" ht="20.25" x14ac:dyDescent="0.25">
      <c r="A78" s="117"/>
      <c r="B78" s="23"/>
      <c r="C78" s="36"/>
      <c r="D78" s="36"/>
    </row>
    <row r="79" spans="1:4" ht="20.25" x14ac:dyDescent="0.25">
      <c r="A79" s="117"/>
      <c r="B79" s="23"/>
      <c r="C79" s="36"/>
      <c r="D79" s="36"/>
    </row>
    <row r="80" spans="1:4" ht="20.25" x14ac:dyDescent="0.25">
      <c r="A80" s="117"/>
      <c r="B80" s="23"/>
      <c r="C80" s="36"/>
      <c r="D80" s="36"/>
    </row>
    <row r="81" spans="1:4" ht="20.25" x14ac:dyDescent="0.25">
      <c r="A81" s="117"/>
      <c r="B81" s="23"/>
      <c r="C81" s="36"/>
      <c r="D81" s="36"/>
    </row>
    <row r="82" spans="1:4" ht="20.25" x14ac:dyDescent="0.25">
      <c r="A82" s="117"/>
      <c r="B82" s="23"/>
      <c r="C82" s="36"/>
      <c r="D82" s="36"/>
    </row>
    <row r="83" spans="1:4" ht="20.25" x14ac:dyDescent="0.25">
      <c r="A83" s="117"/>
      <c r="B83" s="23"/>
      <c r="C83" s="36"/>
      <c r="D83" s="36"/>
    </row>
    <row r="84" spans="1:4" ht="20.25" x14ac:dyDescent="0.25">
      <c r="A84" s="117"/>
      <c r="B84" s="23"/>
      <c r="C84" s="36"/>
      <c r="D84" s="36"/>
    </row>
    <row r="85" spans="1:4" ht="20.25" x14ac:dyDescent="0.25">
      <c r="A85" s="117"/>
      <c r="B85" s="23"/>
      <c r="C85" s="36"/>
      <c r="D85" s="36"/>
    </row>
    <row r="86" spans="1:4" ht="20.25" x14ac:dyDescent="0.25">
      <c r="A86" s="117"/>
      <c r="B86" s="23"/>
      <c r="C86" s="36"/>
      <c r="D86" s="36"/>
    </row>
    <row r="87" spans="1:4" ht="20.25" x14ac:dyDescent="0.25">
      <c r="A87" s="117"/>
      <c r="B87" s="23"/>
      <c r="C87" s="36"/>
      <c r="D87" s="36"/>
    </row>
    <row r="88" spans="1:4" ht="20.25" x14ac:dyDescent="0.25">
      <c r="A88" s="117"/>
      <c r="B88" s="23"/>
      <c r="C88" s="36"/>
      <c r="D88" s="36"/>
    </row>
    <row r="89" spans="1:4" ht="20.25" x14ac:dyDescent="0.25">
      <c r="A89" s="117"/>
      <c r="B89" s="23"/>
      <c r="C89" s="36"/>
      <c r="D89" s="36"/>
    </row>
    <row r="90" spans="1:4" ht="20.25" x14ac:dyDescent="0.25">
      <c r="A90" s="117"/>
      <c r="B90" s="23"/>
      <c r="C90" s="36"/>
      <c r="D90" s="36"/>
    </row>
    <row r="91" spans="1:4" ht="20.25" x14ac:dyDescent="0.25">
      <c r="A91" s="117"/>
      <c r="B91" s="23"/>
      <c r="C91" s="36"/>
      <c r="D91" s="36"/>
    </row>
    <row r="92" spans="1:4" ht="20.25" x14ac:dyDescent="0.25">
      <c r="A92" s="117"/>
      <c r="B92" s="23"/>
      <c r="C92" s="36"/>
      <c r="D92" s="36"/>
    </row>
    <row r="93" spans="1:4" ht="20.25" x14ac:dyDescent="0.25">
      <c r="A93" s="117"/>
      <c r="B93" s="23"/>
      <c r="C93" s="36"/>
      <c r="D93" s="36"/>
    </row>
    <row r="94" spans="1:4" ht="20.25" x14ac:dyDescent="0.25">
      <c r="A94" s="117"/>
      <c r="B94" s="23"/>
      <c r="C94" s="36"/>
      <c r="D94" s="36"/>
    </row>
    <row r="95" spans="1:4" ht="20.25" x14ac:dyDescent="0.25">
      <c r="A95" s="117"/>
      <c r="B95" s="23"/>
      <c r="C95" s="36"/>
      <c r="D95" s="36"/>
    </row>
    <row r="96" spans="1:4" ht="20.25" x14ac:dyDescent="0.25">
      <c r="A96" s="117"/>
      <c r="B96" s="23"/>
      <c r="C96" s="36"/>
      <c r="D96" s="36"/>
    </row>
    <row r="97" spans="1:4" ht="20.25" x14ac:dyDescent="0.25">
      <c r="A97" s="117"/>
      <c r="B97" s="23"/>
      <c r="C97" s="36"/>
      <c r="D97" s="36"/>
    </row>
    <row r="98" spans="1:4" ht="20.25" x14ac:dyDescent="0.25">
      <c r="A98" s="117"/>
      <c r="B98" s="23"/>
      <c r="C98" s="36"/>
      <c r="D98" s="36"/>
    </row>
    <row r="99" spans="1:4" ht="20.25" x14ac:dyDescent="0.25">
      <c r="A99" s="117"/>
      <c r="B99" s="23"/>
      <c r="C99" s="36"/>
      <c r="D99" s="36"/>
    </row>
    <row r="100" spans="1:4" ht="20.25" x14ac:dyDescent="0.25">
      <c r="A100" s="117"/>
      <c r="B100" s="23"/>
      <c r="C100" s="36"/>
      <c r="D100" s="36"/>
    </row>
    <row r="101" spans="1:4" ht="20.25" x14ac:dyDescent="0.25">
      <c r="A101" s="117"/>
      <c r="B101" s="23"/>
      <c r="C101" s="36"/>
      <c r="D101" s="36"/>
    </row>
    <row r="102" spans="1:4" ht="20.25" x14ac:dyDescent="0.25">
      <c r="A102" s="117"/>
      <c r="B102" s="23"/>
      <c r="C102" s="36"/>
      <c r="D102" s="36"/>
    </row>
    <row r="103" spans="1:4" ht="20.25" x14ac:dyDescent="0.25">
      <c r="A103" s="117"/>
      <c r="B103" s="23"/>
      <c r="C103" s="36"/>
      <c r="D103" s="36"/>
    </row>
    <row r="104" spans="1:4" ht="20.25" x14ac:dyDescent="0.25">
      <c r="A104" s="117"/>
      <c r="B104" s="23"/>
      <c r="C104" s="36"/>
      <c r="D104" s="36"/>
    </row>
    <row r="105" spans="1:4" ht="20.25" x14ac:dyDescent="0.25">
      <c r="A105" s="117"/>
      <c r="B105" s="23"/>
      <c r="C105" s="36"/>
      <c r="D105" s="36"/>
    </row>
    <row r="106" spans="1:4" ht="20.25" x14ac:dyDescent="0.25">
      <c r="A106" s="117"/>
      <c r="B106" s="23"/>
      <c r="C106" s="36"/>
      <c r="D106" s="36"/>
    </row>
    <row r="107" spans="1:4" ht="20.25" x14ac:dyDescent="0.25">
      <c r="A107" s="117"/>
      <c r="B107" s="23"/>
      <c r="C107" s="36"/>
      <c r="D107" s="36"/>
    </row>
    <row r="108" spans="1:4" ht="20.25" x14ac:dyDescent="0.25">
      <c r="A108" s="117"/>
      <c r="B108" s="23"/>
      <c r="C108" s="36"/>
      <c r="D108" s="36"/>
    </row>
    <row r="109" spans="1:4" ht="20.25" x14ac:dyDescent="0.25">
      <c r="A109" s="117"/>
      <c r="B109" s="23"/>
      <c r="C109" s="36"/>
      <c r="D109" s="36"/>
    </row>
    <row r="110" spans="1:4" ht="20.25" x14ac:dyDescent="0.25">
      <c r="A110" s="117"/>
      <c r="B110" s="23"/>
      <c r="C110" s="36"/>
      <c r="D110" s="36"/>
    </row>
    <row r="111" spans="1:4" ht="20.25" x14ac:dyDescent="0.25">
      <c r="A111" s="117"/>
      <c r="B111" s="23"/>
      <c r="C111" s="36"/>
      <c r="D111" s="36"/>
    </row>
    <row r="112" spans="1:4" ht="20.25" x14ac:dyDescent="0.25">
      <c r="A112" s="117"/>
      <c r="B112" s="23"/>
      <c r="C112" s="36"/>
      <c r="D112" s="36"/>
    </row>
    <row r="113" spans="1:4" ht="20.25" x14ac:dyDescent="0.25">
      <c r="A113" s="117"/>
      <c r="B113" s="23"/>
      <c r="C113" s="36"/>
      <c r="D113" s="36"/>
    </row>
    <row r="114" spans="1:4" ht="20.25" x14ac:dyDescent="0.25">
      <c r="A114" s="117"/>
      <c r="B114" s="23"/>
      <c r="C114" s="36"/>
      <c r="D114" s="36"/>
    </row>
    <row r="115" spans="1:4" ht="20.25" x14ac:dyDescent="0.25">
      <c r="A115" s="117"/>
      <c r="B115" s="23"/>
      <c r="C115" s="36"/>
      <c r="D115" s="36"/>
    </row>
    <row r="116" spans="1:4" ht="20.25" x14ac:dyDescent="0.25">
      <c r="A116" s="117"/>
      <c r="B116" s="23"/>
      <c r="C116" s="36"/>
      <c r="D116" s="36"/>
    </row>
    <row r="117" spans="1:4" ht="20.25" x14ac:dyDescent="0.25">
      <c r="A117" s="117"/>
      <c r="B117" s="23"/>
      <c r="C117" s="36"/>
      <c r="D117" s="36"/>
    </row>
    <row r="118" spans="1:4" ht="20.25" x14ac:dyDescent="0.25">
      <c r="A118" s="117"/>
      <c r="B118" s="23"/>
      <c r="C118" s="36"/>
      <c r="D118" s="36"/>
    </row>
    <row r="119" spans="1:4" ht="20.25" x14ac:dyDescent="0.25">
      <c r="A119" s="117"/>
      <c r="B119" s="23"/>
      <c r="C119" s="36"/>
      <c r="D119" s="36"/>
    </row>
    <row r="120" spans="1:4" ht="20.25" x14ac:dyDescent="0.25">
      <c r="A120" s="117"/>
      <c r="B120" s="23"/>
      <c r="C120" s="36"/>
      <c r="D120" s="36"/>
    </row>
    <row r="121" spans="1:4" ht="20.25" x14ac:dyDescent="0.25">
      <c r="A121" s="117"/>
      <c r="B121" s="23"/>
      <c r="C121" s="36"/>
      <c r="D121" s="36"/>
    </row>
    <row r="122" spans="1:4" ht="20.25" x14ac:dyDescent="0.25">
      <c r="A122" s="117"/>
      <c r="B122" s="23"/>
      <c r="C122" s="36"/>
      <c r="D122" s="36"/>
    </row>
    <row r="123" spans="1:4" ht="20.25" x14ac:dyDescent="0.25">
      <c r="A123" s="117"/>
      <c r="B123" s="23"/>
      <c r="C123" s="36"/>
      <c r="D123" s="36"/>
    </row>
    <row r="124" spans="1:4" ht="20.25" x14ac:dyDescent="0.25">
      <c r="A124" s="117"/>
      <c r="B124" s="23"/>
      <c r="C124" s="36"/>
      <c r="D124" s="36"/>
    </row>
    <row r="125" spans="1:4" ht="20.25" x14ac:dyDescent="0.25">
      <c r="A125" s="117"/>
      <c r="B125" s="23"/>
      <c r="C125" s="36"/>
      <c r="D125" s="36"/>
    </row>
    <row r="126" spans="1:4" ht="20.25" x14ac:dyDescent="0.25">
      <c r="A126" s="117"/>
      <c r="B126" s="23"/>
      <c r="C126" s="36"/>
      <c r="D126" s="36"/>
    </row>
    <row r="127" spans="1:4" ht="20.25" x14ac:dyDescent="0.25">
      <c r="A127" s="117"/>
      <c r="B127" s="23"/>
      <c r="C127" s="36"/>
      <c r="D127" s="36"/>
    </row>
    <row r="128" spans="1:4" ht="20.25" x14ac:dyDescent="0.25">
      <c r="A128" s="117"/>
      <c r="B128" s="23"/>
      <c r="C128" s="36"/>
      <c r="D128" s="36"/>
    </row>
    <row r="129" spans="1:4" ht="20.25" x14ac:dyDescent="0.25">
      <c r="A129" s="117"/>
      <c r="B129" s="23"/>
      <c r="C129" s="36"/>
      <c r="D129" s="36"/>
    </row>
    <row r="130" spans="1:4" ht="20.25" x14ac:dyDescent="0.25">
      <c r="A130" s="117"/>
      <c r="B130" s="23"/>
      <c r="C130" s="36"/>
      <c r="D130" s="36"/>
    </row>
    <row r="131" spans="1:4" ht="20.25" x14ac:dyDescent="0.25">
      <c r="A131" s="117"/>
      <c r="B131" s="23"/>
      <c r="C131" s="36"/>
      <c r="D131" s="36"/>
    </row>
    <row r="132" spans="1:4" ht="20.25" x14ac:dyDescent="0.25">
      <c r="A132" s="117"/>
      <c r="B132" s="23"/>
      <c r="C132" s="36"/>
      <c r="D132" s="36"/>
    </row>
    <row r="133" spans="1:4" ht="20.25" x14ac:dyDescent="0.25">
      <c r="A133" s="117"/>
      <c r="B133" s="23"/>
      <c r="C133" s="36"/>
      <c r="D133" s="36"/>
    </row>
    <row r="134" spans="1:4" ht="20.25" x14ac:dyDescent="0.25">
      <c r="A134" s="117"/>
      <c r="B134" s="23"/>
      <c r="C134" s="36"/>
      <c r="D134" s="36"/>
    </row>
    <row r="135" spans="1:4" ht="20.25" x14ac:dyDescent="0.25">
      <c r="A135" s="117"/>
      <c r="B135" s="23"/>
      <c r="C135" s="36"/>
      <c r="D135" s="36"/>
    </row>
    <row r="136" spans="1:4" ht="20.25" x14ac:dyDescent="0.25">
      <c r="A136" s="117"/>
      <c r="B136" s="23"/>
      <c r="C136" s="36"/>
      <c r="D136" s="36"/>
    </row>
    <row r="137" spans="1:4" ht="20.25" x14ac:dyDescent="0.25">
      <c r="A137" s="117"/>
      <c r="B137" s="23"/>
      <c r="C137" s="36"/>
      <c r="D137" s="36"/>
    </row>
    <row r="138" spans="1:4" ht="20.25" x14ac:dyDescent="0.25">
      <c r="A138" s="117"/>
      <c r="B138" s="23"/>
      <c r="C138" s="36"/>
      <c r="D138" s="36"/>
    </row>
    <row r="139" spans="1:4" ht="20.25" x14ac:dyDescent="0.25">
      <c r="A139" s="117"/>
      <c r="B139" s="23"/>
      <c r="C139" s="36"/>
      <c r="D139" s="36"/>
    </row>
    <row r="140" spans="1:4" ht="20.25" x14ac:dyDescent="0.25">
      <c r="A140" s="117"/>
      <c r="B140" s="23"/>
      <c r="C140" s="36"/>
      <c r="D140" s="36"/>
    </row>
    <row r="141" spans="1:4" ht="20.25" x14ac:dyDescent="0.25">
      <c r="A141" s="117"/>
      <c r="B141" s="23"/>
      <c r="C141" s="36"/>
      <c r="D141" s="36"/>
    </row>
    <row r="142" spans="1:4" ht="20.25" x14ac:dyDescent="0.25">
      <c r="A142" s="117"/>
      <c r="B142" s="23"/>
      <c r="C142" s="36"/>
      <c r="D142" s="36"/>
    </row>
    <row r="143" spans="1:4" ht="20.25" x14ac:dyDescent="0.25">
      <c r="A143" s="117"/>
      <c r="B143" s="23"/>
      <c r="C143" s="36"/>
      <c r="D143" s="36"/>
    </row>
    <row r="144" spans="1:4" ht="20.25" x14ac:dyDescent="0.25">
      <c r="A144" s="117"/>
      <c r="B144" s="23"/>
      <c r="C144" s="36"/>
      <c r="D144" s="36"/>
    </row>
    <row r="145" spans="1:4" ht="20.25" x14ac:dyDescent="0.25">
      <c r="A145" s="117"/>
      <c r="B145" s="23"/>
      <c r="C145" s="36"/>
      <c r="D145" s="36"/>
    </row>
    <row r="146" spans="1:4" ht="20.25" x14ac:dyDescent="0.25">
      <c r="A146" s="117"/>
      <c r="B146" s="23"/>
      <c r="C146" s="36"/>
      <c r="D146" s="36"/>
    </row>
    <row r="147" spans="1:4" ht="20.25" x14ac:dyDescent="0.25">
      <c r="A147" s="117"/>
      <c r="B147" s="23"/>
      <c r="C147" s="36"/>
      <c r="D147" s="36"/>
    </row>
    <row r="148" spans="1:4" ht="20.25" x14ac:dyDescent="0.25">
      <c r="A148" s="117"/>
      <c r="B148" s="23"/>
      <c r="C148" s="36"/>
      <c r="D148" s="36"/>
    </row>
    <row r="149" spans="1:4" ht="20.25" x14ac:dyDescent="0.25">
      <c r="A149" s="117"/>
      <c r="B149" s="23"/>
      <c r="C149" s="36"/>
      <c r="D149" s="36"/>
    </row>
    <row r="150" spans="1:4" ht="20.25" x14ac:dyDescent="0.25">
      <c r="A150" s="117"/>
      <c r="B150" s="23"/>
      <c r="C150" s="36"/>
      <c r="D150" s="36"/>
    </row>
    <row r="151" spans="1:4" ht="20.25" x14ac:dyDescent="0.25">
      <c r="A151" s="117"/>
      <c r="B151" s="23"/>
      <c r="C151" s="36"/>
      <c r="D151" s="36"/>
    </row>
    <row r="152" spans="1:4" ht="20.25" x14ac:dyDescent="0.25">
      <c r="A152" s="117"/>
      <c r="B152" s="23"/>
      <c r="C152" s="36"/>
      <c r="D152" s="36"/>
    </row>
    <row r="153" spans="1:4" ht="20.25" x14ac:dyDescent="0.25">
      <c r="A153" s="117"/>
      <c r="B153" s="23"/>
      <c r="C153" s="36"/>
      <c r="D153" s="36"/>
    </row>
    <row r="154" spans="1:4" ht="20.25" x14ac:dyDescent="0.25">
      <c r="A154" s="117"/>
      <c r="B154" s="23"/>
      <c r="C154" s="36"/>
      <c r="D154" s="36"/>
    </row>
    <row r="155" spans="1:4" ht="20.25" x14ac:dyDescent="0.25">
      <c r="A155" s="117"/>
      <c r="B155" s="23"/>
      <c r="C155" s="36"/>
      <c r="D155" s="36"/>
    </row>
    <row r="156" spans="1:4" ht="20.25" x14ac:dyDescent="0.25">
      <c r="A156" s="117"/>
      <c r="B156" s="23"/>
      <c r="C156" s="36"/>
      <c r="D156" s="36"/>
    </row>
    <row r="157" spans="1:4" ht="20.25" x14ac:dyDescent="0.25">
      <c r="A157" s="117"/>
      <c r="B157" s="23"/>
      <c r="C157" s="36"/>
      <c r="D157" s="36"/>
    </row>
    <row r="158" spans="1:4" ht="20.25" x14ac:dyDescent="0.25">
      <c r="A158" s="117"/>
      <c r="B158" s="23"/>
      <c r="C158" s="36"/>
      <c r="D158" s="36"/>
    </row>
    <row r="159" spans="1:4" ht="20.25" x14ac:dyDescent="0.25">
      <c r="A159" s="117"/>
      <c r="B159" s="23"/>
      <c r="C159" s="36"/>
      <c r="D159" s="36"/>
    </row>
    <row r="160" spans="1:4" ht="20.25" x14ac:dyDescent="0.25">
      <c r="A160" s="117"/>
      <c r="B160" s="23"/>
      <c r="C160" s="36"/>
      <c r="D160" s="36"/>
    </row>
    <row r="161" spans="1:4" ht="20.25" x14ac:dyDescent="0.25">
      <c r="A161" s="117"/>
      <c r="B161" s="23"/>
      <c r="C161" s="36"/>
      <c r="D161" s="36"/>
    </row>
    <row r="162" spans="1:4" ht="20.25" x14ac:dyDescent="0.25">
      <c r="A162" s="117"/>
      <c r="B162" s="23"/>
      <c r="C162" s="36"/>
      <c r="D162" s="36"/>
    </row>
    <row r="163" spans="1:4" ht="20.25" x14ac:dyDescent="0.25">
      <c r="A163" s="117"/>
      <c r="B163" s="23"/>
      <c r="C163" s="36"/>
      <c r="D163" s="36"/>
    </row>
    <row r="164" spans="1:4" ht="20.25" x14ac:dyDescent="0.25">
      <c r="A164" s="117"/>
      <c r="B164" s="23"/>
      <c r="C164" s="36"/>
      <c r="D164" s="36"/>
    </row>
    <row r="165" spans="1:4" ht="20.25" x14ac:dyDescent="0.25">
      <c r="A165" s="117"/>
      <c r="B165" s="23"/>
      <c r="C165" s="36"/>
      <c r="D165" s="36"/>
    </row>
    <row r="166" spans="1:4" ht="20.25" x14ac:dyDescent="0.25">
      <c r="A166" s="117"/>
      <c r="B166" s="23"/>
      <c r="C166" s="36"/>
      <c r="D166" s="36"/>
    </row>
    <row r="167" spans="1:4" ht="20.25" x14ac:dyDescent="0.25">
      <c r="A167" s="117"/>
      <c r="B167" s="23"/>
      <c r="C167" s="36"/>
      <c r="D167" s="36"/>
    </row>
    <row r="168" spans="1:4" ht="20.25" x14ac:dyDescent="0.25">
      <c r="A168" s="117"/>
      <c r="B168" s="23"/>
      <c r="C168" s="36"/>
      <c r="D168" s="36"/>
    </row>
    <row r="169" spans="1:4" ht="20.25" x14ac:dyDescent="0.25">
      <c r="A169" s="117"/>
      <c r="B169" s="23"/>
      <c r="C169" s="36"/>
      <c r="D169" s="36"/>
    </row>
    <row r="170" spans="1:4" ht="20.25" x14ac:dyDescent="0.25">
      <c r="A170" s="117"/>
      <c r="B170" s="23"/>
      <c r="C170" s="36"/>
      <c r="D170" s="36"/>
    </row>
    <row r="171" spans="1:4" ht="20.25" x14ac:dyDescent="0.25">
      <c r="A171" s="117"/>
      <c r="B171" s="23"/>
      <c r="C171" s="36"/>
      <c r="D171" s="36"/>
    </row>
    <row r="172" spans="1:4" ht="20.25" x14ac:dyDescent="0.25">
      <c r="A172" s="117"/>
      <c r="B172" s="23"/>
      <c r="C172" s="36"/>
      <c r="D172" s="36"/>
    </row>
    <row r="173" spans="1:4" ht="20.25" x14ac:dyDescent="0.25">
      <c r="A173" s="117"/>
      <c r="B173" s="23"/>
      <c r="C173" s="36"/>
      <c r="D173" s="36"/>
    </row>
    <row r="174" spans="1:4" ht="20.25" x14ac:dyDescent="0.25">
      <c r="A174" s="117"/>
      <c r="B174" s="23"/>
      <c r="C174" s="36"/>
      <c r="D174" s="36"/>
    </row>
    <row r="175" spans="1:4" ht="20.25" x14ac:dyDescent="0.25">
      <c r="A175" s="117"/>
      <c r="B175" s="23"/>
      <c r="C175" s="36"/>
      <c r="D175" s="36"/>
    </row>
    <row r="176" spans="1:4" ht="20.25" x14ac:dyDescent="0.25">
      <c r="A176" s="117"/>
      <c r="B176" s="23"/>
      <c r="C176" s="36"/>
      <c r="D176" s="36"/>
    </row>
    <row r="177" spans="1:4" ht="20.25" x14ac:dyDescent="0.25">
      <c r="A177" s="117"/>
      <c r="B177" s="23"/>
      <c r="C177" s="36"/>
      <c r="D177" s="36"/>
    </row>
    <row r="178" spans="1:4" ht="20.25" x14ac:dyDescent="0.25">
      <c r="A178" s="117"/>
      <c r="B178" s="23"/>
      <c r="C178" s="36"/>
      <c r="D178" s="36"/>
    </row>
    <row r="179" spans="1:4" ht="20.25" x14ac:dyDescent="0.25">
      <c r="A179" s="117"/>
      <c r="B179" s="23"/>
      <c r="C179" s="36"/>
      <c r="D179" s="36"/>
    </row>
    <row r="180" spans="1:4" ht="20.25" x14ac:dyDescent="0.25">
      <c r="A180" s="117"/>
      <c r="B180" s="23"/>
      <c r="C180" s="36"/>
      <c r="D180" s="36"/>
    </row>
    <row r="181" spans="1:4" ht="20.25" x14ac:dyDescent="0.25">
      <c r="A181" s="117"/>
      <c r="B181" s="23"/>
      <c r="C181" s="36"/>
      <c r="D181" s="36"/>
    </row>
    <row r="182" spans="1:4" ht="20.25" x14ac:dyDescent="0.25">
      <c r="A182" s="117"/>
      <c r="B182" s="23"/>
      <c r="C182" s="36"/>
      <c r="D182" s="36"/>
    </row>
    <row r="183" spans="1:4" ht="20.25" x14ac:dyDescent="0.25">
      <c r="A183" s="117"/>
      <c r="B183" s="23"/>
      <c r="C183" s="36"/>
      <c r="D183" s="36"/>
    </row>
    <row r="184" spans="1:4" ht="20.25" x14ac:dyDescent="0.25">
      <c r="A184" s="117"/>
      <c r="B184" s="23"/>
      <c r="C184" s="36"/>
      <c r="D184" s="36"/>
    </row>
    <row r="185" spans="1:4" ht="20.25" x14ac:dyDescent="0.25">
      <c r="A185" s="117"/>
      <c r="B185" s="23"/>
      <c r="C185" s="36"/>
      <c r="D185" s="36"/>
    </row>
    <row r="186" spans="1:4" ht="20.25" x14ac:dyDescent="0.25">
      <c r="A186" s="117"/>
      <c r="B186" s="23"/>
      <c r="C186" s="36"/>
      <c r="D186" s="36"/>
    </row>
    <row r="187" spans="1:4" ht="20.25" x14ac:dyDescent="0.25">
      <c r="A187" s="117"/>
      <c r="B187" s="23"/>
      <c r="C187" s="36"/>
      <c r="D187" s="36"/>
    </row>
    <row r="188" spans="1:4" ht="20.25" x14ac:dyDescent="0.25">
      <c r="A188" s="117"/>
      <c r="B188" s="23"/>
      <c r="C188" s="36"/>
      <c r="D188" s="36"/>
    </row>
    <row r="189" spans="1:4" ht="20.25" x14ac:dyDescent="0.25">
      <c r="A189" s="117"/>
      <c r="B189" s="23"/>
      <c r="C189" s="36"/>
      <c r="D189" s="36"/>
    </row>
    <row r="190" spans="1:4" ht="20.25" x14ac:dyDescent="0.25">
      <c r="A190" s="117"/>
      <c r="B190" s="23"/>
      <c r="C190" s="36"/>
      <c r="D190" s="36"/>
    </row>
    <row r="191" spans="1:4" ht="20.25" x14ac:dyDescent="0.25">
      <c r="A191" s="117"/>
      <c r="B191" s="23"/>
      <c r="C191" s="36"/>
      <c r="D191" s="36"/>
    </row>
    <row r="192" spans="1:4" ht="20.25" x14ac:dyDescent="0.25">
      <c r="A192" s="117"/>
      <c r="B192" s="23"/>
      <c r="C192" s="36"/>
      <c r="D192" s="36"/>
    </row>
    <row r="193" spans="1:4" ht="20.25" x14ac:dyDescent="0.25">
      <c r="A193" s="117"/>
      <c r="B193" s="23"/>
      <c r="C193" s="36"/>
      <c r="D193" s="36"/>
    </row>
    <row r="194" spans="1:4" ht="20.25" x14ac:dyDescent="0.25">
      <c r="A194" s="117"/>
      <c r="B194" s="23"/>
      <c r="C194" s="36"/>
      <c r="D194" s="36"/>
    </row>
    <row r="195" spans="1:4" ht="20.25" x14ac:dyDescent="0.25">
      <c r="A195" s="117"/>
      <c r="B195" s="23"/>
      <c r="C195" s="36"/>
      <c r="D195" s="36"/>
    </row>
    <row r="196" spans="1:4" ht="20.25" x14ac:dyDescent="0.25">
      <c r="A196" s="117"/>
      <c r="B196" s="23"/>
      <c r="C196" s="36"/>
      <c r="D196" s="36"/>
    </row>
    <row r="197" spans="1:4" ht="20.25" x14ac:dyDescent="0.25">
      <c r="A197" s="117"/>
      <c r="B197" s="23"/>
      <c r="C197" s="36"/>
      <c r="D197" s="36"/>
    </row>
    <row r="198" spans="1:4" ht="20.25" x14ac:dyDescent="0.25">
      <c r="A198" s="117"/>
      <c r="B198" s="23"/>
      <c r="C198" s="36"/>
      <c r="D198" s="36"/>
    </row>
    <row r="199" spans="1:4" ht="20.25" x14ac:dyDescent="0.25">
      <c r="A199" s="117"/>
      <c r="B199" s="23"/>
      <c r="C199" s="36"/>
      <c r="D199" s="36"/>
    </row>
    <row r="200" spans="1:4" ht="20.25" x14ac:dyDescent="0.25">
      <c r="A200" s="117"/>
      <c r="B200" s="23"/>
      <c r="C200" s="36"/>
      <c r="D200" s="36"/>
    </row>
    <row r="201" spans="1:4" ht="20.25" x14ac:dyDescent="0.25">
      <c r="A201" s="117"/>
      <c r="B201" s="23"/>
      <c r="C201" s="36"/>
      <c r="D201" s="36"/>
    </row>
    <row r="202" spans="1:4" ht="20.25" x14ac:dyDescent="0.25">
      <c r="A202" s="117"/>
      <c r="B202" s="23"/>
      <c r="C202" s="36"/>
      <c r="D202" s="36"/>
    </row>
    <row r="203" spans="1:4" ht="20.25" x14ac:dyDescent="0.25">
      <c r="A203" s="117"/>
      <c r="B203" s="23"/>
      <c r="C203" s="36"/>
      <c r="D203" s="36"/>
    </row>
    <row r="204" spans="1:4" ht="20.25" x14ac:dyDescent="0.25">
      <c r="A204" s="117"/>
      <c r="B204" s="23"/>
      <c r="C204" s="36"/>
      <c r="D204" s="36"/>
    </row>
    <row r="205" spans="1:4" ht="20.25" x14ac:dyDescent="0.25">
      <c r="A205" s="117"/>
      <c r="B205" s="23"/>
      <c r="C205" s="36"/>
      <c r="D205" s="36"/>
    </row>
    <row r="206" spans="1:4" ht="20.25" x14ac:dyDescent="0.25">
      <c r="A206" s="117"/>
      <c r="B206" s="23"/>
      <c r="C206" s="36"/>
      <c r="D206" s="36"/>
    </row>
    <row r="207" spans="1:4" ht="20.25" x14ac:dyDescent="0.25">
      <c r="A207" s="117"/>
      <c r="B207" s="23"/>
      <c r="C207" s="36"/>
      <c r="D207" s="36"/>
    </row>
    <row r="208" spans="1:4" x14ac:dyDescent="0.25">
      <c r="A208" s="97"/>
      <c r="B208" s="23"/>
      <c r="C208" s="23"/>
      <c r="D208" s="23"/>
    </row>
    <row r="209" spans="1:8" ht="20.25" x14ac:dyDescent="0.25">
      <c r="A209" s="97"/>
      <c r="B209" s="32" t="s">
        <v>241</v>
      </c>
      <c r="C209" s="32" t="s">
        <v>242</v>
      </c>
      <c r="D209" s="35" t="s">
        <v>241</v>
      </c>
      <c r="E209" s="35" t="s">
        <v>242</v>
      </c>
    </row>
    <row r="210" spans="1:8" ht="21" x14ac:dyDescent="0.35">
      <c r="A210" s="97"/>
      <c r="B210" s="33" t="s">
        <v>243</v>
      </c>
      <c r="C210" s="33" t="s">
        <v>244</v>
      </c>
      <c r="D210" t="s">
        <v>243</v>
      </c>
      <c r="F210" t="str">
        <f>IF(NOT(ISBLANK(D210)),D210,IF(NOT(ISBLANK(E210)),"     "&amp;E210,FALSE))</f>
        <v>Afectación Económica o presupuestal</v>
      </c>
      <c r="G210" t="s">
        <v>243</v>
      </c>
      <c r="H210" t="str">
        <f>IF(NOT(ISERROR(MATCH(G210,_xlfn.ANCHORARRAY(B221),0))),F223&amp;"Por favor no seleccionar los criterios de impacto",G210)</f>
        <v>❌Por favor no seleccionar los criterios de impacto</v>
      </c>
    </row>
    <row r="211" spans="1:8" ht="21" x14ac:dyDescent="0.35">
      <c r="A211" s="97"/>
      <c r="B211" s="33" t="s">
        <v>243</v>
      </c>
      <c r="C211" s="33" t="s">
        <v>220</v>
      </c>
      <c r="E211" t="s">
        <v>244</v>
      </c>
      <c r="F211" t="str">
        <f t="shared" ref="F211:F221" si="0">IF(NOT(ISBLANK(D211)),D211,IF(NOT(ISBLANK(E211)),"     "&amp;E211,FALSE))</f>
        <v xml:space="preserve">     Afectación menor a 10 SMLMV .</v>
      </c>
    </row>
    <row r="212" spans="1:8" ht="21" x14ac:dyDescent="0.35">
      <c r="A212" s="97"/>
      <c r="B212" s="33" t="s">
        <v>243</v>
      </c>
      <c r="C212" s="33" t="s">
        <v>223</v>
      </c>
      <c r="E212" t="s">
        <v>220</v>
      </c>
      <c r="F212" t="str">
        <f t="shared" si="0"/>
        <v xml:space="preserve">     Entre 10 y 50 SMLMV </v>
      </c>
    </row>
    <row r="213" spans="1:8" ht="21" x14ac:dyDescent="0.35">
      <c r="A213" s="97"/>
      <c r="B213" s="33" t="s">
        <v>243</v>
      </c>
      <c r="C213" s="33" t="s">
        <v>227</v>
      </c>
      <c r="E213" t="s">
        <v>223</v>
      </c>
      <c r="F213" t="str">
        <f t="shared" si="0"/>
        <v xml:space="preserve">     Entre 50 y 100 SMLMV </v>
      </c>
    </row>
    <row r="214" spans="1:8" ht="21" x14ac:dyDescent="0.35">
      <c r="A214" s="97"/>
      <c r="B214" s="33" t="s">
        <v>243</v>
      </c>
      <c r="C214" s="33" t="s">
        <v>231</v>
      </c>
      <c r="E214" t="s">
        <v>227</v>
      </c>
      <c r="F214" t="str">
        <f t="shared" si="0"/>
        <v xml:space="preserve">     Entre 100 y 500 SMLMV </v>
      </c>
    </row>
    <row r="215" spans="1:8" ht="21" x14ac:dyDescent="0.35">
      <c r="A215" s="97"/>
      <c r="B215" s="33" t="s">
        <v>213</v>
      </c>
      <c r="C215" s="33" t="s">
        <v>217</v>
      </c>
      <c r="E215" t="s">
        <v>231</v>
      </c>
      <c r="F215" t="str">
        <f t="shared" si="0"/>
        <v xml:space="preserve">     Mayor a 500 SMLMV </v>
      </c>
    </row>
    <row r="216" spans="1:8" ht="21" x14ac:dyDescent="0.35">
      <c r="A216" s="97"/>
      <c r="B216" s="33" t="s">
        <v>213</v>
      </c>
      <c r="C216" s="33" t="s">
        <v>221</v>
      </c>
      <c r="D216" t="s">
        <v>213</v>
      </c>
      <c r="F216" t="str">
        <f t="shared" si="0"/>
        <v>Pérdida Reputacional</v>
      </c>
    </row>
    <row r="217" spans="1:8" ht="21" x14ac:dyDescent="0.35">
      <c r="A217" s="97"/>
      <c r="B217" s="33" t="s">
        <v>213</v>
      </c>
      <c r="C217" s="33" t="s">
        <v>224</v>
      </c>
      <c r="E217" t="s">
        <v>217</v>
      </c>
      <c r="F217" t="str">
        <f t="shared" si="0"/>
        <v xml:space="preserve">     El riesgo afecta la imagen de alguna área de la organización</v>
      </c>
    </row>
    <row r="218" spans="1:8" ht="21" x14ac:dyDescent="0.35">
      <c r="A218" s="97"/>
      <c r="B218" s="33" t="s">
        <v>213</v>
      </c>
      <c r="C218" s="33" t="s">
        <v>228</v>
      </c>
      <c r="E218" t="s">
        <v>221</v>
      </c>
      <c r="F218" t="str">
        <f t="shared" si="0"/>
        <v xml:space="preserve">     El riesgo afecta la imagen de la entidad internamente, de conocimiento general, nivel interno, de junta dircetiva y accionistas y/o de provedores</v>
      </c>
    </row>
    <row r="219" spans="1:8" ht="21" x14ac:dyDescent="0.35">
      <c r="A219" s="97"/>
      <c r="B219" s="33" t="s">
        <v>213</v>
      </c>
      <c r="C219" s="33" t="s">
        <v>232</v>
      </c>
      <c r="E219" t="s">
        <v>224</v>
      </c>
      <c r="F219" t="str">
        <f t="shared" si="0"/>
        <v xml:space="preserve">     El riesgo afecta la imagen de la entidad con algunos usuarios de relevancia frente al logro de los objetivos</v>
      </c>
    </row>
    <row r="220" spans="1:8" x14ac:dyDescent="0.25">
      <c r="A220" s="97"/>
      <c r="B220" s="34"/>
      <c r="C220" s="34"/>
      <c r="E220" t="s">
        <v>228</v>
      </c>
      <c r="F220" t="str">
        <f t="shared" si="0"/>
        <v xml:space="preserve">     El riesgo afecta la imagen de de la entidad con efecto publicitario sostenido a nivel de sector administrativo, nivel departamental o municipal</v>
      </c>
    </row>
    <row r="221" spans="1:8" x14ac:dyDescent="0.25">
      <c r="A221" s="97"/>
      <c r="B221" s="34" t="str" cm="1">
        <f t="array" ref="B221:B223">_xlfn.UNIQUE(Tabla1[[#All],[Criterios]])</f>
        <v>Criterios</v>
      </c>
      <c r="C221" s="34"/>
      <c r="E221" t="s">
        <v>232</v>
      </c>
      <c r="F221" t="str">
        <f t="shared" si="0"/>
        <v xml:space="preserve">     El riesgo afecta la imagen de la entidad a nivel nacional, con efecto publicitarios sostenible a nivel país</v>
      </c>
    </row>
    <row r="222" spans="1:8" x14ac:dyDescent="0.25">
      <c r="A222" s="97"/>
      <c r="B222" s="34" t="str">
        <v>Afectación Económica o presupuestal</v>
      </c>
      <c r="C222" s="34"/>
    </row>
    <row r="223" spans="1:8" x14ac:dyDescent="0.25">
      <c r="B223" s="34" t="str">
        <v>Pérdida Reputacional</v>
      </c>
      <c r="C223" s="34"/>
      <c r="F223" s="37" t="s">
        <v>245</v>
      </c>
    </row>
    <row r="224" spans="1:8" x14ac:dyDescent="0.25">
      <c r="B224" s="22"/>
      <c r="C224" s="22"/>
      <c r="F224" s="37" t="s">
        <v>246</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93413008963DB4B9A37808803AAB666" ma:contentTypeVersion="9" ma:contentTypeDescription="Crear nuevo documento." ma:contentTypeScope="" ma:versionID="bfcd483f231fa430cb0ce46ec2b9ff85">
  <xsd:schema xmlns:xsd="http://www.w3.org/2001/XMLSchema" xmlns:xs="http://www.w3.org/2001/XMLSchema" xmlns:p="http://schemas.microsoft.com/office/2006/metadata/properties" xmlns:ns3="43966e50-1f6e-4c6a-b14b-a4b175e90756" xmlns:ns4="c63905f3-b726-4883-af97-24b7200ebac5" targetNamespace="http://schemas.microsoft.com/office/2006/metadata/properties" ma:root="true" ma:fieldsID="60dcdf9b227e037a18cc54ac65d11878" ns3:_="" ns4:_="">
    <xsd:import namespace="43966e50-1f6e-4c6a-b14b-a4b175e90756"/>
    <xsd:import namespace="c63905f3-b726-4883-af97-24b7200ebac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966e50-1f6e-4c6a-b14b-a4b175e9075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3905f3-b726-4883-af97-24b7200ebac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EA9684-B050-4F7B-B613-DF9BE2E81236}">
  <ds:schemaRefs>
    <ds:schemaRef ds:uri="http://schemas.microsoft.com/sharepoint/v3/contenttype/forms"/>
  </ds:schemaRefs>
</ds:datastoreItem>
</file>

<file path=customXml/itemProps2.xml><?xml version="1.0" encoding="utf-8"?>
<ds:datastoreItem xmlns:ds="http://schemas.openxmlformats.org/officeDocument/2006/customXml" ds:itemID="{3D252D6E-148B-450A-B866-FEB389C7C835}">
  <ds:schemaRefs>
    <ds:schemaRef ds:uri="43966e50-1f6e-4c6a-b14b-a4b175e90756"/>
    <ds:schemaRef ds:uri="http://purl.org/dc/terms/"/>
    <ds:schemaRef ds:uri="http://schemas.microsoft.com/office/2006/documentManagement/types"/>
    <ds:schemaRef ds:uri="http://purl.org/dc/dcmitype/"/>
    <ds:schemaRef ds:uri="http://purl.org/dc/elements/1.1/"/>
    <ds:schemaRef ds:uri="http://schemas.microsoft.com/office/infopath/2007/PartnerControls"/>
    <ds:schemaRef ds:uri="c63905f3-b726-4883-af97-24b7200ebac5"/>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548AD94-6F06-4E8D-8ED5-36BCC2A1C9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966e50-1f6e-4c6a-b14b-a4b175e90756"/>
    <ds:schemaRef ds:uri="c63905f3-b726-4883-af97-24b7200eba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Intructivo</vt:lpstr>
      <vt:lpstr>Hoja2</vt:lpstr>
      <vt:lpstr>Mapa final</vt:lpstr>
      <vt:lpstr>Hoja3</vt:lpstr>
      <vt:lpstr>Seguimiento</vt:lpstr>
      <vt:lpstr>Matriz Calor Inherente</vt:lpstr>
      <vt:lpstr>Matriz Calor Residual</vt:lpstr>
      <vt:lpstr>Tabla probabilidad</vt:lpstr>
      <vt:lpstr>Tabla Impacto</vt:lpstr>
      <vt:lpstr>Tabla Valoración controles</vt:lpstr>
      <vt:lpstr>Criterios Riesgos de Corrupción</vt:lpstr>
      <vt:lpstr>Opciones Tratamiento</vt:lpstr>
      <vt:lpstr>Hoja1</vt:lpstr>
      <vt:lpstr>'Mapa final'!Área_de_impresión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Alex Gomez Petro</cp:lastModifiedBy>
  <cp:revision/>
  <dcterms:created xsi:type="dcterms:W3CDTF">2020-03-24T23:12:47Z</dcterms:created>
  <dcterms:modified xsi:type="dcterms:W3CDTF">2023-08-24T16:59:11Z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0x010100993413008963DB4B9A37808803AAB666</vt:lpwstr>
  </property>
</Properties>
</file>