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C:\Users\marcela.gomezg\Downloads\"/>
    </mc:Choice>
  </mc:AlternateContent>
  <xr:revisionPtr revIDLastSave="0" documentId="13_ncr:1_{2F3E1130-58A1-46EB-8F57-3F4A326DF4FA}" xr6:coauthVersionLast="47" xr6:coauthVersionMax="47" xr10:uidLastSave="{00000000-0000-0000-0000-000000000000}"/>
  <bookViews>
    <workbookView xWindow="-120" yWindow="-120" windowWidth="29040" windowHeight="15840" tabRatio="882" activeTab="1" xr2:uid="{00000000-000D-0000-FFFF-FFFF00000000}"/>
  </bookViews>
  <sheets>
    <sheet name="Intructivo" sheetId="20" r:id="rId1"/>
    <sheet name="Mapa final" sheetId="1" r:id="rId2"/>
    <sheet name="Seguimiento" sheetId="21" r:id="rId3"/>
    <sheet name="Matriz Calor Inherente" sheetId="18" r:id="rId4"/>
    <sheet name="Matriz Calor Residual" sheetId="19" r:id="rId5"/>
    <sheet name="Tabla probabilidad" sheetId="12" r:id="rId6"/>
    <sheet name="Tabla Impacto" sheetId="13" r:id="rId7"/>
    <sheet name="Tabla Valoración controles" sheetId="15" r:id="rId8"/>
    <sheet name="Criterios Riesgos de Corrupción" sheetId="22" r:id="rId9"/>
    <sheet name="Opciones Tratamiento" sheetId="16" state="hidden" r:id="rId10"/>
    <sheet name="Hoja1" sheetId="11" state="hidden" r:id="rId11"/>
  </sheets>
  <definedNames>
    <definedName name="_xlnm.Print_Area" localSheetId="1">'Mapa final'!$A$1:$AJ$72</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1" l="1"/>
  <c r="D9" i="21"/>
  <c r="D6" i="21"/>
  <c r="D7" i="21"/>
  <c r="T18" i="21"/>
  <c r="T19" i="21"/>
  <c r="T17" i="21"/>
  <c r="A11" i="21"/>
  <c r="T3" i="21"/>
  <c r="T5" i="21"/>
  <c r="U5" i="21"/>
  <c r="L54" i="22"/>
  <c r="L55" i="22"/>
  <c r="J54" i="22"/>
  <c r="J55" i="22"/>
  <c r="H54" i="22"/>
  <c r="H55" i="22"/>
  <c r="F54" i="22"/>
  <c r="F55" i="22"/>
  <c r="T4" i="21"/>
  <c r="U4" i="21"/>
  <c r="T8" i="21"/>
  <c r="U8" i="21"/>
  <c r="T9" i="21"/>
  <c r="U9" i="21"/>
  <c r="T10" i="21"/>
  <c r="U10" i="21"/>
  <c r="T11" i="21"/>
  <c r="U11" i="21"/>
  <c r="T12" i="21"/>
  <c r="U12" i="21"/>
  <c r="T13" i="21"/>
  <c r="U13" i="21"/>
  <c r="T14" i="21"/>
  <c r="U14" i="21"/>
  <c r="T15" i="21"/>
  <c r="U15" i="21"/>
  <c r="T16" i="21"/>
  <c r="U16" i="21"/>
  <c r="U17" i="21"/>
  <c r="U18" i="21"/>
  <c r="U19" i="21"/>
  <c r="T20" i="21"/>
  <c r="U20" i="21"/>
  <c r="T21" i="21"/>
  <c r="U21" i="21"/>
  <c r="T22" i="21"/>
  <c r="U22" i="21"/>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46" i="21"/>
  <c r="U46" i="21"/>
  <c r="U3" i="21"/>
  <c r="D4" i="21"/>
  <c r="D5"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3" i="21"/>
  <c r="A5" i="21"/>
  <c r="A6" i="21"/>
  <c r="A17" i="21"/>
  <c r="A23" i="21"/>
  <c r="A29" i="21"/>
  <c r="A35" i="21"/>
  <c r="A41" i="21"/>
  <c r="A3" i="21"/>
  <c r="T10" i="1"/>
  <c r="Q10" i="1"/>
  <c r="H10" i="1"/>
  <c r="I10" i="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c r="F211" i="13"/>
  <c r="F212" i="13"/>
  <c r="F213" i="13"/>
  <c r="F214" i="13"/>
  <c r="F215" i="13"/>
  <c r="F216" i="13"/>
  <c r="F217" i="13"/>
  <c r="F218" i="13"/>
  <c r="F219" i="13"/>
  <c r="F220" i="13"/>
  <c r="F210" i="13"/>
  <c r="K15" i="1"/>
  <c r="K14" i="1"/>
  <c r="K11" i="1"/>
  <c r="K12" i="1"/>
  <c r="B221" i="13" a="1"/>
  <c r="K13" i="1"/>
  <c r="B221" i="13"/>
  <c r="Q52" i="1"/>
  <c r="Q47" i="1"/>
  <c r="Q41"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c r="Q69" i="1"/>
  <c r="T68" i="1"/>
  <c r="Q68" i="1"/>
  <c r="T67" i="1"/>
  <c r="Q67" i="1"/>
  <c r="T66" i="1"/>
  <c r="Q66" i="1"/>
  <c r="T65" i="1"/>
  <c r="Q65" i="1"/>
  <c r="T64" i="1"/>
  <c r="Q64" i="1"/>
  <c r="H64" i="1"/>
  <c r="I64" i="1"/>
  <c r="T63" i="1"/>
  <c r="Q63" i="1"/>
  <c r="T62" i="1"/>
  <c r="Q62" i="1"/>
  <c r="T61" i="1"/>
  <c r="Q61" i="1"/>
  <c r="T60" i="1"/>
  <c r="Q60" i="1"/>
  <c r="T59" i="1"/>
  <c r="Q59" i="1"/>
  <c r="T58" i="1"/>
  <c r="Q58" i="1"/>
  <c r="H58" i="1"/>
  <c r="I58" i="1"/>
  <c r="T57" i="1"/>
  <c r="Q57" i="1"/>
  <c r="T56" i="1"/>
  <c r="Q56" i="1"/>
  <c r="T55" i="1"/>
  <c r="Q55" i="1"/>
  <c r="T54" i="1"/>
  <c r="Q54" i="1"/>
  <c r="T53" i="1"/>
  <c r="Q53" i="1"/>
  <c r="T52" i="1"/>
  <c r="H52" i="1"/>
  <c r="I52" i="1"/>
  <c r="T51" i="1"/>
  <c r="Q51" i="1"/>
  <c r="T50" i="1"/>
  <c r="Q50" i="1"/>
  <c r="T49" i="1"/>
  <c r="Q49" i="1"/>
  <c r="T48" i="1"/>
  <c r="Q48" i="1"/>
  <c r="T47" i="1"/>
  <c r="T46" i="1"/>
  <c r="Q46" i="1"/>
  <c r="H46" i="1"/>
  <c r="I46" i="1"/>
  <c r="T45" i="1"/>
  <c r="Q45" i="1"/>
  <c r="T44" i="1"/>
  <c r="Q44" i="1"/>
  <c r="T43" i="1"/>
  <c r="Q43" i="1"/>
  <c r="T42" i="1"/>
  <c r="Q42" i="1"/>
  <c r="T41" i="1"/>
  <c r="T40" i="1"/>
  <c r="Q40" i="1"/>
  <c r="H40" i="1"/>
  <c r="I40" i="1"/>
  <c r="T39" i="1"/>
  <c r="Q39" i="1"/>
  <c r="T38" i="1"/>
  <c r="Q38" i="1"/>
  <c r="T37" i="1"/>
  <c r="Q37" i="1"/>
  <c r="T36" i="1"/>
  <c r="Q36" i="1"/>
  <c r="T35" i="1"/>
  <c r="Q35" i="1"/>
  <c r="T34" i="1"/>
  <c r="Q34" i="1"/>
  <c r="H34" i="1"/>
  <c r="I34" i="1"/>
  <c r="T33" i="1"/>
  <c r="Q33" i="1"/>
  <c r="T32" i="1"/>
  <c r="Q32" i="1"/>
  <c r="T31" i="1"/>
  <c r="Q31" i="1"/>
  <c r="T30" i="1"/>
  <c r="Q30" i="1"/>
  <c r="T29" i="1"/>
  <c r="Q29" i="1"/>
  <c r="T28" i="1"/>
  <c r="Q28" i="1"/>
  <c r="H28" i="1"/>
  <c r="I28" i="1"/>
  <c r="T27" i="1"/>
  <c r="Q27" i="1"/>
  <c r="T26" i="1"/>
  <c r="Q26" i="1"/>
  <c r="T25" i="1"/>
  <c r="Q25" i="1"/>
  <c r="T24" i="1"/>
  <c r="Q24" i="1"/>
  <c r="T23" i="1"/>
  <c r="Q23" i="1"/>
  <c r="T22" i="1"/>
  <c r="Q22" i="1"/>
  <c r="H22" i="1"/>
  <c r="I22" i="1"/>
  <c r="H16" i="1"/>
  <c r="Q15" i="1"/>
  <c r="Q14" i="1"/>
  <c r="Q13" i="1"/>
  <c r="T21" i="1"/>
  <c r="Q21" i="1"/>
  <c r="T20" i="1"/>
  <c r="Q20" i="1"/>
  <c r="T19" i="1"/>
  <c r="Q19" i="1"/>
  <c r="T18" i="1"/>
  <c r="Q18" i="1"/>
  <c r="T17" i="1"/>
  <c r="Q17" i="1"/>
  <c r="T16" i="1"/>
  <c r="Q16" i="1"/>
  <c r="AB50" i="1"/>
  <c r="AA50" i="1"/>
  <c r="AB51" i="1"/>
  <c r="AA51" i="1"/>
  <c r="I16" i="1"/>
  <c r="X16" i="1"/>
  <c r="X64" i="1"/>
  <c r="X58" i="1"/>
  <c r="X52" i="1"/>
  <c r="X46" i="1"/>
  <c r="X50" i="1"/>
  <c r="X51" i="1"/>
  <c r="X40" i="1"/>
  <c r="X34" i="1"/>
  <c r="X28" i="1"/>
  <c r="X22" i="1"/>
  <c r="Y64" i="1"/>
  <c r="Z64" i="1"/>
  <c r="X65" i="1"/>
  <c r="Y65" i="1"/>
  <c r="Y58" i="1"/>
  <c r="Z58" i="1"/>
  <c r="X59" i="1"/>
  <c r="Z59" i="1"/>
  <c r="X60" i="1"/>
  <c r="Y52" i="1"/>
  <c r="Z52" i="1"/>
  <c r="X53" i="1"/>
  <c r="Z53" i="1"/>
  <c r="X54" i="1"/>
  <c r="Y51" i="1"/>
  <c r="Z51" i="1"/>
  <c r="Y50" i="1"/>
  <c r="Z50" i="1"/>
  <c r="Y46" i="1"/>
  <c r="Z46" i="1"/>
  <c r="Y40" i="1"/>
  <c r="Z40" i="1"/>
  <c r="X41" i="1"/>
  <c r="Z41" i="1"/>
  <c r="X42" i="1"/>
  <c r="Y34" i="1"/>
  <c r="Z34" i="1"/>
  <c r="Y28" i="1"/>
  <c r="Z28" i="1"/>
  <c r="X29" i="1"/>
  <c r="Z29" i="1"/>
  <c r="X30" i="1"/>
  <c r="Y30" i="1"/>
  <c r="Y22" i="1"/>
  <c r="Z22" i="1"/>
  <c r="X23" i="1"/>
  <c r="Y23" i="1"/>
  <c r="Y16" i="1"/>
  <c r="Z16" i="1"/>
  <c r="X17" i="1"/>
  <c r="Y59" i="1"/>
  <c r="Y53" i="1"/>
  <c r="Z23" i="1"/>
  <c r="X24" i="1"/>
  <c r="Y24" i="1"/>
  <c r="Y41" i="1"/>
  <c r="Y29" i="1"/>
  <c r="Y42" i="1"/>
  <c r="Z42" i="1"/>
  <c r="Z60" i="1"/>
  <c r="X61" i="1"/>
  <c r="Y60" i="1"/>
  <c r="Z54" i="1"/>
  <c r="X55" i="1"/>
  <c r="Y54" i="1"/>
  <c r="Z65" i="1"/>
  <c r="X66" i="1"/>
  <c r="X35" i="1"/>
  <c r="X47"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c r="Z61" i="1"/>
  <c r="Y55" i="1"/>
  <c r="Z55" i="1"/>
  <c r="X56" i="1"/>
  <c r="Z24" i="1"/>
  <c r="X25" i="1"/>
  <c r="Z25" i="1"/>
  <c r="Y66" i="1"/>
  <c r="Z66" i="1"/>
  <c r="X67" i="1"/>
  <c r="Y47" i="1"/>
  <c r="Z47" i="1"/>
  <c r="X48" i="1"/>
  <c r="Y48" i="1"/>
  <c r="X43" i="1"/>
  <c r="Y35" i="1"/>
  <c r="Z35" i="1"/>
  <c r="X36" i="1"/>
  <c r="Y36" i="1"/>
  <c r="X32" i="1"/>
  <c r="Y32" i="1"/>
  <c r="X31" i="1"/>
  <c r="Y17" i="1"/>
  <c r="Z17" i="1"/>
  <c r="X18" i="1"/>
  <c r="Y18" i="1"/>
  <c r="Z48" i="1"/>
  <c r="X49" i="1"/>
  <c r="Y49" i="1"/>
  <c r="Z36" i="1"/>
  <c r="X37" i="1"/>
  <c r="Z37" i="1"/>
  <c r="X38" i="1"/>
  <c r="Y56" i="1"/>
  <c r="Z56" i="1"/>
  <c r="X57" i="1"/>
  <c r="X62" i="1"/>
  <c r="X63" i="1"/>
  <c r="Y25" i="1"/>
  <c r="Y43" i="1"/>
  <c r="Z43" i="1"/>
  <c r="X44" i="1"/>
  <c r="Y44" i="1"/>
  <c r="X26" i="1"/>
  <c r="Z67" i="1"/>
  <c r="Y67" i="1"/>
  <c r="Y31" i="1"/>
  <c r="Z31" i="1"/>
  <c r="Z32" i="1"/>
  <c r="X33" i="1"/>
  <c r="Z18" i="1"/>
  <c r="X19" i="1"/>
  <c r="Y19" i="1"/>
  <c r="Q12" i="1"/>
  <c r="Z49" i="1"/>
  <c r="Y37" i="1"/>
  <c r="Y63" i="1"/>
  <c r="Z63" i="1"/>
  <c r="Y62" i="1"/>
  <c r="Z62" i="1"/>
  <c r="Y57" i="1"/>
  <c r="Z57" i="1"/>
  <c r="X68" i="1"/>
  <c r="X69" i="1"/>
  <c r="Z44" i="1"/>
  <c r="X45" i="1"/>
  <c r="Y45" i="1"/>
  <c r="Z38" i="1"/>
  <c r="X39" i="1"/>
  <c r="Y38" i="1"/>
  <c r="Y26" i="1"/>
  <c r="Z26" i="1"/>
  <c r="X27" i="1"/>
  <c r="Y27" i="1"/>
  <c r="Y33" i="1"/>
  <c r="Z33" i="1"/>
  <c r="Z19" i="1"/>
  <c r="X20" i="1"/>
  <c r="Z20" i="1"/>
  <c r="X21" i="1"/>
  <c r="X10" i="1"/>
  <c r="Y10" i="1"/>
  <c r="Y69" i="1"/>
  <c r="Z69" i="1"/>
  <c r="Y68" i="1"/>
  <c r="Z68" i="1"/>
  <c r="Y39" i="1"/>
  <c r="Z39" i="1"/>
  <c r="Z45" i="1"/>
  <c r="Z27" i="1"/>
  <c r="Y20" i="1"/>
  <c r="Y21" i="1"/>
  <c r="Z21" i="1"/>
  <c r="Q11" i="1"/>
  <c r="Z10" i="1"/>
  <c r="X11" i="1"/>
  <c r="Y11" i="1"/>
  <c r="Z11" i="1"/>
  <c r="X12" i="1"/>
  <c r="Y12" i="1"/>
  <c r="Z12" i="1"/>
  <c r="X13" i="1"/>
  <c r="Z13" i="1"/>
  <c r="X14" i="1"/>
  <c r="Y14" i="1"/>
  <c r="Z14" i="1"/>
  <c r="X15" i="1"/>
  <c r="Y13" i="1"/>
  <c r="Y15" i="1"/>
  <c r="Z15" i="1"/>
  <c r="K40" i="1"/>
  <c r="L40" i="1"/>
  <c r="K28" i="1"/>
  <c r="L28" i="1"/>
  <c r="K22" i="1"/>
  <c r="L22" i="1"/>
  <c r="K52" i="1"/>
  <c r="L52" i="1"/>
  <c r="K46" i="1"/>
  <c r="L46" i="1"/>
  <c r="K34" i="1"/>
  <c r="L34" i="1"/>
  <c r="K64" i="1"/>
  <c r="L64" i="1"/>
  <c r="K58" i="1"/>
  <c r="L58" i="1"/>
  <c r="K10" i="1"/>
  <c r="L10" i="1"/>
  <c r="K16" i="1"/>
  <c r="L16" i="1"/>
  <c r="Z42" i="18"/>
  <c r="N42" i="18"/>
  <c r="AF26" i="18"/>
  <c r="N26" i="18"/>
  <c r="AF18" i="18"/>
  <c r="T10" i="18"/>
  <c r="N34" i="18"/>
  <c r="T34" i="18"/>
  <c r="T18" i="18"/>
  <c r="Z18" i="18"/>
  <c r="Z10" i="18"/>
  <c r="AL18" i="18"/>
  <c r="Z26" i="18"/>
  <c r="N58" i="1"/>
  <c r="B41" i="2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B35" i="21"/>
  <c r="M64" i="1"/>
  <c r="AB64" i="1"/>
  <c r="AB36" i="18"/>
  <c r="AH12" i="18"/>
  <c r="P28" i="18"/>
  <c r="AH20" i="18"/>
  <c r="P36" i="18"/>
  <c r="V12" i="18"/>
  <c r="AH28" i="18"/>
  <c r="AB20" i="18"/>
  <c r="J12" i="18"/>
  <c r="J20" i="18"/>
  <c r="N64" i="1"/>
  <c r="P44" i="18"/>
  <c r="AB44" i="18"/>
  <c r="V28" i="18"/>
  <c r="V36" i="18"/>
  <c r="J28" i="18"/>
  <c r="AH36" i="18"/>
  <c r="J44" i="18"/>
  <c r="P12" i="18"/>
  <c r="AB12" i="18"/>
  <c r="V44" i="18"/>
  <c r="AH44" i="18"/>
  <c r="V20" i="18"/>
  <c r="P20" i="18"/>
  <c r="J36" i="18"/>
  <c r="AB28" i="18"/>
  <c r="T38" i="18"/>
  <c r="AF22" i="18"/>
  <c r="N38" i="18"/>
  <c r="AF30" i="18"/>
  <c r="AL6" i="18"/>
  <c r="Z6" i="18"/>
  <c r="N22" i="1"/>
  <c r="B6" i="2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B17" i="2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AH40" i="18"/>
  <c r="AB24" i="18"/>
  <c r="P24" i="18"/>
  <c r="AD38" i="18"/>
  <c r="L30" i="18"/>
  <c r="AD30" i="18"/>
  <c r="AJ6" i="18"/>
  <c r="L14" i="18"/>
  <c r="L22" i="18"/>
  <c r="X6" i="18"/>
  <c r="L6" i="18"/>
  <c r="N16" i="1"/>
  <c r="B5" i="2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c r="N10" i="1"/>
  <c r="B3" i="21"/>
  <c r="M46" i="1"/>
  <c r="AH34" i="18"/>
  <c r="AH42" i="18"/>
  <c r="AH18" i="18"/>
  <c r="AB10" i="18"/>
  <c r="J26" i="18"/>
  <c r="V18" i="18"/>
  <c r="V42" i="18"/>
  <c r="J42" i="18"/>
  <c r="P10" i="18"/>
  <c r="AB26" i="18"/>
  <c r="J34" i="18"/>
  <c r="J18" i="18"/>
  <c r="AH10" i="18"/>
  <c r="AB34" i="18"/>
  <c r="P26" i="18"/>
  <c r="P34" i="18"/>
  <c r="V34" i="18"/>
  <c r="AH26" i="18"/>
  <c r="J10" i="18"/>
  <c r="N46" i="1"/>
  <c r="B29" i="2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B23" i="21"/>
  <c r="T40" i="18"/>
  <c r="AF8" i="18"/>
  <c r="AL24" i="18"/>
  <c r="Z8" i="18"/>
  <c r="AF40" i="18"/>
  <c r="AL16" i="18"/>
  <c r="B11" i="21"/>
  <c r="AB28" i="1"/>
  <c r="AA28" i="1"/>
  <c r="AA64" i="1"/>
  <c r="AB66" i="1"/>
  <c r="AB59" i="1"/>
  <c r="AB58" i="1"/>
  <c r="AB41" i="1"/>
  <c r="AB40" i="1"/>
  <c r="AA40" i="1"/>
  <c r="AB53" i="1"/>
  <c r="AB52" i="1"/>
  <c r="AA52" i="1"/>
  <c r="AA10" i="1"/>
  <c r="AB11" i="1"/>
  <c r="AB17" i="1"/>
  <c r="AB16" i="1"/>
  <c r="AA16" i="1"/>
  <c r="AB22" i="1"/>
  <c r="AA22" i="1"/>
  <c r="AB46" i="1"/>
  <c r="AA46" i="1"/>
  <c r="AB34" i="1"/>
  <c r="AA34" i="1"/>
  <c r="AB35" i="1"/>
  <c r="AA35" i="1"/>
  <c r="AB23" i="1"/>
  <c r="AA23" i="1"/>
  <c r="AB47" i="1"/>
  <c r="AB29" i="1"/>
  <c r="AA29" i="1"/>
  <c r="J40" i="19"/>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C23" i="2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0" i="1"/>
  <c r="J36" i="19"/>
  <c r="J46" i="19"/>
  <c r="V25" i="19"/>
  <c r="AH25" i="19"/>
  <c r="P45" i="19"/>
  <c r="AH45" i="19"/>
  <c r="AH15" i="19"/>
  <c r="AB55" i="19"/>
  <c r="J45" i="19"/>
  <c r="AH35" i="19"/>
  <c r="V45" i="19"/>
  <c r="AH55" i="19"/>
  <c r="V15" i="19"/>
  <c r="J25" i="19"/>
  <c r="V35" i="19"/>
  <c r="AC64" i="1"/>
  <c r="P25" i="19"/>
  <c r="V55" i="19"/>
  <c r="J15" i="19"/>
  <c r="AB15" i="19"/>
  <c r="J35" i="19"/>
  <c r="AB35" i="19"/>
  <c r="J55" i="19"/>
  <c r="AB25" i="19"/>
  <c r="P35" i="19"/>
  <c r="P55" i="19"/>
  <c r="AB45" i="19"/>
  <c r="P15" i="19"/>
  <c r="J47" i="19"/>
  <c r="V27" i="19"/>
  <c r="AH7" i="19"/>
  <c r="P47" i="19"/>
  <c r="AB27" i="19"/>
  <c r="J17" i="19"/>
  <c r="V47" i="19"/>
  <c r="J37" i="19"/>
  <c r="AC16" i="1"/>
  <c r="C5" i="21"/>
  <c r="AB37" i="19"/>
  <c r="J27" i="19"/>
  <c r="V7" i="19"/>
  <c r="AH37" i="19"/>
  <c r="P27" i="19"/>
  <c r="AB7" i="19"/>
  <c r="P17" i="19"/>
  <c r="V17" i="19"/>
  <c r="AH47" i="19"/>
  <c r="P37" i="19"/>
  <c r="AB17" i="19"/>
  <c r="J7" i="19"/>
  <c r="V37" i="19"/>
  <c r="AH17" i="19"/>
  <c r="P7" i="19"/>
  <c r="AH27" i="19"/>
  <c r="AB47" i="19"/>
  <c r="AC52" i="1"/>
  <c r="C35" i="2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41" i="1"/>
  <c r="AB42" i="1"/>
  <c r="AA42" i="1"/>
  <c r="AB43" i="1"/>
  <c r="V32" i="19"/>
  <c r="P42" i="19"/>
  <c r="J12" i="19"/>
  <c r="J32" i="19"/>
  <c r="AB52" i="19"/>
  <c r="AC46" i="1"/>
  <c r="C29" i="21"/>
  <c r="J22" i="19"/>
  <c r="V22" i="19"/>
  <c r="J52" i="19"/>
  <c r="AH12" i="19"/>
  <c r="J42" i="19"/>
  <c r="AH42" i="19"/>
  <c r="P32" i="19"/>
  <c r="AB12" i="19"/>
  <c r="AH32" i="19"/>
  <c r="AB32" i="19"/>
  <c r="AB42" i="19"/>
  <c r="V42" i="19"/>
  <c r="V12" i="19"/>
  <c r="V52" i="19"/>
  <c r="AB22" i="19"/>
  <c r="AH52" i="19"/>
  <c r="AH22" i="19"/>
  <c r="P22" i="19"/>
  <c r="P12" i="19"/>
  <c r="P52" i="19"/>
  <c r="AB48" i="1"/>
  <c r="AA48" i="1"/>
  <c r="AB49" i="1"/>
  <c r="AA49" i="1"/>
  <c r="AA47" i="1"/>
  <c r="AB18" i="1"/>
  <c r="AA17" i="1"/>
  <c r="AA53" i="1"/>
  <c r="AB54" i="1"/>
  <c r="AA59" i="1"/>
  <c r="AB60" i="1"/>
  <c r="AB30" i="1"/>
  <c r="C11" i="21"/>
  <c r="AB24" i="1"/>
  <c r="AA24" i="1"/>
  <c r="W37" i="19"/>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C41" i="2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c r="AB44" i="1"/>
  <c r="AA44" i="1"/>
  <c r="AA36" i="1"/>
  <c r="AB37" i="1"/>
  <c r="AB13" i="1"/>
  <c r="AA13" i="1"/>
  <c r="AA1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B25" i="1"/>
  <c r="AA25" i="1"/>
  <c r="AB14" i="1"/>
  <c r="AA14" i="1"/>
  <c r="R40" i="19"/>
  <c r="AD10" i="19"/>
  <c r="X40" i="19"/>
  <c r="AJ10" i="19"/>
  <c r="R50" i="19"/>
  <c r="X10" i="19"/>
  <c r="R30" i="19"/>
  <c r="AC36" i="1"/>
  <c r="C17" i="21"/>
  <c r="L10" i="19"/>
  <c r="L50" i="19"/>
  <c r="AJ20" i="19"/>
  <c r="AJ40" i="19"/>
  <c r="AD30" i="19"/>
  <c r="R20" i="19"/>
  <c r="AD50" i="19"/>
  <c r="AJ30" i="19"/>
  <c r="AJ50" i="19"/>
  <c r="X30" i="19"/>
  <c r="AD20" i="19"/>
  <c r="L40" i="19"/>
  <c r="X50" i="19"/>
  <c r="X20" i="19"/>
  <c r="AD40" i="19"/>
  <c r="R10" i="19"/>
  <c r="L30" i="19"/>
  <c r="L20" i="19"/>
  <c r="AA55" i="1"/>
  <c r="AB56" i="1"/>
  <c r="AA68" i="1"/>
  <c r="AB69" i="1"/>
  <c r="AA69" i="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c r="AB27" i="1"/>
  <c r="AA27" i="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c r="AB33" i="1"/>
  <c r="AA33" i="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B15" i="1"/>
  <c r="AA15" i="1"/>
  <c r="AG16" i="19"/>
  <c r="AA38" i="1"/>
  <c r="AB39" i="1"/>
  <c r="AA39" i="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c r="AM46" i="19"/>
  <c r="U3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c r="AB21" i="1"/>
  <c r="AA21" i="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2" authorId="0" shapeId="0" xr:uid="{06D1B4CF-21C5-4C51-953B-329EA7DF4904}">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 parte del responsable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<sst xmlns="http://schemas.openxmlformats.org/spreadsheetml/2006/main" count="476" uniqueCount="287">
  <si>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</si>
  <si>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</si>
  <si>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</si>
  <si>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</si>
  <si>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</si>
  <si>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</si>
  <si>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</si>
  <si>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</si>
  <si>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</si>
  <si>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</si>
  <si>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</si>
  <si>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</si>
  <si>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</si>
  <si>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</si>
  <si>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</si>
  <si>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</si>
  <si>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</si>
  <si>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</si>
  <si>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</si>
  <si>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</si>
  <si>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</si>
  <si>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</si>
  <si>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</si>
  <si>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</si>
  <si>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</si>
  <si>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</si>
  <si>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</si>
  <si>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</si>
  <si>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</si>
  <si>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</si>
  <si>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</si>
  <si>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</si>
  <si>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</si>
  <si>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</si>
  <si>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</si>
  <si>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</si>
  <si>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</si>
  <si>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</si>
  <si>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</si>
  <si>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</si>
  <si>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</si>
  <si>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</si>
  <si>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</si>
  <si>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</si>
  <si>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</si>
  <si>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</si>
  <si>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</si>
  <si>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</si>
  <si>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</si>
  <si>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</si>
  <si>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</si>
  <si>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</si>
  <si>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</si>
  <si>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</si>
  <si>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</si>
  <si>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</si>
  <si>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</si>
  <si>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</si>
  <si>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</si>
  <si>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</si>
  <si>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</si>
  <si>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</si>
  <si>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</si>
  <si>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</si>
  <si>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</si>
  <si>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</si>
  <si>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</si>
  <si>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</si>
  <si>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</si>
  <si>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</si>
  <si>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</si>
  <si>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</si>
  <si>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</si>
  <si>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</si>
  <si>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</si>
  <si>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</si>
  <si>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</si>
  <si>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</si>
  <si>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</si>
  <si>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</si>
  <si>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</si>
  <si>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</si>
  <si>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</si>
  <si>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</si>
  <si>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</si>
  <si>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</si>
  <si>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</si>
  <si>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</si>
  <si>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</si>
  <si>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</si>
  <si>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</si>
  <si>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</si>
  <si>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</si>
  <si>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</si>
  <si>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</si>
  <si>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</si>
  <si>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</si>
  <si>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</si>
  <si>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</si>
  <si>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</si>
  <si>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</si>
  <si>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</si>
  <si>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</si>
  <si>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</si>
  <si>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</si>
  <si>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</si>
  <si>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</si>
  <si>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</si>
  <si>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</si>
  <si>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</si>
  <si>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</si>
  <si>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</si>
  <si>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</si>
  <si>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</si>
  <si>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</si>
  <si>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</si>
  <si>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</si>
  <si>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</si>
  <si>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</si>
  <si>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</si>
  <si>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</si>
  <si>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</si>
  <si>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</si>
  <si>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</si>
  <si>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</si>
  <si>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</si>
  <si>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</si>
  <si>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</si>
  <si>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</si>
  <si>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</si>
  <si>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</si>
  <si>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</si>
  <si>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</si>
  <si>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</si>
  <si>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</si>
  <si>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</si>
  <si>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</si>
  <si>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</si>
  <si>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</si>
  <si>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</si>
  <si>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</si>
  <si>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</si>
  <si>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</si>
  <si>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</si>
  <si>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</si>
  <si>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</si>
  <si>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</si>
  <si>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</si>
  <si>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</si>
  <si>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</si>
  <si>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</si>
  <si>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</si>
  <si>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</si>
  <si>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</si>
  <si>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</si>
  <si>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</si>
  <si>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</si>
  <si>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</si>
  <si>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</si>
  <si>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</si>
  <si>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</si>
  <si>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</si>
  <si>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</si>
  <si>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</si>
  <si>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</si>
  <si>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</si>
  <si>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</si>
  <si>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</si>
  <si>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</si>
  <si>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</si>
  <si>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</si>
  <si>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</si>
  <si>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</si>
  <si>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</si>
  <si>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</si>
  <si>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</si>
  <si>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</si>
  <si>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</si>
  <si>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</si>
  <si>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</si>
  <si>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</si>
  <si>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</si>
  <si>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</si>
  <si>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</si>
  <si>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</si>
  <si>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</si>
  <si>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</si>
  <si>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</si>
  <si>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</si>
  <si>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</si>
  <si>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</si>
  <si>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</si>
  <si>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</si>
  <si>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</si>
  <si>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</si>
  <si>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</si>
  <si>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</si>
  <si>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</si>
  <si>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</si>
  <si>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</si>
  <si>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</si>
  <si>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</si>
  <si>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</si>
  <si>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</si>
  <si>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</si>
  <si>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</si>
  <si>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</si>
  <si>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</si>
  <si>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</si>
  <si>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</si>
  <si>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</si>
  <si>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</si>
  <si>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</si>
  <si>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</si>
  <si>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RIESGOS</t>
  </si>
  <si>
    <t>CONTROLES</t>
  </si>
  <si>
    <t>MONITOREO 1a LÍNEA DE DEFENSA</t>
  </si>
  <si>
    <t>EVALUACIÓN DE CONTROLES -  3a LÍNEA DE DEFENSA</t>
  </si>
  <si>
    <t>PLAN DE ACCIÓN TRATAMIENTO DE RIESGOS</t>
  </si>
  <si>
    <t>SEGUIMIENTO PLAN DE ACCIÓN TRATAMIENTO DE RIESGOS 1a LÍNEA DE DEFENSA</t>
  </si>
  <si>
    <t>SEGUIMIENTO PLAN DE ACCIÓN TRATAMIENTO DE RIESGOS 2a LÍNEA DE DEFENSA</t>
  </si>
  <si>
    <t>Riesgo</t>
  </si>
  <si>
    <t>Nivel Inherente</t>
  </si>
  <si>
    <t>Nivel Residual</t>
  </si>
  <si>
    <t>Controles</t>
  </si>
  <si>
    <t>Descripción Monitoreo Control</t>
  </si>
  <si>
    <t>Asignación de Responsable</t>
  </si>
  <si>
    <t>Segregación de Autoridad</t>
  </si>
  <si>
    <t>Periodicidad</t>
  </si>
  <si>
    <t>Propósito</t>
  </si>
  <si>
    <t xml:space="preserve"> Cómo se realiza la actividad de control</t>
  </si>
  <si>
    <t>Qué pasa con las observaciones o desviaciones</t>
  </si>
  <si>
    <t>Evidencia de la ejecución del control</t>
  </si>
  <si>
    <t>CALIFICACIÓN DISEÑO DEL CONTROL</t>
  </si>
  <si>
    <t>CALIFICACIÓN DE LA EJECUCIÓN DEL CONTROL</t>
  </si>
  <si>
    <t>SOLIDEZ INDIVIDUAL DEL CONTROL</t>
  </si>
  <si>
    <t>REQUIERE ACCIONES PARA FORTALECER EL CONTROL</t>
  </si>
  <si>
    <t>RECOMENDACIONES</t>
  </si>
  <si>
    <t>Descripción Seguimiento Plan Acción</t>
  </si>
  <si>
    <t>ESTADO DE CUMPLIMIENTO</t>
  </si>
  <si>
    <t>OBSERVACIONES</t>
  </si>
  <si>
    <t>DEFINICIÓN E IDENTIFICACIÓN DE RIESGOS DE CORRUPCIÓN</t>
  </si>
  <si>
    <t>Con el fin de facilitar la identificación de riesgos de corrupción y evitar que se presenten confusiones entre un riesgo de gestión y uno de corrupción, se sugiere la utilización de la matriz de definición de riesgo de corrupción porque incorpora cada uno de los componentes de su definición.
Si en la descripción del riesgo, las casillas son contestadas todas afirmativamente, se trata de un riesgo de corrupción, así:</t>
  </si>
  <si>
    <t>Determinación de Probabilidad</t>
  </si>
  <si>
    <t>Determinación de Impacto</t>
  </si>
  <si>
    <t>N°</t>
  </si>
  <si>
    <t>RIESGO 1</t>
  </si>
  <si>
    <t>RIESGO 2</t>
  </si>
  <si>
    <t>RIESGO 3</t>
  </si>
  <si>
    <t>RIESGO 4</t>
  </si>
  <si>
    <t>Si</t>
  </si>
  <si>
    <t>No</t>
  </si>
  <si>
    <t>x</t>
  </si>
  <si>
    <t xml:space="preserve"> </t>
  </si>
  <si>
    <t xml:space="preserve">
</t>
  </si>
  <si>
    <t>Gestión Integral de Medidas de Emergencia</t>
  </si>
  <si>
    <t>Definir lineamientos institucionales y actividades para la valoración inicial en los casos en que se presuma un riesgo inminente y excepcional o presunción constitucional del riesgo, que permitan orientar al Director de la entidad en la adopción o no de medidas provisionales para la población objeto del Programa de Prevención y Protección de la Unidad Nacional de Protección – UNP, en cumplimiento lo estipulado en los artículo 2.4.1.2.9 y 2.4.1.3.4 del Decreto1066 del 2015 o al Ministerio del Interior en aquellos casos en que presuma un riesgo inminente y excepcional de grupos o comunidades, en aplicación del artículo 2.4.1.5.4. de antedicho Decreto.</t>
  </si>
  <si>
    <t>Comprende la planificación, desarrollo, evaluación y mejoramiento continuo de las actividades definidas para una valoración inicialmente de los casos en que se presuma un riesgo inminente y excepcional o presunción constitucional del riesgo, coadyuvando a garantizar los derechos a la vida, libertad, integridad y seguridad de las personas, grupos o comunidades objeto del programa de protección de la UNP.</t>
  </si>
  <si>
    <t>Se valida con las actas de reunión y/o Grabaciones</t>
  </si>
  <si>
    <t>R2. Posibilidad que en el desarrollo del Proceso “Gestión Integral de Medidas de Emergencia”, se recomiende inadecuadamente al Director General de la UNP para la adopción de medidas provisionales de protección, que deriven en la implementación de medidas insuficientes que puedan terminar afectando la vida, integridad y libertad de las personas objeto de protección del programa de la entidad ante la posible materialización del riesgo inminente y excepcional. O generando un detrimento patrimonial frente a medidas provisionales de protección innecesarias o excesivas. Ocasionando investigaciones penales, disciplinarias y/o fiscales o detrimento patrimonial, que perjudican la imagen institucional.</t>
  </si>
  <si>
    <t>Lider del equipo de Gestión Integral de Medidas de Emergencia</t>
  </si>
  <si>
    <t>01/07/2023
01/10/2023</t>
  </si>
  <si>
    <t>05/10/2023
05/01/2024</t>
  </si>
  <si>
    <t>El líder del equipo de Gestión Integral de Medidas de Emergencia revisa permanentemente que el servidor público y/o contratista haya aplicado los lineamientos establecidos para la recomendación de medidas provisionales de protección, frente a casos de riesgo inminente y excepcional o presunción constitucional del riesgo. El control se realiza de forma continua corroborando el cumplimiento de la Matriz de Servicios Características y Estándares establecida para el proceso de Gestión Integral de Medidas de Emergencia, y dejando como evidencia en caso de incumplimiento el diligenciamiento del Formato de Identificación, Control y Tratamiento Salida no Conforme de código GIN-FT-11-V6.
Evidencia: Informes de no salidas no conformes y otros.</t>
  </si>
  <si>
    <t>El líder del Equipo de Gestión Integral de Medidas de Emergencia, controla de manera permanente que cada uno de los actos administrativos proyectados frente a los casos de valoración inicial del presunto riesgo inminente y excepcional o presunción constitucional del riesgo, cuenten con la revisión del delegado por el Director General de la UNP,  y lleno de requisitos trazables y certificables de revisión y aprobación, dejando como evidencia las firmas de revisión y aprobación en el Formato de Aprobación Medidas de Emergencia de código GME-FT-03-V2.
Evidencia: Archivo digital de registro y control de las Medidas de Emergencia realizadas por el Equipo de Gestión Integral de Medidas de Emergencia.</t>
  </si>
  <si>
    <t>Se valida con el archivo digital de registro y control de las Medidas de Emergencia.</t>
  </si>
  <si>
    <t>Recomendar y adoptar medidas provisionales no idóneas frente a los factores de riesgo inminente y excepcional o presunción constitucional de riesgo de la población objeto del programa de protección de la UNP.</t>
  </si>
  <si>
    <t>Adoptar medidas de emergencia y Medidas provisionales no idóneas frente a los factores de riesgo inminente y excepcional o presunción constitucional de riesgo de la población objeto del programa de protección de la UNP.</t>
  </si>
  <si>
    <t>1. Desconocimiento y falta de aplicación de los lineamientos establecidos para la valoración inicial de los presuntos factores de riesgo inminente y excepcional de la población objeto del programa de la UNP.
2. Falta de control y seguimiento a las verificaciones realizadas para identificar los posibles factores de riesgo inminente y excepcional.</t>
  </si>
  <si>
    <t>R1. Posibilidad de incumplir los lineamientos establecidos para el proceso, que pueden terminar con la materialización del riesgo inminente y excepcional, por no aplicar los criterios establecidos para la valoración inicial frente a presuntos casos de riesgo inminente y excepcional o presunción constitucional, afectando la vida, integridad y libertad de las personas objeto de protección del programa de la entidad.</t>
  </si>
  <si>
    <t>El equipo de control y calidad revisa trimestralmente que el servidor público y/o contratista haya aplicado los lineamientos establecidos para la recomendación de medidas provisionales de protección, frente a casos de riesgo inminente y excepcional o presunción constitucional del riesgo. El control se realiza de forma periodica corroborando el cumplimiento de la Matriz de Servicios Características y Estándares establecida para el proceso de Gestión Integral de Medidas de Emergencia.
Evidencia: Informes de casos revisados por muestreo y otros.
Evidencia: Informes de no salidas no conformes y otros.</t>
  </si>
  <si>
    <t>El líder del equipo de Gestión Integral de Medidas de Emergencia a través de un profesional del equipo, verifica de forma permanente que los requerimientos lleguen por los canales establecidos, que el expediente cuente con toda la documentación establecida y que se hayan realizado las verificaciones suficientes para identificar con efectividad  los posibles factores de riesgo inminente y excepcional. El control se realiza cada vez que llega una solicitud, dejando como evidencia el formato (GME-FT-01) Autorización y Asignación para inicio de la valoración Inicial del Riesgo Inminente Individual.
Evidencia: formatos y muestreo aleatorio, otros.</t>
  </si>
  <si>
    <t>El líder del Equipo de Gestión Integral de Medidas de Emergencia, deberá instruir, sensibilizar y retroalimentar a los servidores públicos y/o contratistas del equipo sobre los parámetros establecidos para la valoración inicial frente a los presuntos casos de riesgo inminente y excepcional o presunción constitucional del riesgo.</t>
  </si>
  <si>
    <t>El líder del Equipo de Gestión Integral de Medidas de Emergencia y profesional de Enlace MIPG-SIG</t>
  </si>
  <si>
    <t>Los responsables y coordinadores deberán instruir, sensibilizar y retroalimentar a los servidores públicos y/o contratistas de la SER sobre los parámetros establecidos para llevar a cabo la solicitud de medidas de emergencia frente a posibles casos de riesgo inminente y excepcional o presunción constitucional de riesgo, evitando con ello adelantar actuaciones que desbordan la competencia del proceso</t>
  </si>
  <si>
    <t>El líder del Equipo de Gestión Integral de Medidas de Emergencia,  Coordiandores y liderez de equipos de trabajo.</t>
  </si>
  <si>
    <t>01/09/2023
20/12/2023</t>
  </si>
  <si>
    <t>5/09/2023
31/12/2023</t>
  </si>
  <si>
    <t>Se valida con las actas de reunión y prueba de validación de conocimiento.</t>
  </si>
  <si>
    <t>Falta de controles para identificar situaciones mediante las cuales los funcionarios o contratistas pueden incurrir en posibles actos de corrupción</t>
  </si>
  <si>
    <t>Los servidores públicos y/o contratista del proceso pueden ser suceptibles a recibir dávidas para favorecer a la población objeto del programa de protección y/o violentar la reserva de la información.</t>
  </si>
  <si>
    <t>Revisar  los actos administrativos que hayan sido revisadas, aprobadas por las instancias correspondientes  dispuestas para tal fin de forma permanente.</t>
  </si>
  <si>
    <t>Realizar charlas de socialización del Código de Integridad (Resolución 1300 del 2018) y los valores institucionales de la Unidad Nacional de Protección - UNP, que incentiven en la adopción e interiorización del código de Integridad en los Servidores Públicos y/o contratistas que desarrollan el proceso Gestión Integral de Medidas de Emergencia.</t>
  </si>
  <si>
    <t>R3.   Posibilidad de recibir o solicitar cualquier dadiva o beneficio propio o para un tercero, con el fin de adelantar la valoración inicial del, asignando medidas de emergencia innecesarias o excesivas no acordes a la realidad de la población objeto del programa de protección.</t>
  </si>
  <si>
    <t>1. Desconocimiento y falta de aplicación de los lineamientos establecidos para la valoración inicial de los presuntos factores de riesgo inminente y excepcional de la población objeto del programa de la UNP.</t>
  </si>
  <si>
    <t>El líder del Equipo de Gestión Integral de Medidas de Emergencia, asegura que todos los integrantes del Equipo cuenten con el formato de confidencialidad al menos una vez al año, con el fin de sensibilizar y concientizar a los servidores públicos y/o contratistas sobre la importancia de la confidencialidad de la información y las repercusiones disciplinarias, fiscales y/o penales a las que podrían estar expuestos ante su incumplimiento.
Evidencia: Formatos diligenciados y otros</t>
  </si>
  <si>
    <t>El líder del Equipo de Gestión Integral de Medidas de Emergencia, realiza la sensibilización y retroalimentación en los servidores públicos y/o contratistas, en la aplicación de los parámetros establecidos para la recomendación de medidas provisionales de protección en los casos de presunto riesgo inminente y excepcional o presunción constitucional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</si>
</sst>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0"/>
      <name val="Arial"/>
      <family val="2"/>
    </font>
    <font>
      <b/>
      <sz val="9"/>
      <color indexed="81"/>
      <name val="Tahoma"/>
      <family val="2"/>
    </font>
    <font>
      <sz val="9"/>
      <color indexed="81"/>
      <name val="Tahoma"/>
      <family val="2"/>
    </font>
    <font>
      <b/>
      <sz val="16"/>
      <color theme="1"/>
      <name val="Arial Narrow"/>
      <family val="2"/>
    </font>
    <font>
      <sz val="16"/>
      <name val="Arial"/>
      <family val="2"/>
    </font>
    <font>
      <b/>
      <sz val="16"/>
      <color rgb="FF000000"/>
      <name val="Arial Narrow"/>
      <family val="2"/>
    </font>
    <font>
      <sz val="16"/>
      <color rgb="FFFFFFFF"/>
      <name val="Arial Narrow"/>
      <family val="2"/>
    </font>
    <font>
      <b/>
      <sz val="16"/>
      <color theme="1"/>
      <name val="Calibri"/>
      <family val="2"/>
      <scheme val="minor"/>
    </font>
    <font>
      <sz val="8"/>
      <name val="Calibri"/>
      <family val="2"/>
      <scheme val="minor"/>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43FF98"/>
        <bgColor indexed="64"/>
      </patternFill>
    </fill>
    <fill>
      <patternFill patternType="solid">
        <fgColor rgb="FFFEF7CE"/>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DDFFEC"/>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5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14" fontId="1" fillId="0" borderId="2" xfId="0" applyNumberFormat="1" applyFont="1" applyBorder="1" applyAlignment="1" applyProtection="1">
      <alignment horizontal="center" vertical="center" wrapText="1"/>
      <protection locked="0"/>
    </xf>
    <xf numFmtId="0" fontId="1" fillId="0" borderId="0" xfId="0" applyFont="1" applyProtection="1">
      <protection locked="0"/>
    </xf>
    <xf numFmtId="0" fontId="59" fillId="0" borderId="33" xfId="0" applyFont="1" applyBorder="1" applyAlignment="1">
      <alignment horizontal="center" vertical="center" wrapText="1"/>
    </xf>
    <xf numFmtId="0" fontId="0" fillId="0" borderId="0" xfId="0" applyAlignment="1">
      <alignment vertical="center" wrapText="1"/>
    </xf>
    <xf numFmtId="0" fontId="60" fillId="19" borderId="33" xfId="0" applyFont="1" applyFill="1" applyBorder="1" applyAlignment="1">
      <alignment horizontal="center" vertical="center" wrapText="1"/>
    </xf>
    <xf numFmtId="0" fontId="60" fillId="16" borderId="33" xfId="0" applyFont="1" applyFill="1" applyBorder="1" applyAlignment="1">
      <alignment horizontal="center" vertical="center" wrapText="1"/>
    </xf>
    <xf numFmtId="0" fontId="60" fillId="17" borderId="33" xfId="0" applyFont="1" applyFill="1" applyBorder="1" applyAlignment="1">
      <alignment horizontal="center" vertical="center" wrapText="1"/>
    </xf>
    <xf numFmtId="0" fontId="60" fillId="18" borderId="3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1" fontId="60" fillId="0" borderId="33" xfId="0" applyNumberFormat="1" applyFont="1" applyBorder="1" applyAlignment="1">
      <alignment horizontal="left" vertical="center" wrapText="1"/>
    </xf>
    <xf numFmtId="0" fontId="48" fillId="0" borderId="33" xfId="0" applyFont="1"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14" fontId="0" fillId="0" borderId="33" xfId="0" applyNumberFormat="1" applyBorder="1" applyAlignment="1">
      <alignment horizontal="center" vertical="center" wrapText="1"/>
    </xf>
    <xf numFmtId="0" fontId="0" fillId="0" borderId="33" xfId="0" applyBorder="1" applyAlignment="1">
      <alignment horizontal="left" vertical="center"/>
    </xf>
    <xf numFmtId="0" fontId="0" fillId="0" borderId="0" xfId="0" applyAlignment="1">
      <alignment horizontal="left" vertical="center"/>
    </xf>
    <xf numFmtId="0" fontId="0" fillId="20" borderId="33" xfId="0" applyFill="1" applyBorder="1"/>
    <xf numFmtId="0" fontId="0" fillId="0" borderId="33" xfId="0" applyBorder="1"/>
    <xf numFmtId="0" fontId="59" fillId="0" borderId="0" xfId="0" applyFont="1"/>
    <xf numFmtId="0" fontId="0" fillId="0" borderId="0" xfId="0" applyAlignment="1">
      <alignment horizontal="center"/>
    </xf>
    <xf numFmtId="0" fontId="63" fillId="0" borderId="0" xfId="0" applyFont="1" applyAlignment="1">
      <alignment horizontal="center" vertical="center"/>
    </xf>
    <xf numFmtId="0" fontId="17" fillId="3" borderId="0" xfId="0" applyFont="1" applyFill="1"/>
    <xf numFmtId="0" fontId="64" fillId="0" borderId="0" xfId="0" applyFont="1" applyAlignment="1">
      <alignment horizontal="center" vertical="center" wrapText="1"/>
    </xf>
    <xf numFmtId="0" fontId="65" fillId="6" borderId="0" xfId="0" applyFont="1" applyFill="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0" borderId="11" xfId="0" applyFont="1" applyBorder="1" applyAlignment="1">
      <alignment horizontal="justify" vertical="center" wrapText="1" readingOrder="1"/>
    </xf>
    <xf numFmtId="9" fontId="13" fillId="0" borderId="11" xfId="0" applyNumberFormat="1" applyFont="1" applyBorder="1" applyAlignment="1">
      <alignment horizontal="center" vertical="center" wrapText="1" readingOrder="1"/>
    </xf>
    <xf numFmtId="9" fontId="13" fillId="0" borderId="0" xfId="0" applyNumberFormat="1" applyFont="1" applyAlignment="1">
      <alignment horizontal="center" vertical="center" wrapText="1" readingOrder="1"/>
    </xf>
    <xf numFmtId="0" fontId="13" fillId="7" borderId="1" xfId="0" applyFont="1" applyFill="1" applyBorder="1" applyAlignment="1">
      <alignment horizontal="center" vertical="center" wrapText="1" readingOrder="1"/>
    </xf>
    <xf numFmtId="0" fontId="13" fillId="0" borderId="1" xfId="0" applyFont="1" applyBorder="1" applyAlignment="1">
      <alignment horizontal="justify" vertical="center" wrapText="1" readingOrder="1"/>
    </xf>
    <xf numFmtId="9" fontId="13" fillId="0" borderId="1" xfId="0" applyNumberFormat="1" applyFont="1" applyBorder="1" applyAlignment="1">
      <alignment horizontal="center" vertical="center" wrapText="1" readingOrder="1"/>
    </xf>
    <xf numFmtId="0" fontId="13" fillId="4"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66" fillId="9" borderId="1" xfId="0" applyFont="1" applyFill="1" applyBorder="1" applyAlignment="1">
      <alignment horizontal="center" vertical="center" wrapText="1" readingOrder="1"/>
    </xf>
    <xf numFmtId="0" fontId="59" fillId="0" borderId="33" xfId="0" applyFont="1" applyBorder="1" applyAlignment="1">
      <alignment horizontal="center"/>
    </xf>
    <xf numFmtId="0" fontId="59" fillId="0" borderId="33" xfId="0" applyFont="1" applyBorder="1" applyAlignment="1">
      <alignment horizontal="center" vertical="center"/>
    </xf>
    <xf numFmtId="0" fontId="0" fillId="0" borderId="33" xfId="0" applyBorder="1" applyAlignment="1">
      <alignment horizontal="center"/>
    </xf>
    <xf numFmtId="0" fontId="67" fillId="0" borderId="33" xfId="0" applyFont="1" applyBorder="1" applyAlignment="1">
      <alignment horizontal="center" vertical="center"/>
    </xf>
    <xf numFmtId="0" fontId="0" fillId="0" borderId="33" xfId="0" applyBorder="1" applyAlignment="1">
      <alignment horizontal="justify" vertical="center" wrapText="1"/>
    </xf>
    <xf numFmtId="0" fontId="0" fillId="20" borderId="33" xfId="0" applyFill="1" applyBorder="1" applyAlignment="1">
      <alignment horizontal="justify" vertical="center" wrapText="1"/>
    </xf>
    <xf numFmtId="0" fontId="1" fillId="0" borderId="33" xfId="0" applyFont="1" applyBorder="1" applyAlignment="1" applyProtection="1">
      <alignment horizontal="center" vertical="center" wrapText="1"/>
      <protection locked="0"/>
    </xf>
    <xf numFmtId="0" fontId="28" fillId="20" borderId="33" xfId="0" applyFont="1" applyFill="1" applyBorder="1" applyAlignment="1">
      <alignment horizontal="justify" vertical="center" wrapText="1"/>
    </xf>
    <xf numFmtId="0" fontId="60" fillId="19" borderId="33" xfId="0" applyFont="1" applyFill="1" applyBorder="1" applyAlignment="1">
      <alignment horizontal="center" vertical="top" wrapText="1"/>
    </xf>
    <xf numFmtId="0" fontId="0" fillId="0" borderId="0" xfId="0" applyAlignment="1">
      <alignment vertical="top"/>
    </xf>
    <xf numFmtId="0" fontId="0" fillId="20" borderId="33" xfId="0" applyFill="1" applyBorder="1" applyAlignment="1">
      <alignment horizontal="center" vertical="center" wrapText="1"/>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justify" vertical="top"/>
      <protection locked="0"/>
    </xf>
    <xf numFmtId="0" fontId="1" fillId="0" borderId="2" xfId="0" applyFont="1" applyBorder="1" applyAlignment="1" applyProtection="1">
      <alignment horizontal="center" vertical="top" wrapText="1"/>
      <protection locked="0"/>
    </xf>
    <xf numFmtId="0" fontId="3" fillId="0" borderId="0" xfId="0" applyFont="1" applyAlignment="1" applyProtection="1">
      <alignment horizontal="justify" vertical="center"/>
      <protection locked="0"/>
    </xf>
    <xf numFmtId="0" fontId="0" fillId="0" borderId="33" xfId="0" applyBorder="1" applyAlignment="1">
      <alignment horizontal="center" vertical="center" wrapText="1"/>
    </xf>
    <xf numFmtId="0" fontId="3" fillId="0" borderId="0" xfId="0" applyFont="1" applyAlignment="1" applyProtection="1">
      <alignment horizontal="justify" vertical="center" wrapText="1"/>
      <protection locked="0"/>
    </xf>
    <xf numFmtId="0" fontId="0" fillId="0" borderId="33" xfId="0" applyBorder="1" applyAlignment="1">
      <alignment horizontal="center" vertical="top" wrapText="1"/>
    </xf>
    <xf numFmtId="0" fontId="0" fillId="0" borderId="33" xfId="0" applyBorder="1" applyAlignment="1">
      <alignment horizontal="center"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quotePrefix="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0" xfId="0" applyFont="1" applyFill="1" applyAlignment="1">
      <alignment horizontal="left" vertical="center"/>
    </xf>
    <xf numFmtId="0" fontId="4" fillId="2" borderId="2" xfId="0" applyFont="1" applyFill="1" applyBorder="1" applyAlignment="1">
      <alignment horizontal="center" vertical="center"/>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0" fillId="0" borderId="33" xfId="0" applyBorder="1" applyAlignment="1">
      <alignment horizontal="center" vertical="center" wrapText="1"/>
    </xf>
    <xf numFmtId="0" fontId="59" fillId="18" borderId="33" xfId="0" applyFont="1" applyFill="1" applyBorder="1" applyAlignment="1">
      <alignment horizontal="center" vertical="center" wrapText="1"/>
    </xf>
    <xf numFmtId="0" fontId="59" fillId="0" borderId="33" xfId="0" applyFont="1" applyBorder="1" applyAlignment="1">
      <alignment horizontal="center" vertical="center" wrapText="1"/>
    </xf>
    <xf numFmtId="0" fontId="59" fillId="16" borderId="33" xfId="0" applyFont="1" applyFill="1" applyBorder="1" applyAlignment="1">
      <alignment horizontal="center" vertical="center" wrapText="1"/>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77" xfId="0" applyFont="1" applyFill="1" applyBorder="1" applyAlignment="1">
      <alignment horizontal="center" vertical="center" wrapText="1"/>
    </xf>
    <xf numFmtId="0" fontId="0" fillId="0" borderId="33" xfId="0" applyBorder="1" applyAlignment="1">
      <alignment horizontal="center" vertical="top"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0" fillId="0" borderId="0" xfId="0" applyAlignment="1">
      <alignment horizontal="left" vertical="center" wrapText="1"/>
    </xf>
    <xf numFmtId="0" fontId="63" fillId="0" borderId="0" xfId="0" applyFont="1" applyAlignment="1">
      <alignment horizontal="center" vertical="center"/>
    </xf>
    <xf numFmtId="0" fontId="59" fillId="0" borderId="78" xfId="0" applyFont="1" applyBorder="1" applyAlignment="1">
      <alignment horizontal="center" vertical="center"/>
    </xf>
    <xf numFmtId="0" fontId="59" fillId="0" borderId="34" xfId="0" applyFont="1" applyBorder="1" applyAlignment="1">
      <alignment horizontal="center" vertical="center"/>
    </xf>
    <xf numFmtId="0" fontId="59" fillId="0" borderId="33" xfId="0" applyFont="1" applyBorder="1" applyAlignment="1">
      <alignment horizontal="center"/>
    </xf>
    <xf numFmtId="0" fontId="59" fillId="0" borderId="33" xfId="0" applyFont="1" applyBorder="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9">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theme="0"/>
      </font>
      <fill>
        <patternFill>
          <fgColor auto="1"/>
          <bgColor rgb="FFC00000"/>
        </patternFill>
      </fill>
    </dxf>
    <dxf>
      <fill>
        <patternFill>
          <fgColor auto="1"/>
          <bgColor rgb="FFE26B0A"/>
        </patternFill>
      </fill>
    </dxf>
    <dxf>
      <fill>
        <patternFill>
          <fgColor rgb="FFFFFF00"/>
          <bgColor rgb="FFFFFF00"/>
        </patternFill>
      </fill>
    </dxf>
    <dxf>
      <fill>
        <patternFill>
          <bgColor rgb="FF92D050"/>
        </patternFill>
      </fill>
    </dxf>
    <dxf>
      <font>
        <color theme="0"/>
      </font>
      <fill>
        <patternFill>
          <fgColor auto="1"/>
          <bgColor rgb="FFC00000"/>
        </patternFill>
      </fill>
    </dxf>
    <dxf>
      <fill>
        <patternFill>
          <fgColor auto="1"/>
          <bgColor rgb="FFE26B0A"/>
        </patternFill>
      </fill>
    </dxf>
    <dxf>
      <fill>
        <patternFill>
          <fgColor rgb="FFFFFF00"/>
          <bgColor rgb="FFFFFF00"/>
        </patternFill>
      </fill>
    </dxf>
    <dxf>
      <fill>
        <patternFill>
          <bgColor rgb="FF92D050"/>
        </patternFill>
      </fill>
    </dxf>
    <dxf>
      <font>
        <color theme="0"/>
      </font>
      <fill>
        <patternFill>
          <fgColor auto="1"/>
          <bgColor rgb="FFC00000"/>
        </patternFill>
      </fill>
    </dxf>
    <dxf>
      <fill>
        <patternFill>
          <fgColor auto="1"/>
          <bgColor rgb="FFE26B0A"/>
        </patternFill>
      </fill>
    </dxf>
    <dxf>
      <fill>
        <patternFill>
          <fgColor rgb="FFFFFF00"/>
          <bgColor rgb="FFFFFF00"/>
        </patternFill>
      </fill>
    </dxf>
    <dxf>
      <fill>
        <patternFill>
          <bgColor rgb="FF92D05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685801</xdr:colOff>
      <xdr:row>3</xdr:row>
      <xdr:rowOff>47626</xdr:rowOff>
    </xdr:from>
    <xdr:to>
      <xdr:col>4</xdr:col>
      <xdr:colOff>200026</xdr:colOff>
      <xdr:row>17</xdr:row>
      <xdr:rowOff>175462</xdr:rowOff>
    </xdr:to>
    <xdr:pic>
      <xdr:nvPicPr>
        <xdr:cNvPr id="2" name="Imagen 1">
          <a:extLst>
            <a:ext uri="{FF2B5EF4-FFF2-40B4-BE49-F238E27FC236}">
              <a16:creationId xmlns:a16="http://schemas.microsoft.com/office/drawing/2014/main" id="{4F9C8BA1-00D5-4504-AA2D-1A0274BE8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1" y="1400176"/>
          <a:ext cx="4705350" cy="2794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xdr:colOff>
      <xdr:row>31</xdr:row>
      <xdr:rowOff>133350</xdr:rowOff>
    </xdr:from>
    <xdr:to>
      <xdr:col>3</xdr:col>
      <xdr:colOff>1019174</xdr:colOff>
      <xdr:row>56</xdr:row>
      <xdr:rowOff>205987</xdr:rowOff>
    </xdr:to>
    <xdr:pic>
      <xdr:nvPicPr>
        <xdr:cNvPr id="3" name="Imagen 2">
          <a:extLst>
            <a:ext uri="{FF2B5EF4-FFF2-40B4-BE49-F238E27FC236}">
              <a16:creationId xmlns:a16="http://schemas.microsoft.com/office/drawing/2014/main" id="{23E2A90D-42C4-4E0F-8005-F21C92CF6A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3" y="9163050"/>
          <a:ext cx="5076821" cy="6330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5" dataDxfId="14">
  <autoFilter ref="B209:C219" xr:uid="{00000000-0009-0000-0100-000001000000}"/>
  <tableColumns count="2">
    <tableColumn id="1" xr3:uid="{00000000-0010-0000-0000-000001000000}" name="Criterios" dataDxfId="13"/>
    <tableColumn id="2" xr3:uid="{00000000-0010-0000-0000-000002000000}" name="Subcriterios" dataDxfId="1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73" zoomScaleNormal="110" workbookViewId="0">
      <selection activeCell="B4" sqref="B4:H5"/>
    </sheetView>
  </sheetViews>
  <sheetFormatPr baseColWidth="10" defaultColWidth="11.42578125" defaultRowHeight="15" x14ac:dyDescent="0.25"/>
  <cols>
    <col min="1" max="1" width="2.85546875" style="97" customWidth="1"/>
    <col min="2" max="3" width="24.7109375" style="97" customWidth="1"/>
    <col min="4" max="4" width="16" style="97" customWidth="1"/>
    <col min="5" max="5" width="24.7109375" style="97" customWidth="1"/>
    <col min="6" max="6" width="27.7109375" style="97" customWidth="1"/>
    <col min="7" max="8" width="24.7109375" style="97" customWidth="1"/>
    <col min="9" max="16384" width="11.42578125" style="97"/>
  </cols>
  <sheetData>
    <row r="1" spans="2:8" ht="15.75" thickBot="1" x14ac:dyDescent="0.3"/>
    <row r="2" spans="2:8" ht="18" x14ac:dyDescent="0.25">
      <c r="B2" s="207" t="s">
        <v>166</v>
      </c>
      <c r="C2" s="208"/>
      <c r="D2" s="208"/>
      <c r="E2" s="208"/>
      <c r="F2" s="208"/>
      <c r="G2" s="208"/>
      <c r="H2" s="209"/>
    </row>
    <row r="3" spans="2:8" x14ac:dyDescent="0.25">
      <c r="B3" s="98"/>
      <c r="C3" s="99"/>
      <c r="D3" s="99"/>
      <c r="E3" s="99"/>
      <c r="F3" s="99"/>
      <c r="G3" s="99"/>
      <c r="H3" s="100"/>
    </row>
    <row r="4" spans="2:8" ht="63" customHeight="1" x14ac:dyDescent="0.25">
      <c r="B4" s="210" t="s">
        <v>209</v>
      </c>
      <c r="C4" s="211"/>
      <c r="D4" s="211"/>
      <c r="E4" s="211"/>
      <c r="F4" s="211"/>
      <c r="G4" s="211"/>
      <c r="H4" s="212"/>
    </row>
    <row r="5" spans="2:8" ht="63" customHeight="1" x14ac:dyDescent="0.25">
      <c r="B5" s="213"/>
      <c r="C5" s="214"/>
      <c r="D5" s="214"/>
      <c r="E5" s="214"/>
      <c r="F5" s="214"/>
      <c r="G5" s="214"/>
      <c r="H5" s="215"/>
    </row>
    <row r="6" spans="2:8" ht="16.5" x14ac:dyDescent="0.25">
      <c r="B6" s="216" t="s">
        <v>164</v>
      </c>
      <c r="C6" s="217"/>
      <c r="D6" s="217"/>
      <c r="E6" s="217"/>
      <c r="F6" s="217"/>
      <c r="G6" s="217"/>
      <c r="H6" s="218"/>
    </row>
    <row r="7" spans="2:8" ht="95.25" customHeight="1" x14ac:dyDescent="0.25">
      <c r="B7" s="226" t="s">
        <v>169</v>
      </c>
      <c r="C7" s="227"/>
      <c r="D7" s="227"/>
      <c r="E7" s="227"/>
      <c r="F7" s="227"/>
      <c r="G7" s="227"/>
      <c r="H7" s="228"/>
    </row>
    <row r="8" spans="2:8" ht="16.5" x14ac:dyDescent="0.25">
      <c r="B8" s="134"/>
      <c r="C8" s="135"/>
      <c r="D8" s="135"/>
      <c r="E8" s="135"/>
      <c r="F8" s="135"/>
      <c r="G8" s="135"/>
      <c r="H8" s="136"/>
    </row>
    <row r="9" spans="2:8" ht="16.5" customHeight="1" x14ac:dyDescent="0.25">
      <c r="B9" s="219" t="s">
        <v>202</v>
      </c>
      <c r="C9" s="220"/>
      <c r="D9" s="220"/>
      <c r="E9" s="220"/>
      <c r="F9" s="220"/>
      <c r="G9" s="220"/>
      <c r="H9" s="221"/>
    </row>
    <row r="10" spans="2:8" ht="44.25" customHeight="1" x14ac:dyDescent="0.25">
      <c r="B10" s="219"/>
      <c r="C10" s="220"/>
      <c r="D10" s="220"/>
      <c r="E10" s="220"/>
      <c r="F10" s="220"/>
      <c r="G10" s="220"/>
      <c r="H10" s="221"/>
    </row>
    <row r="11" spans="2:8" ht="15.75" thickBot="1" x14ac:dyDescent="0.3">
      <c r="B11" s="123"/>
      <c r="C11" s="126"/>
      <c r="D11" s="131"/>
      <c r="E11" s="132"/>
      <c r="F11" s="132"/>
      <c r="G11" s="133"/>
      <c r="H11" s="127"/>
    </row>
    <row r="12" spans="2:8" ht="15.75" thickTop="1" x14ac:dyDescent="0.25">
      <c r="B12" s="123"/>
      <c r="C12" s="222" t="s">
        <v>165</v>
      </c>
      <c r="D12" s="223"/>
      <c r="E12" s="224" t="s">
        <v>203</v>
      </c>
      <c r="F12" s="225"/>
      <c r="G12" s="126"/>
      <c r="H12" s="127"/>
    </row>
    <row r="13" spans="2:8" ht="35.25" customHeight="1" x14ac:dyDescent="0.25">
      <c r="B13" s="123"/>
      <c r="C13" s="194" t="s">
        <v>196</v>
      </c>
      <c r="D13" s="195"/>
      <c r="E13" s="196" t="s">
        <v>201</v>
      </c>
      <c r="F13" s="197"/>
      <c r="G13" s="126"/>
      <c r="H13" s="127"/>
    </row>
    <row r="14" spans="2:8" ht="17.25" customHeight="1" x14ac:dyDescent="0.25">
      <c r="B14" s="123"/>
      <c r="C14" s="194" t="s">
        <v>197</v>
      </c>
      <c r="D14" s="195"/>
      <c r="E14" s="196" t="s">
        <v>199</v>
      </c>
      <c r="F14" s="197"/>
      <c r="G14" s="126"/>
      <c r="H14" s="127"/>
    </row>
    <row r="15" spans="2:8" ht="19.5" customHeight="1" x14ac:dyDescent="0.25">
      <c r="B15" s="123"/>
      <c r="C15" s="194" t="s">
        <v>198</v>
      </c>
      <c r="D15" s="195"/>
      <c r="E15" s="196" t="s">
        <v>200</v>
      </c>
      <c r="F15" s="197"/>
      <c r="G15" s="126"/>
      <c r="H15" s="127"/>
    </row>
    <row r="16" spans="2:8" ht="69.75" customHeight="1" x14ac:dyDescent="0.25">
      <c r="B16" s="123"/>
      <c r="C16" s="194" t="s">
        <v>167</v>
      </c>
      <c r="D16" s="195"/>
      <c r="E16" s="196" t="s">
        <v>168</v>
      </c>
      <c r="F16" s="197"/>
      <c r="G16" s="126"/>
      <c r="H16" s="127"/>
    </row>
    <row r="17" spans="2:8" ht="34.5" customHeight="1" x14ac:dyDescent="0.25">
      <c r="B17" s="123"/>
      <c r="C17" s="198" t="s">
        <v>2</v>
      </c>
      <c r="D17" s="199"/>
      <c r="E17" s="190" t="s">
        <v>210</v>
      </c>
      <c r="F17" s="191"/>
      <c r="G17" s="126"/>
      <c r="H17" s="127"/>
    </row>
    <row r="18" spans="2:8" ht="27.75" customHeight="1" x14ac:dyDescent="0.25">
      <c r="B18" s="123"/>
      <c r="C18" s="198" t="s">
        <v>3</v>
      </c>
      <c r="D18" s="199"/>
      <c r="E18" s="190" t="s">
        <v>211</v>
      </c>
      <c r="F18" s="191"/>
      <c r="G18" s="126"/>
      <c r="H18" s="127"/>
    </row>
    <row r="19" spans="2:8" ht="28.5" customHeight="1" x14ac:dyDescent="0.25">
      <c r="B19" s="123"/>
      <c r="C19" s="198" t="s">
        <v>42</v>
      </c>
      <c r="D19" s="199"/>
      <c r="E19" s="190" t="s">
        <v>212</v>
      </c>
      <c r="F19" s="191"/>
      <c r="G19" s="126"/>
      <c r="H19" s="127"/>
    </row>
    <row r="20" spans="2:8" ht="72.75" customHeight="1" x14ac:dyDescent="0.25">
      <c r="B20" s="123"/>
      <c r="C20" s="198" t="s">
        <v>1</v>
      </c>
      <c r="D20" s="199"/>
      <c r="E20" s="190" t="s">
        <v>213</v>
      </c>
      <c r="F20" s="191"/>
      <c r="G20" s="126"/>
      <c r="H20" s="127"/>
    </row>
    <row r="21" spans="2:8" ht="64.5" customHeight="1" x14ac:dyDescent="0.25">
      <c r="B21" s="123"/>
      <c r="C21" s="198" t="s">
        <v>50</v>
      </c>
      <c r="D21" s="199"/>
      <c r="E21" s="190" t="s">
        <v>171</v>
      </c>
      <c r="F21" s="191"/>
      <c r="G21" s="126"/>
      <c r="H21" s="127"/>
    </row>
    <row r="22" spans="2:8" ht="71.25" customHeight="1" x14ac:dyDescent="0.25">
      <c r="B22" s="123"/>
      <c r="C22" s="198" t="s">
        <v>170</v>
      </c>
      <c r="D22" s="199"/>
      <c r="E22" s="190" t="s">
        <v>172</v>
      </c>
      <c r="F22" s="191"/>
      <c r="G22" s="126"/>
      <c r="H22" s="127"/>
    </row>
    <row r="23" spans="2:8" ht="55.5" customHeight="1" x14ac:dyDescent="0.25">
      <c r="B23" s="123"/>
      <c r="C23" s="192" t="s">
        <v>173</v>
      </c>
      <c r="D23" s="193"/>
      <c r="E23" s="190" t="s">
        <v>174</v>
      </c>
      <c r="F23" s="191"/>
      <c r="G23" s="126"/>
      <c r="H23" s="127"/>
    </row>
    <row r="24" spans="2:8" ht="42" customHeight="1" x14ac:dyDescent="0.25">
      <c r="B24" s="123"/>
      <c r="C24" s="192" t="s">
        <v>48</v>
      </c>
      <c r="D24" s="193"/>
      <c r="E24" s="190" t="s">
        <v>175</v>
      </c>
      <c r="F24" s="191"/>
      <c r="G24" s="126"/>
      <c r="H24" s="127"/>
    </row>
    <row r="25" spans="2:8" ht="59.25" customHeight="1" x14ac:dyDescent="0.25">
      <c r="B25" s="123"/>
      <c r="C25" s="192" t="s">
        <v>163</v>
      </c>
      <c r="D25" s="193"/>
      <c r="E25" s="190" t="s">
        <v>176</v>
      </c>
      <c r="F25" s="191"/>
      <c r="G25" s="126"/>
      <c r="H25" s="127"/>
    </row>
    <row r="26" spans="2:8" ht="23.25" customHeight="1" x14ac:dyDescent="0.25">
      <c r="B26" s="123"/>
      <c r="C26" s="192" t="s">
        <v>12</v>
      </c>
      <c r="D26" s="193"/>
      <c r="E26" s="190" t="s">
        <v>177</v>
      </c>
      <c r="F26" s="191"/>
      <c r="G26" s="126"/>
      <c r="H26" s="127"/>
    </row>
    <row r="27" spans="2:8" ht="30.75" customHeight="1" x14ac:dyDescent="0.25">
      <c r="B27" s="123"/>
      <c r="C27" s="192" t="s">
        <v>181</v>
      </c>
      <c r="D27" s="193"/>
      <c r="E27" s="190" t="s">
        <v>178</v>
      </c>
      <c r="F27" s="191"/>
      <c r="G27" s="126"/>
      <c r="H27" s="127"/>
    </row>
    <row r="28" spans="2:8" ht="35.25" customHeight="1" x14ac:dyDescent="0.25">
      <c r="B28" s="123"/>
      <c r="C28" s="192" t="s">
        <v>182</v>
      </c>
      <c r="D28" s="193"/>
      <c r="E28" s="190" t="s">
        <v>179</v>
      </c>
      <c r="F28" s="191"/>
      <c r="G28" s="126"/>
      <c r="H28" s="127"/>
    </row>
    <row r="29" spans="2:8" ht="33" customHeight="1" x14ac:dyDescent="0.25">
      <c r="B29" s="123"/>
      <c r="C29" s="192" t="s">
        <v>182</v>
      </c>
      <c r="D29" s="193"/>
      <c r="E29" s="190" t="s">
        <v>179</v>
      </c>
      <c r="F29" s="191"/>
      <c r="G29" s="126"/>
      <c r="H29" s="127"/>
    </row>
    <row r="30" spans="2:8" ht="30" customHeight="1" x14ac:dyDescent="0.25">
      <c r="B30" s="123"/>
      <c r="C30" s="192" t="s">
        <v>183</v>
      </c>
      <c r="D30" s="193"/>
      <c r="E30" s="190" t="s">
        <v>180</v>
      </c>
      <c r="F30" s="191"/>
      <c r="G30" s="126"/>
      <c r="H30" s="127"/>
    </row>
    <row r="31" spans="2:8" ht="35.25" customHeight="1" x14ac:dyDescent="0.25">
      <c r="B31" s="123"/>
      <c r="C31" s="192" t="s">
        <v>184</v>
      </c>
      <c r="D31" s="193"/>
      <c r="E31" s="190" t="s">
        <v>185</v>
      </c>
      <c r="F31" s="191"/>
      <c r="G31" s="126"/>
      <c r="H31" s="127"/>
    </row>
    <row r="32" spans="2:8" ht="31.5" customHeight="1" x14ac:dyDescent="0.25">
      <c r="B32" s="123"/>
      <c r="C32" s="192" t="s">
        <v>186</v>
      </c>
      <c r="D32" s="193"/>
      <c r="E32" s="190" t="s">
        <v>187</v>
      </c>
      <c r="F32" s="191"/>
      <c r="G32" s="126"/>
      <c r="H32" s="127"/>
    </row>
    <row r="33" spans="2:8" ht="35.25" customHeight="1" x14ac:dyDescent="0.25">
      <c r="B33" s="123"/>
      <c r="C33" s="192" t="s">
        <v>188</v>
      </c>
      <c r="D33" s="193"/>
      <c r="E33" s="190" t="s">
        <v>189</v>
      </c>
      <c r="F33" s="191"/>
      <c r="G33" s="126"/>
      <c r="H33" s="127"/>
    </row>
    <row r="34" spans="2:8" ht="59.25" customHeight="1" x14ac:dyDescent="0.25">
      <c r="B34" s="123"/>
      <c r="C34" s="192" t="s">
        <v>190</v>
      </c>
      <c r="D34" s="193"/>
      <c r="E34" s="190" t="s">
        <v>191</v>
      </c>
      <c r="F34" s="191"/>
      <c r="G34" s="126"/>
      <c r="H34" s="127"/>
    </row>
    <row r="35" spans="2:8" ht="29.25" customHeight="1" x14ac:dyDescent="0.25">
      <c r="B35" s="123"/>
      <c r="C35" s="192" t="s">
        <v>29</v>
      </c>
      <c r="D35" s="193"/>
      <c r="E35" s="190" t="s">
        <v>192</v>
      </c>
      <c r="F35" s="191"/>
      <c r="G35" s="126"/>
      <c r="H35" s="127"/>
    </row>
    <row r="36" spans="2:8" ht="82.5" customHeight="1" x14ac:dyDescent="0.25">
      <c r="B36" s="123"/>
      <c r="C36" s="192" t="s">
        <v>194</v>
      </c>
      <c r="D36" s="193"/>
      <c r="E36" s="190" t="s">
        <v>193</v>
      </c>
      <c r="F36" s="191"/>
      <c r="G36" s="126"/>
      <c r="H36" s="127"/>
    </row>
    <row r="37" spans="2:8" ht="46.5" customHeight="1" x14ac:dyDescent="0.25">
      <c r="B37" s="123"/>
      <c r="C37" s="192" t="s">
        <v>39</v>
      </c>
      <c r="D37" s="193"/>
      <c r="E37" s="190" t="s">
        <v>195</v>
      </c>
      <c r="F37" s="191"/>
      <c r="G37" s="126"/>
      <c r="H37" s="127"/>
    </row>
    <row r="38" spans="2:8" ht="6.75" customHeight="1" thickBot="1" x14ac:dyDescent="0.3">
      <c r="B38" s="123"/>
      <c r="C38" s="203"/>
      <c r="D38" s="204"/>
      <c r="E38" s="205"/>
      <c r="F38" s="206"/>
      <c r="G38" s="126"/>
      <c r="H38" s="127"/>
    </row>
    <row r="39" spans="2:8" ht="15.75" thickTop="1" x14ac:dyDescent="0.25">
      <c r="B39" s="123"/>
      <c r="C39" s="124"/>
      <c r="D39" s="124"/>
      <c r="E39" s="125"/>
      <c r="F39" s="125"/>
      <c r="G39" s="126"/>
      <c r="H39" s="127"/>
    </row>
    <row r="40" spans="2:8" ht="21" customHeight="1" x14ac:dyDescent="0.25">
      <c r="B40" s="200" t="s">
        <v>204</v>
      </c>
      <c r="C40" s="201"/>
      <c r="D40" s="201"/>
      <c r="E40" s="201"/>
      <c r="F40" s="201"/>
      <c r="G40" s="201"/>
      <c r="H40" s="202"/>
    </row>
    <row r="41" spans="2:8" ht="20.25" customHeight="1" x14ac:dyDescent="0.25">
      <c r="B41" s="200" t="s">
        <v>205</v>
      </c>
      <c r="C41" s="201"/>
      <c r="D41" s="201"/>
      <c r="E41" s="201"/>
      <c r="F41" s="201"/>
      <c r="G41" s="201"/>
      <c r="H41" s="202"/>
    </row>
    <row r="42" spans="2:8" ht="20.25" customHeight="1" x14ac:dyDescent="0.25">
      <c r="B42" s="200" t="s">
        <v>206</v>
      </c>
      <c r="C42" s="201"/>
      <c r="D42" s="201"/>
      <c r="E42" s="201"/>
      <c r="F42" s="201"/>
      <c r="G42" s="201"/>
      <c r="H42" s="202"/>
    </row>
    <row r="43" spans="2:8" ht="20.25" customHeight="1" x14ac:dyDescent="0.25">
      <c r="B43" s="200" t="s">
        <v>207</v>
      </c>
      <c r="C43" s="201"/>
      <c r="D43" s="201"/>
      <c r="E43" s="201"/>
      <c r="F43" s="201"/>
      <c r="G43" s="201"/>
      <c r="H43" s="202"/>
    </row>
    <row r="44" spans="2:8" x14ac:dyDescent="0.25">
      <c r="B44" s="200" t="s">
        <v>208</v>
      </c>
      <c r="C44" s="201"/>
      <c r="D44" s="201"/>
      <c r="E44" s="201"/>
      <c r="F44" s="201"/>
      <c r="G44" s="201"/>
      <c r="H44" s="202"/>
    </row>
    <row r="45" spans="2:8" ht="15.75" thickBot="1" x14ac:dyDescent="0.3">
      <c r="B45" s="128"/>
      <c r="C45" s="129"/>
      <c r="D45" s="129"/>
      <c r="E45" s="129"/>
      <c r="F45" s="129"/>
      <c r="G45" s="129"/>
      <c r="H45" s="130"/>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M12" zoomScale="90" zoomScaleNormal="90" zoomScaleSheetLayoutView="90" workbookViewId="0">
      <selection activeCell="AE16" sqref="AE1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29" t="s">
        <v>144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1"/>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32"/>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4"/>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84" t="s">
        <v>43</v>
      </c>
      <c r="B4" s="285"/>
      <c r="C4" s="270" t="s">
        <v>255</v>
      </c>
      <c r="D4" s="271"/>
      <c r="E4" s="271"/>
      <c r="F4" s="271"/>
      <c r="G4" s="271"/>
      <c r="H4" s="271"/>
      <c r="I4" s="271"/>
      <c r="J4" s="271"/>
      <c r="K4" s="271"/>
      <c r="L4" s="271"/>
      <c r="M4" s="271"/>
      <c r="N4" s="272"/>
      <c r="O4" s="282"/>
      <c r="P4" s="282"/>
      <c r="Q4" s="282"/>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84" t="s">
        <v>130</v>
      </c>
      <c r="B5" s="285"/>
      <c r="C5" s="267" t="s">
        <v>256</v>
      </c>
      <c r="D5" s="268"/>
      <c r="E5" s="268"/>
      <c r="F5" s="268"/>
      <c r="G5" s="268"/>
      <c r="H5" s="268"/>
      <c r="I5" s="268"/>
      <c r="J5" s="268"/>
      <c r="K5" s="268"/>
      <c r="L5" s="268"/>
      <c r="M5" s="268"/>
      <c r="N5" s="26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84" t="s">
        <v>44</v>
      </c>
      <c r="B6" s="285"/>
      <c r="C6" s="267" t="s">
        <v>257</v>
      </c>
      <c r="D6" s="268"/>
      <c r="E6" s="268"/>
      <c r="F6" s="268"/>
      <c r="G6" s="268"/>
      <c r="H6" s="268"/>
      <c r="I6" s="268"/>
      <c r="J6" s="268"/>
      <c r="K6" s="268"/>
      <c r="L6" s="268"/>
      <c r="M6" s="268"/>
      <c r="N6" s="269"/>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5" t="s">
        <v>139</v>
      </c>
      <c r="B7" s="236"/>
      <c r="C7" s="236"/>
      <c r="D7" s="236"/>
      <c r="E7" s="236"/>
      <c r="F7" s="236"/>
      <c r="G7" s="237"/>
      <c r="H7" s="235" t="s">
        <v>140</v>
      </c>
      <c r="I7" s="236"/>
      <c r="J7" s="236"/>
      <c r="K7" s="236"/>
      <c r="L7" s="236"/>
      <c r="M7" s="236"/>
      <c r="N7" s="237"/>
      <c r="O7" s="235" t="s">
        <v>141</v>
      </c>
      <c r="P7" s="236"/>
      <c r="Q7" s="236"/>
      <c r="R7" s="236"/>
      <c r="S7" s="236"/>
      <c r="T7" s="236"/>
      <c r="U7" s="236"/>
      <c r="V7" s="236"/>
      <c r="W7" s="237"/>
      <c r="X7" s="235" t="s">
        <v>142</v>
      </c>
      <c r="Y7" s="236"/>
      <c r="Z7" s="236"/>
      <c r="AA7" s="236"/>
      <c r="AB7" s="236"/>
      <c r="AC7" s="236"/>
      <c r="AD7" s="237"/>
      <c r="AE7" s="235" t="s">
        <v>34</v>
      </c>
      <c r="AF7" s="236"/>
      <c r="AG7" s="236"/>
      <c r="AH7" s="236"/>
      <c r="AI7" s="236"/>
      <c r="AJ7" s="237"/>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86" t="s">
        <v>0</v>
      </c>
      <c r="B8" s="283" t="s">
        <v>2</v>
      </c>
      <c r="C8" s="274" t="s">
        <v>3</v>
      </c>
      <c r="D8" s="274" t="s">
        <v>42</v>
      </c>
      <c r="E8" s="288" t="s">
        <v>1</v>
      </c>
      <c r="F8" s="279" t="s">
        <v>50</v>
      </c>
      <c r="G8" s="274" t="s">
        <v>135</v>
      </c>
      <c r="H8" s="275" t="s">
        <v>33</v>
      </c>
      <c r="I8" s="276" t="s">
        <v>5</v>
      </c>
      <c r="J8" s="279" t="s">
        <v>87</v>
      </c>
      <c r="K8" s="279" t="s">
        <v>92</v>
      </c>
      <c r="L8" s="278" t="s">
        <v>45</v>
      </c>
      <c r="M8" s="276" t="s">
        <v>5</v>
      </c>
      <c r="N8" s="274" t="s">
        <v>48</v>
      </c>
      <c r="O8" s="280" t="s">
        <v>11</v>
      </c>
      <c r="P8" s="266" t="s">
        <v>163</v>
      </c>
      <c r="Q8" s="279" t="s">
        <v>12</v>
      </c>
      <c r="R8" s="266" t="s">
        <v>8</v>
      </c>
      <c r="S8" s="266"/>
      <c r="T8" s="266"/>
      <c r="U8" s="266"/>
      <c r="V8" s="266"/>
      <c r="W8" s="266"/>
      <c r="X8" s="273" t="s">
        <v>138</v>
      </c>
      <c r="Y8" s="273" t="s">
        <v>46</v>
      </c>
      <c r="Z8" s="273" t="s">
        <v>5</v>
      </c>
      <c r="AA8" s="273" t="s">
        <v>47</v>
      </c>
      <c r="AB8" s="273" t="s">
        <v>5</v>
      </c>
      <c r="AC8" s="273" t="s">
        <v>49</v>
      </c>
      <c r="AD8" s="280" t="s">
        <v>29</v>
      </c>
      <c r="AE8" s="266" t="s">
        <v>34</v>
      </c>
      <c r="AF8" s="266" t="s">
        <v>35</v>
      </c>
      <c r="AG8" s="266" t="s">
        <v>36</v>
      </c>
      <c r="AH8" s="266" t="s">
        <v>38</v>
      </c>
      <c r="AI8" s="266" t="s">
        <v>37</v>
      </c>
      <c r="AJ8" s="26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87"/>
      <c r="B9" s="283"/>
      <c r="C9" s="266"/>
      <c r="D9" s="266"/>
      <c r="E9" s="283"/>
      <c r="F9" s="274"/>
      <c r="G9" s="266"/>
      <c r="H9" s="274"/>
      <c r="I9" s="277"/>
      <c r="J9" s="274"/>
      <c r="K9" s="274"/>
      <c r="L9" s="277"/>
      <c r="M9" s="277"/>
      <c r="N9" s="266"/>
      <c r="O9" s="281"/>
      <c r="P9" s="266"/>
      <c r="Q9" s="274"/>
      <c r="R9" s="7" t="s">
        <v>13</v>
      </c>
      <c r="S9" s="7" t="s">
        <v>17</v>
      </c>
      <c r="T9" s="7" t="s">
        <v>28</v>
      </c>
      <c r="U9" s="7" t="s">
        <v>18</v>
      </c>
      <c r="V9" s="7" t="s">
        <v>21</v>
      </c>
      <c r="W9" s="7" t="s">
        <v>24</v>
      </c>
      <c r="X9" s="273"/>
      <c r="Y9" s="273"/>
      <c r="Z9" s="273"/>
      <c r="AA9" s="273"/>
      <c r="AB9" s="273"/>
      <c r="AC9" s="273"/>
      <c r="AD9" s="281"/>
      <c r="AE9" s="266"/>
      <c r="AF9" s="266"/>
      <c r="AG9" s="266"/>
      <c r="AH9" s="266"/>
      <c r="AI9" s="266"/>
      <c r="AJ9" s="26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47">
        <v>1</v>
      </c>
      <c r="B10" s="250" t="s">
        <v>134</v>
      </c>
      <c r="C10" s="250" t="s">
        <v>267</v>
      </c>
      <c r="D10" s="250" t="s">
        <v>268</v>
      </c>
      <c r="E10" s="253" t="s">
        <v>269</v>
      </c>
      <c r="F10" s="250" t="s">
        <v>123</v>
      </c>
      <c r="G10" s="256">
        <v>400</v>
      </c>
      <c r="H10" s="259" t="str">
        <f>IF(G10&lt;=0,"",IF(G10&lt;=2,"Muy Baja",IF(G10&lt;=24,"Baja",IF(G10&lt;=500,"Media",IF(G10&lt;=5000,"Alta","Muy Alta")))))</f>
        <v>Media</v>
      </c>
      <c r="I10" s="241">
        <f>IF(H10="","",IF(H10="Muy Baja",0.2,IF(H10="Baja",0.4,IF(H10="Media",0.6,IF(H10="Alta",0.8,IF(H10="Muy Alta",1,))))))</f>
        <v>0.6</v>
      </c>
      <c r="J10" s="262" t="s">
        <v>157</v>
      </c>
      <c r="K10" s="241" t="str">
        <f>IF(NOT(ISERROR(MATCH(J10,'Tabla Impacto'!$B$221:$B$223,0))),'Tabla Impacto'!$F$223&amp;"Por favor no seleccionar los criterios de impacto(Afectación Económica o presupuestal y Pérdida Reputacional)",J10)</f>
        <v xml:space="preserve">     El riesgo afecta la imagen de la entidad a nivel nacional, con efecto publicitarios sostenible a nivel país</v>
      </c>
      <c r="L10" s="259" t="str">
        <f>IF(OR(K10='Tabla Impacto'!$C$11,K10='Tabla Impacto'!$D$11),"Leve",IF(OR(K10='Tabla Impacto'!$C$12,K10='Tabla Impacto'!$D$12),"Menor",IF(OR(K10='Tabla Impacto'!$C$13,K10='Tabla Impacto'!$D$13),"Moderado",IF(OR(K10='Tabla Impacto'!$C$14,K10='Tabla Impacto'!$D$14),"Mayor",IF(OR(K10='Tabla Impacto'!$C$15,K10='Tabla Impacto'!$D$15),"Catastrófico","")))))</f>
        <v>Catastrófico</v>
      </c>
      <c r="M10" s="241">
        <f>IF(L10="","",IF(L10="Leve",0.2,IF(L10="Menor",0.4,IF(L10="Moderado",0.6,IF(L10="Mayor",0.8,IF(L10="Catastrófico",1,))))))</f>
        <v>1</v>
      </c>
      <c r="N10" s="244"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6">
        <v>1</v>
      </c>
      <c r="P10" s="49" t="s">
        <v>270</v>
      </c>
      <c r="Q10" s="51" t="str">
        <f t="shared" ref="Q10:Q41" si="0">IF(OR(R10="Preventivo",R10="Detectivo"),"Probabilidad",IF(R10="Correctivo","Impacto",""))</f>
        <v>Probabilidad</v>
      </c>
      <c r="R10" s="52" t="s">
        <v>15</v>
      </c>
      <c r="S10" s="52" t="s">
        <v>9</v>
      </c>
      <c r="T10" s="53" t="str">
        <f t="shared" ref="T10:T41" si="1">IF(AND(R10="Preventivo",S10="Automático"),"50%",IF(AND(R10="Preventivo",S10="Manual"),"40%",IF(AND(R10="Detectivo",S10="Automático"),"40%",IF(AND(R10="Detectivo",S10="Manual"),"30%",IF(AND(R10="Correctivo",S10="Automático"),"35%",IF(AND(R10="Correctivo",S10="Manual"),"25%",""))))))</f>
        <v>30%</v>
      </c>
      <c r="U10" s="52" t="s">
        <v>19</v>
      </c>
      <c r="V10" s="52" t="s">
        <v>22</v>
      </c>
      <c r="W10" s="52" t="s">
        <v>119</v>
      </c>
      <c r="X10" s="24">
        <f>IFERROR(IF(Q10="Probabilidad",(I10-(+I10*T10)),IF(Q10="Impacto",I10,"")),"")</f>
        <v>0.42</v>
      </c>
      <c r="Y10" s="54" t="str">
        <f>IFERROR(IF(X10="","",IF(X10&lt;=0.2,"Muy Baja",IF(X10&lt;=0.4,"Baja",IF(X10&lt;=0.6,"Media",IF(X10&lt;=0.8,"Alta","Muy Alta"))))),"")</f>
        <v>Media</v>
      </c>
      <c r="Z10" s="55">
        <f t="shared" ref="Z10:Z41" si="2">+X10</f>
        <v>0.42</v>
      </c>
      <c r="AA10" s="54" t="str">
        <f>IFERROR(IF(AB10="","",IF(AB10&lt;=0.2,"Leve",IF(AB10&lt;=0.4,"Menor",IF(AB10&lt;=0.6,"Moderado",IF(AB10&lt;=0.8,"Mayor","Catastrófico"))))),"")</f>
        <v>Catastrófico</v>
      </c>
      <c r="AB10" s="55">
        <f>IFERROR(IF(Q10="Impacto",(M10-(+M10*T10)),IF(Q10="Probabilidad",M10,"")),"")</f>
        <v>1</v>
      </c>
      <c r="AC10" s="56" t="str">
        <f t="shared" ref="AC10:AC41" si="3">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Extremo</v>
      </c>
      <c r="AD10" s="57" t="s">
        <v>136</v>
      </c>
      <c r="AE10" s="184" t="s">
        <v>272</v>
      </c>
      <c r="AF10" s="58" t="s">
        <v>273</v>
      </c>
      <c r="AG10" s="137" t="s">
        <v>276</v>
      </c>
      <c r="AH10" s="137" t="s">
        <v>277</v>
      </c>
      <c r="AI10" s="58" t="s">
        <v>278</v>
      </c>
      <c r="AJ10" s="48" t="s">
        <v>41</v>
      </c>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48"/>
      <c r="B11" s="251"/>
      <c r="C11" s="251"/>
      <c r="D11" s="251"/>
      <c r="E11" s="254"/>
      <c r="F11" s="251"/>
      <c r="G11" s="257"/>
      <c r="H11" s="260"/>
      <c r="I11" s="242"/>
      <c r="J11" s="263"/>
      <c r="K11" s="242">
        <f>IF(NOT(ISERROR(MATCH(J11,_xlfn.ANCHORARRAY(E22),0))),I24&amp;"Por favor no seleccionar los criterios de impacto",J11)</f>
        <v>0</v>
      </c>
      <c r="L11" s="260"/>
      <c r="M11" s="242"/>
      <c r="N11" s="245"/>
      <c r="O11" s="6">
        <v>2</v>
      </c>
      <c r="P11" s="187" t="s">
        <v>271</v>
      </c>
      <c r="Q11" s="51" t="str">
        <f t="shared" si="0"/>
        <v>Probabilidad</v>
      </c>
      <c r="R11" s="52" t="s">
        <v>15</v>
      </c>
      <c r="S11" s="52" t="s">
        <v>9</v>
      </c>
      <c r="T11" s="53" t="str">
        <f t="shared" si="1"/>
        <v>30%</v>
      </c>
      <c r="U11" s="52" t="s">
        <v>19</v>
      </c>
      <c r="V11" s="52" t="s">
        <v>22</v>
      </c>
      <c r="W11" s="52" t="s">
        <v>119</v>
      </c>
      <c r="X11" s="24">
        <f>IFERROR(IF(AND(Q10="Probabilidad",Q11="Probabilidad"),(Z10-(+Z10*T11)),IF(Q11="Probabilidad",(I10-(+I10*T11)),IF(Q11="Impacto",Z10,""))),"")</f>
        <v>0.29399999999999998</v>
      </c>
      <c r="Y11" s="54" t="str">
        <f t="shared" ref="Y11:Y69" si="4">IFERROR(IF(X11="","",IF(X11&lt;=0.2,"Muy Baja",IF(X11&lt;=0.4,"Baja",IF(X11&lt;=0.6,"Media",IF(X11&lt;=0.8,"Alta","Muy Alta"))))),"")</f>
        <v>Baja</v>
      </c>
      <c r="Z11" s="55">
        <f t="shared" si="2"/>
        <v>0.29399999999999998</v>
      </c>
      <c r="AA11" s="54" t="str">
        <f t="shared" ref="AA11:AA69" si="5">IFERROR(IF(AB11="","",IF(AB11&lt;=0.2,"Leve",IF(AB11&lt;=0.4,"Menor",IF(AB11&lt;=0.6,"Moderado",IF(AB11&lt;=0.8,"Mayor","Catastrófico"))))),"")</f>
        <v>Catastrófico</v>
      </c>
      <c r="AB11" s="55">
        <f>IFERROR(IF(AND(Q10="Impacto",Q11="Impacto"),(AB10-(+AB10*T11)),IF(Q11="Impacto",($M$10-(+$M$10*T11)),IF(Q11="Probabilidad",AB10,""))),"")</f>
        <v>1</v>
      </c>
      <c r="AC11" s="56" t="str">
        <f t="shared" si="3"/>
        <v>Extremo</v>
      </c>
      <c r="AD11" s="57" t="s">
        <v>136</v>
      </c>
      <c r="AE11" s="184" t="s">
        <v>274</v>
      </c>
      <c r="AF11" s="58" t="s">
        <v>275</v>
      </c>
      <c r="AG11" s="137" t="s">
        <v>276</v>
      </c>
      <c r="AH11" s="137" t="s">
        <v>277</v>
      </c>
      <c r="AI11" s="58" t="s">
        <v>278</v>
      </c>
      <c r="AJ11" s="48"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48"/>
      <c r="B12" s="251"/>
      <c r="C12" s="251"/>
      <c r="D12" s="251"/>
      <c r="E12" s="254"/>
      <c r="F12" s="251"/>
      <c r="G12" s="257"/>
      <c r="H12" s="260"/>
      <c r="I12" s="242"/>
      <c r="J12" s="263"/>
      <c r="K12" s="242">
        <f>IF(NOT(ISERROR(MATCH(J12,_xlfn.ANCHORARRAY(E23),0))),I25&amp;"Por favor no seleccionar los criterios de impacto",J12)</f>
        <v>0</v>
      </c>
      <c r="L12" s="260"/>
      <c r="M12" s="242"/>
      <c r="N12" s="245"/>
      <c r="O12" s="6">
        <v>3</v>
      </c>
      <c r="P12" s="49"/>
      <c r="Q12" s="51" t="str">
        <f t="shared" si="0"/>
        <v/>
      </c>
      <c r="R12" s="52"/>
      <c r="S12" s="52"/>
      <c r="T12" s="53" t="str">
        <f t="shared" si="1"/>
        <v/>
      </c>
      <c r="U12" s="52"/>
      <c r="V12" s="52"/>
      <c r="W12" s="52"/>
      <c r="X12" s="24" t="str">
        <f>IFERROR(IF(AND(Q11="Probabilidad",Q12="Probabilidad"),(Z11-(+Z11*T12)),IF(AND(Q11="Impacto",Q12="Probabilidad"),(Z10-(+Z10*T12)),IF(Q12="Impacto",Z11,""))),"")</f>
        <v/>
      </c>
      <c r="Y12" s="54" t="str">
        <f t="shared" si="4"/>
        <v/>
      </c>
      <c r="Z12" s="55" t="str">
        <f t="shared" si="2"/>
        <v/>
      </c>
      <c r="AA12" s="54" t="str">
        <f t="shared" si="5"/>
        <v/>
      </c>
      <c r="AB12" s="55" t="str">
        <f>IFERROR(IF(AND(Q11="Impacto",Q12="Impacto"),(AB11-(+AB11*T12)),IF(AND(Q11="Probabilidad",Q12="Impacto"),(AB10-(+AB10*T12)),IF(Q12="Probabilidad",AB11,""))),"")</f>
        <v/>
      </c>
      <c r="AC12" s="56" t="str">
        <f t="shared" si="3"/>
        <v/>
      </c>
      <c r="AD12" s="57"/>
      <c r="AE12" s="184"/>
      <c r="AF12" s="58"/>
      <c r="AG12" s="137"/>
      <c r="AH12" s="137"/>
      <c r="AI12" s="58"/>
      <c r="AJ12" s="4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48"/>
      <c r="B13" s="251"/>
      <c r="C13" s="251"/>
      <c r="D13" s="251"/>
      <c r="E13" s="254"/>
      <c r="F13" s="251"/>
      <c r="G13" s="257"/>
      <c r="H13" s="260"/>
      <c r="I13" s="242"/>
      <c r="J13" s="263"/>
      <c r="K13" s="242">
        <f>IF(NOT(ISERROR(MATCH(J13,_xlfn.ANCHORARRAY(E24),0))),I26&amp;"Por favor no seleccionar los criterios de impacto",J13)</f>
        <v>0</v>
      </c>
      <c r="L13" s="260"/>
      <c r="M13" s="242"/>
      <c r="N13" s="245"/>
      <c r="O13" s="6">
        <v>4</v>
      </c>
      <c r="P13" s="182"/>
      <c r="Q13" s="51" t="str">
        <f t="shared" si="0"/>
        <v/>
      </c>
      <c r="R13" s="52"/>
      <c r="S13" s="52"/>
      <c r="T13" s="53" t="str">
        <f t="shared" si="1"/>
        <v/>
      </c>
      <c r="U13" s="52"/>
      <c r="V13" s="52"/>
      <c r="W13" s="52"/>
      <c r="X13" s="24" t="str">
        <f>IFERROR(IF(AND(Q12="Probabilidad",Q13="Probabilidad"),(Z12-(+Z12*T13)),IF(AND(Q12="Impacto",Q13="Probabilidad"),(Z11-(+Z11*T13)),IF(Q13="Impacto",Z12,""))),"")</f>
        <v/>
      </c>
      <c r="Y13" s="54" t="str">
        <f t="shared" si="4"/>
        <v/>
      </c>
      <c r="Z13" s="55" t="str">
        <f t="shared" si="2"/>
        <v/>
      </c>
      <c r="AA13" s="54" t="str">
        <f t="shared" si="5"/>
        <v/>
      </c>
      <c r="AB13" s="55" t="str">
        <f>IFERROR(IF(AND(Q12="Impacto",Q13="Impacto"),(AB12-(+AB12*T13)),IF(AND(Q12="Probabilidad",Q13="Impacto"),(AB11-(+AB11*T13)),IF(Q13="Probabilidad",AB12,""))),"")</f>
        <v/>
      </c>
      <c r="AC13" s="56" t="str">
        <f t="shared" si="3"/>
        <v/>
      </c>
      <c r="AD13" s="57"/>
      <c r="AE13" s="184"/>
      <c r="AF13" s="58"/>
      <c r="AG13" s="137"/>
      <c r="AH13" s="137"/>
      <c r="AI13" s="184"/>
      <c r="AJ13" s="4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48"/>
      <c r="B14" s="251"/>
      <c r="C14" s="251"/>
      <c r="D14" s="251"/>
      <c r="E14" s="254"/>
      <c r="F14" s="251"/>
      <c r="G14" s="257"/>
      <c r="H14" s="260"/>
      <c r="I14" s="242"/>
      <c r="J14" s="263"/>
      <c r="K14" s="242">
        <f>IF(NOT(ISERROR(MATCH(J14,_xlfn.ANCHORARRAY(E25),0))),I27&amp;"Por favor no seleccionar los criterios de impacto",J14)</f>
        <v>0</v>
      </c>
      <c r="L14" s="260"/>
      <c r="M14" s="242"/>
      <c r="N14" s="245"/>
      <c r="O14" s="6">
        <v>5</v>
      </c>
      <c r="P14" s="182"/>
      <c r="Q14" s="51" t="str">
        <f t="shared" si="0"/>
        <v/>
      </c>
      <c r="R14" s="52"/>
      <c r="S14" s="52"/>
      <c r="T14" s="53" t="str">
        <f t="shared" si="1"/>
        <v/>
      </c>
      <c r="U14" s="52"/>
      <c r="V14" s="52"/>
      <c r="W14" s="52"/>
      <c r="X14" s="24" t="str">
        <f>IFERROR(IF(AND(Q13="Probabilidad",Q14="Probabilidad"),(Z13-(+Z13*T14)),IF(AND(Q13="Impacto",Q14="Probabilidad"),(Z12-(+Z12*T14)),IF(Q14="Impacto",Z13,""))),"")</f>
        <v/>
      </c>
      <c r="Y14" s="54" t="str">
        <f t="shared" si="4"/>
        <v/>
      </c>
      <c r="Z14" s="55" t="str">
        <f t="shared" si="2"/>
        <v/>
      </c>
      <c r="AA14" s="54" t="str">
        <f t="shared" si="5"/>
        <v/>
      </c>
      <c r="AB14" s="55" t="str">
        <f>IFERROR(IF(AND(Q13="Impacto",Q14="Impacto"),(AB13-(+AB13*T14)),IF(AND(Q13="Probabilidad",Q14="Impacto"),(AB12-(+AB12*T14)),IF(Q14="Probabilidad",AB13,""))),"")</f>
        <v/>
      </c>
      <c r="AC14" s="56" t="str">
        <f t="shared" si="3"/>
        <v/>
      </c>
      <c r="AD14" s="57"/>
      <c r="AE14" s="184"/>
      <c r="AF14" s="58"/>
      <c r="AG14" s="137"/>
      <c r="AH14" s="137"/>
      <c r="AI14" s="184"/>
      <c r="AJ14" s="4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49"/>
      <c r="B15" s="252"/>
      <c r="C15" s="252"/>
      <c r="D15" s="252"/>
      <c r="E15" s="255"/>
      <c r="F15" s="252"/>
      <c r="G15" s="258"/>
      <c r="H15" s="261"/>
      <c r="I15" s="243"/>
      <c r="J15" s="264"/>
      <c r="K15" s="243">
        <f>IF(NOT(ISERROR(MATCH(J15,_xlfn.ANCHORARRAY(E26),0))),I28&amp;"Por favor no seleccionar los criterios de impacto",J15)</f>
        <v>0</v>
      </c>
      <c r="L15" s="261"/>
      <c r="M15" s="243"/>
      <c r="N15" s="246"/>
      <c r="O15" s="6">
        <v>6</v>
      </c>
      <c r="P15" s="182"/>
      <c r="Q15" s="51" t="str">
        <f t="shared" si="0"/>
        <v/>
      </c>
      <c r="R15" s="52"/>
      <c r="S15" s="52"/>
      <c r="T15" s="53" t="str">
        <f t="shared" si="1"/>
        <v/>
      </c>
      <c r="U15" s="52"/>
      <c r="V15" s="52"/>
      <c r="W15" s="52"/>
      <c r="X15" s="24" t="str">
        <f>IFERROR(IF(AND(Q14="Probabilidad",Q15="Probabilidad"),(Z14-(+Z14*T15)),IF(AND(Q14="Impacto",Q15="Probabilidad"),(Z13-(+Z13*T15)),IF(Q15="Impacto",Z14,""))),"")</f>
        <v/>
      </c>
      <c r="Y15" s="54" t="str">
        <f t="shared" si="4"/>
        <v/>
      </c>
      <c r="Z15" s="55" t="str">
        <f t="shared" si="2"/>
        <v/>
      </c>
      <c r="AA15" s="54" t="str">
        <f t="shared" si="5"/>
        <v/>
      </c>
      <c r="AB15" s="55" t="str">
        <f>IFERROR(IF(AND(Q14="Impacto",Q15="Impacto"),(AB14-(+AB14*T15)),IF(AND(Q14="Probabilidad",Q15="Impacto"),(AB13-(+AB13*T15)),IF(Q15="Probabilidad",AB14,""))),"")</f>
        <v/>
      </c>
      <c r="AC15" s="56" t="str">
        <f t="shared" si="3"/>
        <v/>
      </c>
      <c r="AD15" s="57"/>
      <c r="AE15" s="184"/>
      <c r="AF15" s="58"/>
      <c r="AG15" s="137"/>
      <c r="AH15" s="137"/>
      <c r="AI15" s="184"/>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47">
        <v>2</v>
      </c>
      <c r="B16" s="250" t="s">
        <v>134</v>
      </c>
      <c r="C16" s="250" t="s">
        <v>266</v>
      </c>
      <c r="D16" s="265" t="s">
        <v>284</v>
      </c>
      <c r="E16" s="253" t="s">
        <v>259</v>
      </c>
      <c r="F16" s="250" t="s">
        <v>123</v>
      </c>
      <c r="G16" s="256">
        <v>250</v>
      </c>
      <c r="H16" s="259" t="str">
        <f>IF(G16&lt;=0,"",IF(G16&lt;=2,"Muy Baja",IF(G16&lt;=24,"Baja",IF(G16&lt;=500,"Media",IF(G16&lt;=5000,"Alta","Muy Alta")))))</f>
        <v>Media</v>
      </c>
      <c r="I16" s="241">
        <f>IF(H16="","",IF(H16="Muy Baja",0.2,IF(H16="Baja",0.4,IF(H16="Media",0.6,IF(H16="Alta",0.8,IF(H16="Muy Alta",1,))))))</f>
        <v>0.6</v>
      </c>
      <c r="J16" s="262" t="s">
        <v>157</v>
      </c>
      <c r="K16" s="241" t="str">
        <f>IF(NOT(ISERROR(MATCH(J16,'Tabla Impacto'!$B$221:$B$223,0))),'Tabla Impacto'!$F$223&amp;"Por favor no seleccionar los criterios de impacto(Afectación Económica o presupuestal y Pérdida Reputacional)",J16)</f>
        <v xml:space="preserve">     El riesgo afecta la imagen de la entidad a nivel nacional, con efecto publicitarios sostenible a nivel país</v>
      </c>
      <c r="L16" s="259" t="str">
        <f>IF(OR(K16='Tabla Impacto'!$C$11,K16='Tabla Impacto'!$D$11),"Leve",IF(OR(K16='Tabla Impacto'!$C$12,K16='Tabla Impacto'!$D$12),"Menor",IF(OR(K16='Tabla Impacto'!$C$13,K16='Tabla Impacto'!$D$13),"Moderado",IF(OR(K16='Tabla Impacto'!$C$14,K16='Tabla Impacto'!$D$14),"Mayor",IF(OR(K16='Tabla Impacto'!$C$15,K16='Tabla Impacto'!$D$15),"Catastrófico","")))))</f>
        <v>Catastrófico</v>
      </c>
      <c r="M16" s="241">
        <f>IF(L16="","",IF(L16="Leve",0.2,IF(L16="Menor",0.4,IF(L16="Moderado",0.6,IF(L16="Mayor",0.8,IF(L16="Catastrófico",1,))))))</f>
        <v>1</v>
      </c>
      <c r="N16" s="244"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6">
        <v>1</v>
      </c>
      <c r="P16" s="187" t="s">
        <v>263</v>
      </c>
      <c r="Q16" s="51" t="str">
        <f t="shared" si="0"/>
        <v>Probabilidad</v>
      </c>
      <c r="R16" s="52" t="s">
        <v>15</v>
      </c>
      <c r="S16" s="52" t="s">
        <v>9</v>
      </c>
      <c r="T16" s="53" t="str">
        <f t="shared" si="1"/>
        <v>30%</v>
      </c>
      <c r="U16" s="52" t="s">
        <v>19</v>
      </c>
      <c r="V16" s="52" t="s">
        <v>22</v>
      </c>
      <c r="W16" s="52" t="s">
        <v>119</v>
      </c>
      <c r="X16" s="24">
        <f>IFERROR(IF(Q16="Probabilidad",(I16-(+I16*T16)),IF(Q16="Impacto",I16,"")),"")</f>
        <v>0.42</v>
      </c>
      <c r="Y16" s="54" t="str">
        <f>IFERROR(IF(X16="","",IF(X16&lt;=0.2,"Muy Baja",IF(X16&lt;=0.4,"Baja",IF(X16&lt;=0.6,"Media",IF(X16&lt;=0.8,"Alta","Muy Alta"))))),"")</f>
        <v>Media</v>
      </c>
      <c r="Z16" s="55">
        <f t="shared" si="2"/>
        <v>0.42</v>
      </c>
      <c r="AA16" s="54" t="str">
        <f>IFERROR(IF(AB16="","",IF(AB16&lt;=0.2,"Leve",IF(AB16&lt;=0.4,"Menor",IF(AB16&lt;=0.6,"Moderado",IF(AB16&lt;=0.8,"Mayor","Catastrófico"))))),"")</f>
        <v>Catastrófico</v>
      </c>
      <c r="AB16" s="55">
        <f>IFERROR(IF(Q16="Impacto",(M16-(+M16*T16)),IF(Q16="Probabilidad",M16,"")),"")</f>
        <v>1</v>
      </c>
      <c r="AC16" s="56" t="str">
        <f t="shared" si="3"/>
        <v>Extremo</v>
      </c>
      <c r="AD16" s="57" t="s">
        <v>136</v>
      </c>
      <c r="AE16" s="184" t="s">
        <v>286</v>
      </c>
      <c r="AF16" s="58" t="s">
        <v>260</v>
      </c>
      <c r="AG16" s="137" t="s">
        <v>261</v>
      </c>
      <c r="AH16" s="137" t="s">
        <v>262</v>
      </c>
      <c r="AI16" s="58" t="s">
        <v>258</v>
      </c>
      <c r="AJ16" s="48"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48"/>
      <c r="B17" s="251"/>
      <c r="C17" s="251"/>
      <c r="D17" s="251"/>
      <c r="E17" s="254"/>
      <c r="F17" s="251"/>
      <c r="G17" s="257"/>
      <c r="H17" s="260"/>
      <c r="I17" s="242"/>
      <c r="J17" s="263"/>
      <c r="K17" s="242">
        <f>IF(NOT(ISERROR(MATCH(J17,_xlfn.ANCHORARRAY(E28),0))),I30&amp;"Por favor no seleccionar los criterios de impacto",J17)</f>
        <v>0</v>
      </c>
      <c r="L17" s="260"/>
      <c r="M17" s="242"/>
      <c r="N17" s="245"/>
      <c r="O17" s="6">
        <v>2</v>
      </c>
      <c r="P17" s="187"/>
      <c r="Q17" s="51" t="str">
        <f t="shared" si="0"/>
        <v/>
      </c>
      <c r="R17" s="52"/>
      <c r="S17" s="52"/>
      <c r="T17" s="53" t="str">
        <f t="shared" si="1"/>
        <v/>
      </c>
      <c r="U17" s="52"/>
      <c r="V17" s="52"/>
      <c r="W17" s="52"/>
      <c r="X17" s="24" t="str">
        <f>IFERROR(IF(AND(Q16="Probabilidad",Q17="Probabilidad"),(Z16-(+Z16*T17)),IF(Q17="Probabilidad",(I16-(+I16*T17)),IF(Q17="Impacto",Z16,""))),"")</f>
        <v/>
      </c>
      <c r="Y17" s="54" t="str">
        <f t="shared" si="4"/>
        <v/>
      </c>
      <c r="Z17" s="55" t="str">
        <f t="shared" si="2"/>
        <v/>
      </c>
      <c r="AA17" s="54" t="str">
        <f t="shared" si="5"/>
        <v/>
      </c>
      <c r="AB17" s="55" t="str">
        <f>IFERROR(IF(AND(Q16="Impacto",Q17="Impacto"),(AB10-(+AB10*T17)),IF(Q17="Impacto",($M$16-(+$M$16*T17)),IF(Q17="Probabilidad",AB10,""))),"")</f>
        <v/>
      </c>
      <c r="AC17" s="56" t="str">
        <f t="shared" si="3"/>
        <v/>
      </c>
      <c r="AD17" s="57"/>
      <c r="AE17" s="184"/>
      <c r="AF17" s="58"/>
      <c r="AG17" s="137"/>
      <c r="AH17" s="137"/>
      <c r="AI17" s="184"/>
      <c r="AJ17" s="4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48"/>
      <c r="B18" s="251"/>
      <c r="C18" s="251"/>
      <c r="D18" s="251"/>
      <c r="E18" s="254"/>
      <c r="F18" s="251"/>
      <c r="G18" s="257"/>
      <c r="H18" s="260"/>
      <c r="I18" s="242"/>
      <c r="J18" s="263"/>
      <c r="K18" s="242">
        <f>IF(NOT(ISERROR(MATCH(J18,_xlfn.ANCHORARRAY(E29),0))),I31&amp;"Por favor no seleccionar los criterios de impacto",J18)</f>
        <v>0</v>
      </c>
      <c r="L18" s="260"/>
      <c r="M18" s="242"/>
      <c r="N18" s="245"/>
      <c r="O18" s="6">
        <v>3</v>
      </c>
      <c r="P18" s="49"/>
      <c r="Q18" s="51" t="str">
        <f t="shared" si="0"/>
        <v/>
      </c>
      <c r="R18" s="52"/>
      <c r="S18" s="52"/>
      <c r="T18" s="53" t="str">
        <f t="shared" si="1"/>
        <v/>
      </c>
      <c r="U18" s="52"/>
      <c r="V18" s="52"/>
      <c r="W18" s="52"/>
      <c r="X18" s="24" t="str">
        <f>IFERROR(IF(AND(Q17="Probabilidad",Q18="Probabilidad"),(Z17-(+Z17*T18)),IF(AND(Q17="Impacto",Q18="Probabilidad"),(Z16-(+Z16*T18)),IF(Q18="Impacto",Z17,""))),"")</f>
        <v/>
      </c>
      <c r="Y18" s="54" t="str">
        <f t="shared" si="4"/>
        <v/>
      </c>
      <c r="Z18" s="55" t="str">
        <f t="shared" si="2"/>
        <v/>
      </c>
      <c r="AA18" s="54" t="str">
        <f t="shared" si="5"/>
        <v/>
      </c>
      <c r="AB18" s="55" t="str">
        <f>IFERROR(IF(AND(Q17="Impacto",Q18="Impacto"),(AB17-(+AB17*T18)),IF(AND(Q17="Probabilidad",Q18="Impacto"),(AB16-(+AB16*T18)),IF(Q18="Probabilidad",AB17,""))),"")</f>
        <v/>
      </c>
      <c r="AC18" s="56" t="str">
        <f t="shared" si="3"/>
        <v/>
      </c>
      <c r="AD18" s="57"/>
      <c r="AE18" s="49"/>
      <c r="AF18" s="58"/>
      <c r="AG18" s="137"/>
      <c r="AH18" s="137"/>
      <c r="AI18" s="184"/>
      <c r="AJ18" s="4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48"/>
      <c r="B19" s="251"/>
      <c r="C19" s="251"/>
      <c r="D19" s="251"/>
      <c r="E19" s="254"/>
      <c r="F19" s="251"/>
      <c r="G19" s="257"/>
      <c r="H19" s="260"/>
      <c r="I19" s="242"/>
      <c r="J19" s="263"/>
      <c r="K19" s="242">
        <f>IF(NOT(ISERROR(MATCH(J19,_xlfn.ANCHORARRAY(E30),0))),I32&amp;"Por favor no seleccionar los criterios de impacto",J19)</f>
        <v>0</v>
      </c>
      <c r="L19" s="260"/>
      <c r="M19" s="242"/>
      <c r="N19" s="245"/>
      <c r="O19" s="6">
        <v>4</v>
      </c>
      <c r="P19" s="49"/>
      <c r="Q19" s="51" t="str">
        <f t="shared" si="0"/>
        <v/>
      </c>
      <c r="R19" s="52"/>
      <c r="S19" s="52"/>
      <c r="T19" s="53" t="str">
        <f t="shared" si="1"/>
        <v/>
      </c>
      <c r="U19" s="52"/>
      <c r="V19" s="52"/>
      <c r="W19" s="52"/>
      <c r="X19" s="24" t="str">
        <f>IFERROR(IF(AND(Q18="Probabilidad",Q19="Probabilidad"),(Z18-(+Z18*T19)),IF(AND(Q18="Impacto",Q19="Probabilidad"),(Z17-(+Z17*T19)),IF(Q19="Impacto",Z18,""))),"")</f>
        <v/>
      </c>
      <c r="Y19" s="54" t="str">
        <f t="shared" si="4"/>
        <v/>
      </c>
      <c r="Z19" s="55" t="str">
        <f t="shared" si="2"/>
        <v/>
      </c>
      <c r="AA19" s="54" t="str">
        <f t="shared" si="5"/>
        <v/>
      </c>
      <c r="AB19" s="55" t="str">
        <f>IFERROR(IF(AND(Q18="Impacto",Q19="Impacto"),(AB18-(+AB18*T19)),IF(AND(Q18="Probabilidad",Q19="Impacto"),(AB17-(+AB17*T19)),IF(Q19="Probabilidad",AB18,""))),"")</f>
        <v/>
      </c>
      <c r="AC19" s="56" t="str">
        <f t="shared" si="3"/>
        <v/>
      </c>
      <c r="AD19" s="57"/>
      <c r="AE19" s="58"/>
      <c r="AF19" s="58"/>
      <c r="AG19" s="137"/>
      <c r="AH19" s="137"/>
      <c r="AI19" s="58"/>
      <c r="AJ19" s="4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48"/>
      <c r="B20" s="251"/>
      <c r="C20" s="251"/>
      <c r="D20" s="251"/>
      <c r="E20" s="254"/>
      <c r="F20" s="251"/>
      <c r="G20" s="257"/>
      <c r="H20" s="260"/>
      <c r="I20" s="242"/>
      <c r="J20" s="263"/>
      <c r="K20" s="242">
        <f>IF(NOT(ISERROR(MATCH(J20,_xlfn.ANCHORARRAY(E31),0))),I33&amp;"Por favor no seleccionar los criterios de impacto",J20)</f>
        <v>0</v>
      </c>
      <c r="L20" s="260"/>
      <c r="M20" s="242"/>
      <c r="N20" s="245"/>
      <c r="O20" s="6">
        <v>5</v>
      </c>
      <c r="P20" s="49"/>
      <c r="Q20" s="51" t="str">
        <f t="shared" si="0"/>
        <v/>
      </c>
      <c r="R20" s="52"/>
      <c r="S20" s="52"/>
      <c r="T20" s="53" t="str">
        <f t="shared" si="1"/>
        <v/>
      </c>
      <c r="U20" s="52"/>
      <c r="V20" s="52"/>
      <c r="W20" s="52"/>
      <c r="X20" s="24" t="str">
        <f>IFERROR(IF(AND(Q19="Probabilidad",Q20="Probabilidad"),(Z19-(+Z19*T20)),IF(AND(Q19="Impacto",Q20="Probabilidad"),(Z18-(+Z18*T20)),IF(Q20="Impacto",Z19,""))),"")</f>
        <v/>
      </c>
      <c r="Y20" s="54" t="str">
        <f t="shared" si="4"/>
        <v/>
      </c>
      <c r="Z20" s="55" t="str">
        <f t="shared" si="2"/>
        <v/>
      </c>
      <c r="AA20" s="54" t="str">
        <f t="shared" si="5"/>
        <v/>
      </c>
      <c r="AB20" s="55" t="str">
        <f>IFERROR(IF(AND(Q19="Impacto",Q20="Impacto"),(AB19-(+AB19*T20)),IF(AND(Q19="Probabilidad",Q20="Impacto"),(AB18-(+AB18*T20)),IF(Q20="Probabilidad",AB19,""))),"")</f>
        <v/>
      </c>
      <c r="AC20" s="56" t="str">
        <f t="shared" si="3"/>
        <v/>
      </c>
      <c r="AD20" s="57"/>
      <c r="AE20" s="58"/>
      <c r="AF20" s="58"/>
      <c r="AG20" s="59"/>
      <c r="AH20" s="59"/>
      <c r="AI20" s="58"/>
      <c r="AJ20" s="4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49"/>
      <c r="B21" s="252"/>
      <c r="C21" s="252"/>
      <c r="D21" s="252"/>
      <c r="E21" s="255"/>
      <c r="F21" s="252"/>
      <c r="G21" s="258"/>
      <c r="H21" s="261"/>
      <c r="I21" s="243"/>
      <c r="J21" s="264"/>
      <c r="K21" s="243">
        <f>IF(NOT(ISERROR(MATCH(J21,_xlfn.ANCHORARRAY(E32),0))),I34&amp;"Por favor no seleccionar los criterios de impacto",J21)</f>
        <v>0</v>
      </c>
      <c r="L21" s="261"/>
      <c r="M21" s="243"/>
      <c r="N21" s="246"/>
      <c r="O21" s="6">
        <v>6</v>
      </c>
      <c r="P21" s="185"/>
      <c r="Q21" s="51" t="str">
        <f t="shared" si="0"/>
        <v/>
      </c>
      <c r="R21" s="52"/>
      <c r="S21" s="52"/>
      <c r="T21" s="53" t="str">
        <f t="shared" si="1"/>
        <v/>
      </c>
      <c r="U21" s="52"/>
      <c r="V21" s="52"/>
      <c r="W21" s="52"/>
      <c r="X21" s="24" t="str">
        <f>IFERROR(IF(AND(Q20="Probabilidad",Q21="Probabilidad"),(Z20-(+Z20*T21)),IF(AND(Q20="Impacto",Q21="Probabilidad"),(Z19-(+Z19*T21)),IF(Q21="Impacto",Z20,""))),"")</f>
        <v/>
      </c>
      <c r="Y21" s="54" t="str">
        <f t="shared" si="4"/>
        <v/>
      </c>
      <c r="Z21" s="55" t="str">
        <f t="shared" si="2"/>
        <v/>
      </c>
      <c r="AA21" s="54" t="str">
        <f t="shared" si="5"/>
        <v/>
      </c>
      <c r="AB21" s="55" t="str">
        <f>IFERROR(IF(AND(Q20="Impacto",Q21="Impacto"),(AB20-(+AB20*T21)),IF(AND(Q20="Probabilidad",Q21="Impacto"),(AB19-(+AB19*T21)),IF(Q21="Probabilidad",AB20,""))),"")</f>
        <v/>
      </c>
      <c r="AC21" s="56" t="str">
        <f t="shared" si="3"/>
        <v/>
      </c>
      <c r="AD21" s="57"/>
      <c r="AE21" s="58"/>
      <c r="AF21" s="5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47">
        <v>3</v>
      </c>
      <c r="B22" s="250" t="s">
        <v>134</v>
      </c>
      <c r="C22" s="250" t="s">
        <v>279</v>
      </c>
      <c r="D22" s="265" t="s">
        <v>280</v>
      </c>
      <c r="E22" s="253" t="s">
        <v>283</v>
      </c>
      <c r="F22" s="250" t="s">
        <v>125</v>
      </c>
      <c r="G22" s="256">
        <v>400</v>
      </c>
      <c r="H22" s="259" t="str">
        <f>IF(G22&lt;=0,"",IF(G22&lt;=2,"Muy Baja",IF(G22&lt;=24,"Baja",IF(G22&lt;=500,"Media",IF(G22&lt;=5000,"Alta","Muy Alta")))))</f>
        <v>Media</v>
      </c>
      <c r="I22" s="241">
        <f>IF(H22="","",IF(H22="Muy Baja",0.2,IF(H22="Baja",0.4,IF(H22="Media",0.6,IF(H22="Alta",0.8,IF(H22="Muy Alta",1,))))))</f>
        <v>0.6</v>
      </c>
      <c r="J22" s="262" t="s">
        <v>157</v>
      </c>
      <c r="K22" s="241" t="str">
        <f>IF(NOT(ISERROR(MATCH(J22,'Tabla Impacto'!$B$221:$B$223,0))),'Tabla Impacto'!$F$223&amp;"Por favor no seleccionar los criterios de impacto(Afectación Económica o presupuestal y Pérdida Reputacional)",J22)</f>
        <v xml:space="preserve">     El riesgo afecta la imagen de la entidad a nivel nacional, con efecto publicitarios sostenible a nivel país</v>
      </c>
      <c r="L22" s="259" t="str">
        <f>IF(OR(K22='Tabla Impacto'!$C$11,K22='Tabla Impacto'!$D$11),"Leve",IF(OR(K22='Tabla Impacto'!$C$12,K22='Tabla Impacto'!$D$12),"Menor",IF(OR(K22='Tabla Impacto'!$C$13,K22='Tabla Impacto'!$D$13),"Moderado",IF(OR(K22='Tabla Impacto'!$C$14,K22='Tabla Impacto'!$D$14),"Mayor",IF(OR(K22='Tabla Impacto'!$C$15,K22='Tabla Impacto'!$D$15),"Catastrófico","")))))</f>
        <v>Catastrófico</v>
      </c>
      <c r="M22" s="241">
        <f>IF(L22="","",IF(L22="Leve",0.2,IF(L22="Menor",0.4,IF(L22="Moderado",0.6,IF(L22="Mayor",0.8,IF(L22="Catastrófico",1,))))))</f>
        <v>1</v>
      </c>
      <c r="N22" s="244"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Extremo</v>
      </c>
      <c r="O22" s="6">
        <v>1</v>
      </c>
      <c r="P22" s="187" t="s">
        <v>264</v>
      </c>
      <c r="Q22" s="51" t="str">
        <f t="shared" si="0"/>
        <v>Probabilidad</v>
      </c>
      <c r="R22" s="52" t="s">
        <v>14</v>
      </c>
      <c r="S22" s="52" t="s">
        <v>9</v>
      </c>
      <c r="T22" s="53" t="str">
        <f t="shared" si="1"/>
        <v>40%</v>
      </c>
      <c r="U22" s="52" t="s">
        <v>19</v>
      </c>
      <c r="V22" s="52" t="s">
        <v>22</v>
      </c>
      <c r="W22" s="52" t="s">
        <v>119</v>
      </c>
      <c r="X22" s="24">
        <f>IFERROR(IF(Q22="Probabilidad",(I22-(+I22*T22)),IF(Q22="Impacto",I22,"")),"")</f>
        <v>0.36</v>
      </c>
      <c r="Y22" s="54" t="str">
        <f>IFERROR(IF(X22="","",IF(X22&lt;=0.2,"Muy Baja",IF(X22&lt;=0.4,"Baja",IF(X22&lt;=0.6,"Media",IF(X22&lt;=0.8,"Alta","Muy Alta"))))),"")</f>
        <v>Baja</v>
      </c>
      <c r="Z22" s="55">
        <f t="shared" si="2"/>
        <v>0.36</v>
      </c>
      <c r="AA22" s="54" t="str">
        <f>IFERROR(IF(AB22="","",IF(AB22&lt;=0.2,"Leve",IF(AB22&lt;=0.4,"Menor",IF(AB22&lt;=0.6,"Moderado",IF(AB22&lt;=0.8,"Mayor","Catastrófico"))))),"")</f>
        <v>Catastrófico</v>
      </c>
      <c r="AB22" s="55">
        <f>IFERROR(IF(Q22="Impacto",(M22-(+M22*T22)),IF(Q22="Probabilidad",M22,"")),"")</f>
        <v>1</v>
      </c>
      <c r="AC22" s="56" t="str">
        <f t="shared" si="3"/>
        <v>Extremo</v>
      </c>
      <c r="AD22" s="57" t="s">
        <v>137</v>
      </c>
      <c r="AE22" s="187" t="s">
        <v>281</v>
      </c>
      <c r="AF22" s="58" t="s">
        <v>273</v>
      </c>
      <c r="AG22" s="137" t="s">
        <v>276</v>
      </c>
      <c r="AH22" s="137" t="s">
        <v>277</v>
      </c>
      <c r="AI22" s="58" t="s">
        <v>265</v>
      </c>
      <c r="AJ22" s="48"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48"/>
      <c r="B23" s="251"/>
      <c r="C23" s="251"/>
      <c r="D23" s="251"/>
      <c r="E23" s="254"/>
      <c r="F23" s="251"/>
      <c r="G23" s="257"/>
      <c r="H23" s="260"/>
      <c r="I23" s="242"/>
      <c r="J23" s="263"/>
      <c r="K23" s="242">
        <f>IF(NOT(ISERROR(MATCH(J23,_xlfn.ANCHORARRAY(E34),0))),I36&amp;"Por favor no seleccionar los criterios de impacto",J23)</f>
        <v>0</v>
      </c>
      <c r="L23" s="260"/>
      <c r="M23" s="242"/>
      <c r="N23" s="245"/>
      <c r="O23" s="6">
        <v>2</v>
      </c>
      <c r="P23" s="49" t="s">
        <v>285</v>
      </c>
      <c r="Q23" s="51" t="str">
        <f t="shared" si="0"/>
        <v>Probabilidad</v>
      </c>
      <c r="R23" s="52" t="s">
        <v>14</v>
      </c>
      <c r="S23" s="52" t="s">
        <v>9</v>
      </c>
      <c r="T23" s="53" t="str">
        <f t="shared" si="1"/>
        <v>40%</v>
      </c>
      <c r="U23" s="52" t="s">
        <v>19</v>
      </c>
      <c r="V23" s="52" t="s">
        <v>22</v>
      </c>
      <c r="W23" s="52" t="s">
        <v>119</v>
      </c>
      <c r="X23" s="31">
        <f>IFERROR(IF(AND(Q22="Probabilidad",Q23="Probabilidad"),(Z22-(+Z22*T23)),IF(Q23="Probabilidad",(I22-(+I22*T23)),IF(Q23="Impacto",Z22,""))),"")</f>
        <v>0.216</v>
      </c>
      <c r="Y23" s="54" t="str">
        <f t="shared" si="4"/>
        <v>Baja</v>
      </c>
      <c r="Z23" s="55">
        <f t="shared" si="2"/>
        <v>0.216</v>
      </c>
      <c r="AA23" s="54" t="str">
        <f t="shared" si="5"/>
        <v>Catastrófico</v>
      </c>
      <c r="AB23" s="55">
        <f>IFERROR(IF(AND(Q22="Impacto",Q23="Impacto"),(AB16-(+AB16*T23)),IF(Q23="Impacto",($M$22-(+$M$22*T23)),IF(Q23="Probabilidad",AB16,""))),"")</f>
        <v>1</v>
      </c>
      <c r="AC23" s="56" t="str">
        <f t="shared" si="3"/>
        <v>Extremo</v>
      </c>
      <c r="AD23" s="57" t="s">
        <v>136</v>
      </c>
      <c r="AE23" s="185" t="s">
        <v>282</v>
      </c>
      <c r="AF23" s="58" t="s">
        <v>273</v>
      </c>
      <c r="AG23" s="137" t="s">
        <v>276</v>
      </c>
      <c r="AH23" s="137" t="s">
        <v>277</v>
      </c>
      <c r="AI23" s="58" t="s">
        <v>258</v>
      </c>
      <c r="AJ23" s="48"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48"/>
      <c r="B24" s="251"/>
      <c r="C24" s="251"/>
      <c r="D24" s="251"/>
      <c r="E24" s="254"/>
      <c r="F24" s="251"/>
      <c r="G24" s="257"/>
      <c r="H24" s="260"/>
      <c r="I24" s="242"/>
      <c r="J24" s="263"/>
      <c r="K24" s="242">
        <f>IF(NOT(ISERROR(MATCH(J24,_xlfn.ANCHORARRAY(E35),0))),I37&amp;"Por favor no seleccionar los criterios de impacto",J24)</f>
        <v>0</v>
      </c>
      <c r="L24" s="260"/>
      <c r="M24" s="242"/>
      <c r="N24" s="245"/>
      <c r="O24" s="6">
        <v>3</v>
      </c>
      <c r="P24" s="183"/>
      <c r="Q24" s="51" t="str">
        <f t="shared" si="0"/>
        <v/>
      </c>
      <c r="R24" s="52"/>
      <c r="S24" s="52"/>
      <c r="T24" s="53" t="str">
        <f t="shared" si="1"/>
        <v/>
      </c>
      <c r="U24" s="52"/>
      <c r="V24" s="52"/>
      <c r="W24" s="52"/>
      <c r="X24" s="24" t="str">
        <f>IFERROR(IF(AND(Q23="Probabilidad",Q24="Probabilidad"),(Z23-(+Z23*T24)),IF(AND(Q23="Impacto",Q24="Probabilidad"),(Z22-(+Z22*T24)),IF(Q24="Impacto",Z23,""))),"")</f>
        <v/>
      </c>
      <c r="Y24" s="54" t="str">
        <f t="shared" si="4"/>
        <v/>
      </c>
      <c r="Z24" s="55" t="str">
        <f t="shared" si="2"/>
        <v/>
      </c>
      <c r="AA24" s="54" t="str">
        <f t="shared" si="5"/>
        <v/>
      </c>
      <c r="AB24" s="55" t="str">
        <f>IFERROR(IF(AND(Q23="Impacto",Q24="Impacto"),(AB23-(+AB23*T24)),IF(AND(Q23="Probabilidad",Q24="Impacto"),(AB22-(+AB22*T24)),IF(Q24="Probabilidad",AB23,""))),"")</f>
        <v/>
      </c>
      <c r="AC24" s="56" t="str">
        <f t="shared" si="3"/>
        <v/>
      </c>
      <c r="AD24" s="57"/>
      <c r="AE24" s="185"/>
      <c r="AF24" s="58"/>
      <c r="AG24" s="137"/>
      <c r="AH24" s="137"/>
      <c r="AI24" s="58"/>
      <c r="AJ24" s="4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48"/>
      <c r="B25" s="251"/>
      <c r="C25" s="251"/>
      <c r="D25" s="251"/>
      <c r="E25" s="254"/>
      <c r="F25" s="251"/>
      <c r="G25" s="257"/>
      <c r="H25" s="260"/>
      <c r="I25" s="242"/>
      <c r="J25" s="263"/>
      <c r="K25" s="242">
        <f>IF(NOT(ISERROR(MATCH(J25,_xlfn.ANCHORARRAY(E36),0))),I38&amp;"Por favor no seleccionar los criterios de impacto",J25)</f>
        <v>0</v>
      </c>
      <c r="L25" s="260"/>
      <c r="M25" s="242"/>
      <c r="N25" s="245"/>
      <c r="O25" s="6">
        <v>4</v>
      </c>
      <c r="P25" s="183"/>
      <c r="Q25" s="51" t="str">
        <f t="shared" si="0"/>
        <v/>
      </c>
      <c r="R25" s="52"/>
      <c r="S25" s="52"/>
      <c r="T25" s="53" t="str">
        <f t="shared" si="1"/>
        <v/>
      </c>
      <c r="U25" s="52"/>
      <c r="V25" s="52"/>
      <c r="W25" s="52"/>
      <c r="X25" s="24" t="str">
        <f>IFERROR(IF(AND(Q24="Probabilidad",Q25="Probabilidad"),(Z24-(+Z24*T25)),IF(AND(Q24="Impacto",Q25="Probabilidad"),(Z23-(+Z23*T25)),IF(Q25="Impacto",Z24,""))),"")</f>
        <v/>
      </c>
      <c r="Y25" s="54" t="str">
        <f t="shared" si="4"/>
        <v/>
      </c>
      <c r="Z25" s="55" t="str">
        <f t="shared" si="2"/>
        <v/>
      </c>
      <c r="AA25" s="54" t="str">
        <f t="shared" si="5"/>
        <v/>
      </c>
      <c r="AB25" s="55" t="str">
        <f>IFERROR(IF(AND(Q24="Impacto",Q25="Impacto"),(AB24-(+AB24*T25)),IF(AND(Q24="Probabilidad",Q25="Impacto"),(AB23-(+AB23*T25)),IF(Q25="Probabilidad",AB24,""))),"")</f>
        <v/>
      </c>
      <c r="AC25" s="56" t="str">
        <f t="shared" si="3"/>
        <v/>
      </c>
      <c r="AD25" s="57"/>
      <c r="AE25" s="184"/>
      <c r="AF25" s="58"/>
      <c r="AG25" s="137"/>
      <c r="AH25" s="137"/>
      <c r="AI25" s="184"/>
      <c r="AJ25" s="4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48"/>
      <c r="B26" s="251"/>
      <c r="C26" s="251"/>
      <c r="D26" s="251"/>
      <c r="E26" s="254"/>
      <c r="F26" s="251"/>
      <c r="G26" s="257"/>
      <c r="H26" s="260"/>
      <c r="I26" s="242"/>
      <c r="J26" s="263"/>
      <c r="K26" s="242">
        <f>IF(NOT(ISERROR(MATCH(J26,_xlfn.ANCHORARRAY(E37),0))),I39&amp;"Por favor no seleccionar los criterios de impacto",J26)</f>
        <v>0</v>
      </c>
      <c r="L26" s="260"/>
      <c r="M26" s="242"/>
      <c r="N26" s="245"/>
      <c r="O26" s="6">
        <v>5</v>
      </c>
      <c r="P26" s="138"/>
      <c r="Q26" s="51" t="str">
        <f t="shared" si="0"/>
        <v/>
      </c>
      <c r="R26" s="52"/>
      <c r="S26" s="52"/>
      <c r="T26" s="53" t="str">
        <f t="shared" si="1"/>
        <v/>
      </c>
      <c r="U26" s="52"/>
      <c r="V26" s="52"/>
      <c r="W26" s="52"/>
      <c r="X26" s="24" t="str">
        <f>IFERROR(IF(AND(Q25="Probabilidad",Q26="Probabilidad"),(Z25-(+Z25*T26)),IF(AND(Q25="Impacto",Q26="Probabilidad"),(Z24-(+Z24*T26)),IF(Q26="Impacto",Z25,""))),"")</f>
        <v/>
      </c>
      <c r="Y26" s="54" t="str">
        <f t="shared" si="4"/>
        <v/>
      </c>
      <c r="Z26" s="55" t="str">
        <f t="shared" si="2"/>
        <v/>
      </c>
      <c r="AA26" s="54" t="str">
        <f t="shared" si="5"/>
        <v/>
      </c>
      <c r="AB26" s="55" t="str">
        <f>IFERROR(IF(AND(Q25="Impacto",Q26="Impacto"),(AB25-(+AB25*T26)),IF(AND(Q25="Probabilidad",Q26="Impacto"),(AB24-(+AB24*T26)),IF(Q26="Probabilidad",AB25,""))),"")</f>
        <v/>
      </c>
      <c r="AC26" s="56" t="str">
        <f t="shared" si="3"/>
        <v/>
      </c>
      <c r="AD26" s="57"/>
      <c r="AE26" s="138"/>
      <c r="AF26" s="58"/>
      <c r="AG26" s="59"/>
      <c r="AH26" s="59"/>
      <c r="AI26" s="58"/>
      <c r="AJ26" s="4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49"/>
      <c r="B27" s="252"/>
      <c r="C27" s="252"/>
      <c r="D27" s="252"/>
      <c r="E27" s="255"/>
      <c r="F27" s="252"/>
      <c r="G27" s="258"/>
      <c r="H27" s="261"/>
      <c r="I27" s="243"/>
      <c r="J27" s="264"/>
      <c r="K27" s="243">
        <f>IF(NOT(ISERROR(MATCH(J27,_xlfn.ANCHORARRAY(E38),0))),I40&amp;"Por favor no seleccionar los criterios de impacto",J27)</f>
        <v>0</v>
      </c>
      <c r="L27" s="261"/>
      <c r="M27" s="243"/>
      <c r="N27" s="246"/>
      <c r="O27" s="6">
        <v>6</v>
      </c>
      <c r="P27" s="49"/>
      <c r="Q27" s="51" t="str">
        <f t="shared" si="0"/>
        <v/>
      </c>
      <c r="R27" s="52"/>
      <c r="S27" s="52"/>
      <c r="T27" s="53" t="str">
        <f t="shared" si="1"/>
        <v/>
      </c>
      <c r="U27" s="52"/>
      <c r="V27" s="52"/>
      <c r="W27" s="52"/>
      <c r="X27" s="24" t="str">
        <f>IFERROR(IF(AND(Q26="Probabilidad",Q27="Probabilidad"),(Z26-(+Z26*T27)),IF(AND(Q26="Impacto",Q27="Probabilidad"),(Z25-(+Z25*T27)),IF(Q27="Impacto",Z26,""))),"")</f>
        <v/>
      </c>
      <c r="Y27" s="54" t="str">
        <f t="shared" si="4"/>
        <v/>
      </c>
      <c r="Z27" s="55" t="str">
        <f t="shared" si="2"/>
        <v/>
      </c>
      <c r="AA27" s="54" t="str">
        <f t="shared" si="5"/>
        <v/>
      </c>
      <c r="AB27" s="55" t="str">
        <f>IFERROR(IF(AND(Q26="Impacto",Q27="Impacto"),(AB26-(+AB26*T27)),IF(AND(Q26="Probabilidad",Q27="Impacto"),(AB25-(+AB25*T27)),IF(Q27="Probabilidad",AB26,""))),"")</f>
        <v/>
      </c>
      <c r="AC27" s="56" t="str">
        <f t="shared" si="3"/>
        <v/>
      </c>
      <c r="AD27" s="57"/>
      <c r="AE27" s="58"/>
      <c r="AF27" s="5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47">
        <v>4</v>
      </c>
      <c r="B28" s="250"/>
      <c r="C28" s="250"/>
      <c r="D28" s="265"/>
      <c r="E28" s="253"/>
      <c r="F28" s="250"/>
      <c r="G28" s="256"/>
      <c r="H28" s="259" t="str">
        <f>IF(G28&lt;=0,"",IF(G28&lt;=2,"Muy Baja",IF(G28&lt;=24,"Baja",IF(G28&lt;=500,"Media",IF(G28&lt;=5000,"Alta","Muy Alta")))))</f>
        <v/>
      </c>
      <c r="I28" s="241" t="str">
        <f>IF(H28="","",IF(H28="Muy Baja",0.2,IF(H28="Baja",0.4,IF(H28="Media",0.6,IF(H28="Alta",0.8,IF(H28="Muy Alta",1,))))))</f>
        <v/>
      </c>
      <c r="J28" s="262"/>
      <c r="K28" s="241">
        <f>IF(NOT(ISERROR(MATCH(J28,'Tabla Impacto'!$B$221:$B$223,0))),'Tabla Impacto'!$F$223&amp;"Por favor no seleccionar los criterios de impacto(Afectación Económica o presupuestal y Pérdida Reputacional)",J28)</f>
        <v>0</v>
      </c>
      <c r="L28" s="259" t="str">
        <f>IF(OR(K28='Tabla Impacto'!$C$11,K28='Tabla Impacto'!$D$11),"Leve",IF(OR(K28='Tabla Impacto'!$C$12,K28='Tabla Impacto'!$D$12),"Menor",IF(OR(K28='Tabla Impacto'!$C$13,K28='Tabla Impacto'!$D$13),"Moderado",IF(OR(K28='Tabla Impacto'!$C$14,K28='Tabla Impacto'!$D$14),"Mayor",IF(OR(K28='Tabla Impacto'!$C$15,K28='Tabla Impacto'!$D$15),"Catastrófico","")))))</f>
        <v/>
      </c>
      <c r="M28" s="241" t="str">
        <f>IF(L28="","",IF(L28="Leve",0.2,IF(L28="Menor",0.4,IF(L28="Moderado",0.6,IF(L28="Mayor",0.8,IF(L28="Catastrófico",1,))))))</f>
        <v/>
      </c>
      <c r="N28" s="244"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6">
        <v>1</v>
      </c>
      <c r="P28" s="49"/>
      <c r="Q28" s="51" t="str">
        <f t="shared" si="0"/>
        <v/>
      </c>
      <c r="R28" s="52"/>
      <c r="S28" s="52"/>
      <c r="T28" s="53" t="str">
        <f t="shared" si="1"/>
        <v/>
      </c>
      <c r="U28" s="52"/>
      <c r="V28" s="52"/>
      <c r="W28" s="52"/>
      <c r="X28" s="24" t="str">
        <f>IFERROR(IF(Q28="Probabilidad",(I28-(+I28*T28)),IF(Q28="Impacto",I28,"")),"")</f>
        <v/>
      </c>
      <c r="Y28" s="54" t="str">
        <f>IFERROR(IF(X28="","",IF(X28&lt;=0.2,"Muy Baja",IF(X28&lt;=0.4,"Baja",IF(X28&lt;=0.6,"Media",IF(X28&lt;=0.8,"Alta","Muy Alta"))))),"")</f>
        <v/>
      </c>
      <c r="Z28" s="55" t="str">
        <f t="shared" si="2"/>
        <v/>
      </c>
      <c r="AA28" s="54" t="str">
        <f>IFERROR(IF(AB28="","",IF(AB28&lt;=0.2,"Leve",IF(AB28&lt;=0.4,"Menor",IF(AB28&lt;=0.6,"Moderado",IF(AB28&lt;=0.8,"Mayor","Catastrófico"))))),"")</f>
        <v/>
      </c>
      <c r="AB28" s="55" t="str">
        <f>IFERROR(IF(Q28="Impacto",(M28-(+M28*T28)),IF(Q28="Probabilidad",M28,"")),"")</f>
        <v/>
      </c>
      <c r="AC28" s="56" t="str">
        <f t="shared" si="3"/>
        <v/>
      </c>
      <c r="AD28" s="57"/>
      <c r="AE28" s="58"/>
      <c r="AF28" s="58"/>
      <c r="AG28" s="137"/>
      <c r="AH28" s="137"/>
      <c r="AI28" s="58"/>
      <c r="AJ28" s="4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48"/>
      <c r="B29" s="251"/>
      <c r="C29" s="251"/>
      <c r="D29" s="251"/>
      <c r="E29" s="254"/>
      <c r="F29" s="251"/>
      <c r="G29" s="257"/>
      <c r="H29" s="260"/>
      <c r="I29" s="242"/>
      <c r="J29" s="263"/>
      <c r="K29" s="242">
        <f>IF(NOT(ISERROR(MATCH(J29,_xlfn.ANCHORARRAY(E40),0))),I42&amp;"Por favor no seleccionar los criterios de impacto",J29)</f>
        <v>0</v>
      </c>
      <c r="L29" s="260"/>
      <c r="M29" s="242"/>
      <c r="N29" s="245"/>
      <c r="O29" s="6">
        <v>2</v>
      </c>
      <c r="P29" s="49"/>
      <c r="Q29" s="51" t="str">
        <f t="shared" si="0"/>
        <v/>
      </c>
      <c r="R29" s="52"/>
      <c r="S29" s="52"/>
      <c r="T29" s="53" t="str">
        <f t="shared" si="1"/>
        <v/>
      </c>
      <c r="U29" s="52"/>
      <c r="V29" s="52"/>
      <c r="W29" s="52"/>
      <c r="X29" s="24" t="str">
        <f>IFERROR(IF(AND(Q28="Probabilidad",Q29="Probabilidad"),(Z28-(+Z28*T29)),IF(Q29="Probabilidad",(I28-(+I28*T29)),IF(Q29="Impacto",Z28,""))),"")</f>
        <v/>
      </c>
      <c r="Y29" s="54" t="str">
        <f t="shared" si="4"/>
        <v/>
      </c>
      <c r="Z29" s="55" t="str">
        <f t="shared" si="2"/>
        <v/>
      </c>
      <c r="AA29" s="54" t="str">
        <f t="shared" si="5"/>
        <v/>
      </c>
      <c r="AB29" s="55" t="str">
        <f>IFERROR(IF(AND(Q28="Impacto",Q29="Impacto"),(AB22-(+AB22*T29)),IF(Q29="Impacto",($M$28-(+$M$28*T29)),IF(Q29="Probabilidad",AB22,""))),"")</f>
        <v/>
      </c>
      <c r="AC29" s="56" t="str">
        <f t="shared" si="3"/>
        <v/>
      </c>
      <c r="AD29" s="57"/>
      <c r="AE29" s="58"/>
      <c r="AF29" s="58"/>
      <c r="AG29" s="137"/>
      <c r="AH29" s="137"/>
      <c r="AI29" s="58"/>
      <c r="AJ29" s="4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48"/>
      <c r="B30" s="251"/>
      <c r="C30" s="251"/>
      <c r="D30" s="251"/>
      <c r="E30" s="254"/>
      <c r="F30" s="251"/>
      <c r="G30" s="257"/>
      <c r="H30" s="260"/>
      <c r="I30" s="242"/>
      <c r="J30" s="263"/>
      <c r="K30" s="242">
        <f>IF(NOT(ISERROR(MATCH(J30,_xlfn.ANCHORARRAY(E41),0))),I43&amp;"Por favor no seleccionar los criterios de impacto",J30)</f>
        <v>0</v>
      </c>
      <c r="L30" s="260"/>
      <c r="M30" s="242"/>
      <c r="N30" s="245"/>
      <c r="O30" s="6">
        <v>3</v>
      </c>
      <c r="P30" s="49"/>
      <c r="Q30" s="51" t="str">
        <f t="shared" si="0"/>
        <v/>
      </c>
      <c r="R30" s="52"/>
      <c r="S30" s="52"/>
      <c r="T30" s="53" t="str">
        <f t="shared" si="1"/>
        <v/>
      </c>
      <c r="U30" s="52"/>
      <c r="V30" s="52"/>
      <c r="W30" s="52"/>
      <c r="X30" s="24" t="str">
        <f>IFERROR(IF(AND(Q29="Probabilidad",Q30="Probabilidad"),(Z29-(+Z29*T30)),IF(AND(Q29="Impacto",Q30="Probabilidad"),(Z28-(+Z28*T30)),IF(Q30="Impacto",Z29,""))),"")</f>
        <v/>
      </c>
      <c r="Y30" s="54" t="str">
        <f t="shared" si="4"/>
        <v/>
      </c>
      <c r="Z30" s="55" t="str">
        <f t="shared" si="2"/>
        <v/>
      </c>
      <c r="AA30" s="54" t="str">
        <f t="shared" si="5"/>
        <v/>
      </c>
      <c r="AB30" s="55" t="str">
        <f>IFERROR(IF(AND(Q29="Impacto",Q30="Impacto"),(AB29-(+AB29*T30)),IF(AND(Q29="Probabilidad",Q30="Impacto"),(AB28-(+AB28*T30)),IF(Q30="Probabilidad",AB29,""))),"")</f>
        <v/>
      </c>
      <c r="AC30" s="56" t="str">
        <f t="shared" si="3"/>
        <v/>
      </c>
      <c r="AD30" s="57"/>
      <c r="AE30" s="58"/>
      <c r="AF30" s="58"/>
      <c r="AG30" s="137"/>
      <c r="AH30" s="137"/>
      <c r="AI30" s="58"/>
      <c r="AJ30" s="4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48"/>
      <c r="B31" s="251"/>
      <c r="C31" s="251"/>
      <c r="D31" s="251"/>
      <c r="E31" s="254"/>
      <c r="F31" s="251"/>
      <c r="G31" s="257"/>
      <c r="H31" s="260"/>
      <c r="I31" s="242"/>
      <c r="J31" s="263"/>
      <c r="K31" s="242">
        <f>IF(NOT(ISERROR(MATCH(J31,_xlfn.ANCHORARRAY(E42),0))),I44&amp;"Por favor no seleccionar los criterios de impacto",J31)</f>
        <v>0</v>
      </c>
      <c r="L31" s="260"/>
      <c r="M31" s="242"/>
      <c r="N31" s="245"/>
      <c r="O31" s="6">
        <v>4</v>
      </c>
      <c r="P31" s="49"/>
      <c r="Q31" s="51" t="str">
        <f t="shared" si="0"/>
        <v/>
      </c>
      <c r="R31" s="52"/>
      <c r="S31" s="52"/>
      <c r="T31" s="53" t="str">
        <f t="shared" si="1"/>
        <v/>
      </c>
      <c r="U31" s="52"/>
      <c r="V31" s="52"/>
      <c r="W31" s="52"/>
      <c r="X31" s="24" t="str">
        <f>IFERROR(IF(AND(Q30="Probabilidad",Q31="Probabilidad"),(Z30-(+Z30*T31)),IF(AND(Q30="Impacto",Q31="Probabilidad"),(Z29-(+Z29*T31)),IF(Q31="Impacto",Z30,""))),"")</f>
        <v/>
      </c>
      <c r="Y31" s="54" t="str">
        <f t="shared" si="4"/>
        <v/>
      </c>
      <c r="Z31" s="55" t="str">
        <f t="shared" si="2"/>
        <v/>
      </c>
      <c r="AA31" s="54" t="str">
        <f t="shared" si="5"/>
        <v/>
      </c>
      <c r="AB31" s="55" t="str">
        <f>IFERROR(IF(AND(Q30="Impacto",Q31="Impacto"),(AB30-(+AB30*T31)),IF(AND(Q30="Probabilidad",Q31="Impacto"),(AB29-(+AB29*T31)),IF(Q31="Probabilidad",AB30,""))),"")</f>
        <v/>
      </c>
      <c r="AC31" s="56" t="str">
        <f t="shared" si="3"/>
        <v/>
      </c>
      <c r="AD31" s="57"/>
      <c r="AE31" s="58"/>
      <c r="AF31" s="58"/>
      <c r="AG31" s="59"/>
      <c r="AH31" s="59"/>
      <c r="AI31" s="58"/>
      <c r="AJ31" s="4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48"/>
      <c r="B32" s="251"/>
      <c r="C32" s="251"/>
      <c r="D32" s="251"/>
      <c r="E32" s="254"/>
      <c r="F32" s="251"/>
      <c r="G32" s="257"/>
      <c r="H32" s="260"/>
      <c r="I32" s="242"/>
      <c r="J32" s="263"/>
      <c r="K32" s="242">
        <f>IF(NOT(ISERROR(MATCH(J32,_xlfn.ANCHORARRAY(E43),0))),I45&amp;"Por favor no seleccionar los criterios de impacto",J32)</f>
        <v>0</v>
      </c>
      <c r="L32" s="260"/>
      <c r="M32" s="242"/>
      <c r="N32" s="245"/>
      <c r="O32" s="6">
        <v>5</v>
      </c>
      <c r="P32" s="49"/>
      <c r="Q32" s="51" t="str">
        <f t="shared" si="0"/>
        <v/>
      </c>
      <c r="R32" s="52"/>
      <c r="S32" s="52"/>
      <c r="T32" s="53" t="str">
        <f t="shared" si="1"/>
        <v/>
      </c>
      <c r="U32" s="52"/>
      <c r="V32" s="52"/>
      <c r="W32" s="52"/>
      <c r="X32" s="31" t="str">
        <f>IFERROR(IF(AND(Q31="Probabilidad",Q32="Probabilidad"),(Z31-(+Z31*T32)),IF(AND(Q31="Impacto",Q32="Probabilidad"),(Z30-(+Z30*T32)),IF(Q32="Impacto",Z31,""))),"")</f>
        <v/>
      </c>
      <c r="Y32" s="54" t="str">
        <f>IFERROR(IF(X32="","",IF(X32&lt;=0.2,"Muy Baja",IF(X32&lt;=0.4,"Baja",IF(X32&lt;=0.6,"Media",IF(X32&lt;=0.8,"Alta","Muy Alta"))))),"")</f>
        <v/>
      </c>
      <c r="Z32" s="55" t="str">
        <f t="shared" si="2"/>
        <v/>
      </c>
      <c r="AA32" s="54" t="str">
        <f t="shared" si="5"/>
        <v/>
      </c>
      <c r="AB32" s="55" t="str">
        <f>IFERROR(IF(AND(Q31="Impacto",Q32="Impacto"),(AB31-(+AB31*T32)),IF(AND(Q31="Probabilidad",Q32="Impacto"),(AB30-(+AB30*T32)),IF(Q32="Probabilidad",AB31,""))),"")</f>
        <v/>
      </c>
      <c r="AC32" s="56" t="str">
        <f t="shared" si="3"/>
        <v/>
      </c>
      <c r="AD32" s="57"/>
      <c r="AE32" s="58"/>
      <c r="AF32" s="58"/>
      <c r="AG32" s="59"/>
      <c r="AH32" s="59"/>
      <c r="AI32" s="58"/>
      <c r="AJ32" s="4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49"/>
      <c r="B33" s="252"/>
      <c r="C33" s="252"/>
      <c r="D33" s="252"/>
      <c r="E33" s="255"/>
      <c r="F33" s="252"/>
      <c r="G33" s="258"/>
      <c r="H33" s="261"/>
      <c r="I33" s="243"/>
      <c r="J33" s="264"/>
      <c r="K33" s="243">
        <f>IF(NOT(ISERROR(MATCH(J33,_xlfn.ANCHORARRAY(E44),0))),I46&amp;"Por favor no seleccionar los criterios de impacto",J33)</f>
        <v>0</v>
      </c>
      <c r="L33" s="261"/>
      <c r="M33" s="243"/>
      <c r="N33" s="246"/>
      <c r="O33" s="6">
        <v>6</v>
      </c>
      <c r="P33" s="49"/>
      <c r="Q33" s="51" t="str">
        <f t="shared" si="0"/>
        <v/>
      </c>
      <c r="R33" s="52"/>
      <c r="S33" s="52"/>
      <c r="T33" s="53" t="str">
        <f t="shared" si="1"/>
        <v/>
      </c>
      <c r="U33" s="52"/>
      <c r="V33" s="52"/>
      <c r="W33" s="52"/>
      <c r="X33" s="24" t="str">
        <f>IFERROR(IF(AND(Q32="Probabilidad",Q33="Probabilidad"),(Z32-(+Z32*T33)),IF(AND(Q32="Impacto",Q33="Probabilidad"),(Z31-(+Z31*T33)),IF(Q33="Impacto",Z32,""))),"")</f>
        <v/>
      </c>
      <c r="Y33" s="54" t="str">
        <f t="shared" si="4"/>
        <v/>
      </c>
      <c r="Z33" s="55" t="str">
        <f t="shared" si="2"/>
        <v/>
      </c>
      <c r="AA33" s="54" t="str">
        <f t="shared" si="5"/>
        <v/>
      </c>
      <c r="AB33" s="55" t="str">
        <f>IFERROR(IF(AND(Q32="Impacto",Q33="Impacto"),(AB32-(+AB32*T33)),IF(AND(Q32="Probabilidad",Q33="Impacto"),(AB31-(+AB31*T33)),IF(Q33="Probabilidad",AB32,""))),"")</f>
        <v/>
      </c>
      <c r="AC33" s="56" t="str">
        <f t="shared" si="3"/>
        <v/>
      </c>
      <c r="AD33" s="57"/>
      <c r="AE33" s="58"/>
      <c r="AF33" s="5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47">
        <v>5</v>
      </c>
      <c r="B34" s="250"/>
      <c r="C34" s="250" t="s">
        <v>253</v>
      </c>
      <c r="D34" s="250" t="s">
        <v>254</v>
      </c>
      <c r="E34" s="253"/>
      <c r="F34" s="250"/>
      <c r="G34" s="256"/>
      <c r="H34" s="259" t="str">
        <f>IF(G34&lt;=0,"",IF(G34&lt;=2,"Muy Baja",IF(G34&lt;=24,"Baja",IF(G34&lt;=500,"Media",IF(G34&lt;=5000,"Alta","Muy Alta")))))</f>
        <v/>
      </c>
      <c r="I34" s="241" t="str">
        <f>IF(H34="","",IF(H34="Muy Baja",0.2,IF(H34="Baja",0.4,IF(H34="Media",0.6,IF(H34="Alta",0.8,IF(H34="Muy Alta",1,))))))</f>
        <v/>
      </c>
      <c r="J34" s="262"/>
      <c r="K34" s="241">
        <f>IF(NOT(ISERROR(MATCH(J34,'Tabla Impacto'!$B$221:$B$223,0))),'Tabla Impacto'!$F$223&amp;"Por favor no seleccionar los criterios de impacto(Afectación Económica o presupuestal y Pérdida Reputacional)",J34)</f>
        <v>0</v>
      </c>
      <c r="L34" s="259" t="str">
        <f>IF(OR(K34='Tabla Impacto'!$C$11,K34='Tabla Impacto'!$D$11),"Leve",IF(OR(K34='Tabla Impacto'!$C$12,K34='Tabla Impacto'!$D$12),"Menor",IF(OR(K34='Tabla Impacto'!$C$13,K34='Tabla Impacto'!$D$13),"Moderado",IF(OR(K34='Tabla Impacto'!$C$14,K34='Tabla Impacto'!$D$14),"Mayor",IF(OR(K34='Tabla Impacto'!$C$15,K34='Tabla Impacto'!$D$15),"Catastrófico","")))))</f>
        <v/>
      </c>
      <c r="M34" s="241" t="str">
        <f>IF(L34="","",IF(L34="Leve",0.2,IF(L34="Menor",0.4,IF(L34="Moderado",0.6,IF(L34="Mayor",0.8,IF(L34="Catastrófico",1,))))))</f>
        <v/>
      </c>
      <c r="N34" s="244"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6">
        <v>1</v>
      </c>
      <c r="P34" s="49"/>
      <c r="Q34" s="51" t="str">
        <f t="shared" si="0"/>
        <v/>
      </c>
      <c r="R34" s="52"/>
      <c r="S34" s="52"/>
      <c r="T34" s="53" t="str">
        <f t="shared" si="1"/>
        <v/>
      </c>
      <c r="U34" s="52"/>
      <c r="V34" s="52"/>
      <c r="W34" s="52"/>
      <c r="X34" s="24" t="str">
        <f>IFERROR(IF(Q34="Probabilidad",(I34-(+I34*T34)),IF(Q34="Impacto",I34,"")),"")</f>
        <v/>
      </c>
      <c r="Y34" s="54" t="str">
        <f>IFERROR(IF(X34="","",IF(X34&lt;=0.2,"Muy Baja",IF(X34&lt;=0.4,"Baja",IF(X34&lt;=0.6,"Media",IF(X34&lt;=0.8,"Alta","Muy Alta"))))),"")</f>
        <v/>
      </c>
      <c r="Z34" s="55" t="str">
        <f t="shared" si="2"/>
        <v/>
      </c>
      <c r="AA34" s="54" t="str">
        <f>IFERROR(IF(AB34="","",IF(AB34&lt;=0.2,"Leve",IF(AB34&lt;=0.4,"Menor",IF(AB34&lt;=0.6,"Moderado",IF(AB34&lt;=0.8,"Mayor","Catastrófico"))))),"")</f>
        <v/>
      </c>
      <c r="AB34" s="55" t="str">
        <f>IFERROR(IF(Q34="Impacto",(M34-(+M34*T34)),IF(Q34="Probabilidad",M34,"")),"")</f>
        <v/>
      </c>
      <c r="AC34" s="56" t="str">
        <f t="shared" si="3"/>
        <v/>
      </c>
      <c r="AD34" s="57"/>
      <c r="AE34" s="58"/>
      <c r="AF34" s="58"/>
      <c r="AG34" s="59"/>
      <c r="AH34" s="59"/>
      <c r="AI34" s="58"/>
      <c r="AJ34" s="4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48"/>
      <c r="B35" s="251"/>
      <c r="C35" s="251"/>
      <c r="D35" s="251"/>
      <c r="E35" s="254"/>
      <c r="F35" s="251"/>
      <c r="G35" s="257"/>
      <c r="H35" s="260"/>
      <c r="I35" s="242"/>
      <c r="J35" s="263"/>
      <c r="K35" s="242">
        <f>IF(NOT(ISERROR(MATCH(J35,_xlfn.ANCHORARRAY(E46),0))),I48&amp;"Por favor no seleccionar los criterios de impacto",J35)</f>
        <v>0</v>
      </c>
      <c r="L35" s="260"/>
      <c r="M35" s="242"/>
      <c r="N35" s="245"/>
      <c r="O35" s="6">
        <v>2</v>
      </c>
      <c r="P35" s="49"/>
      <c r="Q35" s="51" t="str">
        <f t="shared" si="0"/>
        <v/>
      </c>
      <c r="R35" s="52"/>
      <c r="S35" s="52"/>
      <c r="T35" s="53" t="str">
        <f t="shared" si="1"/>
        <v/>
      </c>
      <c r="U35" s="52"/>
      <c r="V35" s="52"/>
      <c r="W35" s="52"/>
      <c r="X35" s="24" t="str">
        <f>IFERROR(IF(AND(Q34="Probabilidad",Q35="Probabilidad"),(Z34-(+Z34*T35)),IF(Q35="Probabilidad",(I34-(+I34*T35)),IF(Q35="Impacto",Z34,""))),"")</f>
        <v/>
      </c>
      <c r="Y35" s="54" t="str">
        <f t="shared" si="4"/>
        <v/>
      </c>
      <c r="Z35" s="55" t="str">
        <f t="shared" si="2"/>
        <v/>
      </c>
      <c r="AA35" s="54" t="str">
        <f t="shared" si="5"/>
        <v/>
      </c>
      <c r="AB35" s="55" t="str">
        <f>IFERROR(IF(AND(Q34="Impacto",Q35="Impacto"),(AB28-(+AB28*T35)),IF(Q35="Impacto",($M$34-(+$M$34*T35)),IF(Q35="Probabilidad",AB28,""))),"")</f>
        <v/>
      </c>
      <c r="AC35" s="56" t="str">
        <f t="shared" si="3"/>
        <v/>
      </c>
      <c r="AD35" s="57"/>
      <c r="AE35" s="58"/>
      <c r="AF35" s="58"/>
      <c r="AG35" s="59"/>
      <c r="AH35" s="59"/>
      <c r="AI35" s="58"/>
      <c r="AJ35" s="4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48"/>
      <c r="B36" s="251"/>
      <c r="C36" s="251"/>
      <c r="D36" s="251"/>
      <c r="E36" s="254"/>
      <c r="F36" s="251"/>
      <c r="G36" s="257"/>
      <c r="H36" s="260"/>
      <c r="I36" s="242"/>
      <c r="J36" s="263"/>
      <c r="K36" s="242">
        <f>IF(NOT(ISERROR(MATCH(J36,_xlfn.ANCHORARRAY(E47),0))),I49&amp;"Por favor no seleccionar los criterios de impacto",J36)</f>
        <v>0</v>
      </c>
      <c r="L36" s="260"/>
      <c r="M36" s="242"/>
      <c r="N36" s="245"/>
      <c r="O36" s="6">
        <v>3</v>
      </c>
      <c r="P36" s="49"/>
      <c r="Q36" s="51" t="str">
        <f t="shared" si="0"/>
        <v/>
      </c>
      <c r="R36" s="52"/>
      <c r="S36" s="52"/>
      <c r="T36" s="53" t="str">
        <f t="shared" si="1"/>
        <v/>
      </c>
      <c r="U36" s="52"/>
      <c r="V36" s="52"/>
      <c r="W36" s="52"/>
      <c r="X36" s="24" t="str">
        <f>IFERROR(IF(AND(Q35="Probabilidad",Q36="Probabilidad"),(Z35-(+Z35*T36)),IF(AND(Q35="Impacto",Q36="Probabilidad"),(Z34-(+Z34*T36)),IF(Q36="Impacto",Z35,""))),"")</f>
        <v/>
      </c>
      <c r="Y36" s="54" t="str">
        <f t="shared" si="4"/>
        <v/>
      </c>
      <c r="Z36" s="55" t="str">
        <f t="shared" si="2"/>
        <v/>
      </c>
      <c r="AA36" s="54" t="str">
        <f t="shared" si="5"/>
        <v/>
      </c>
      <c r="AB36" s="55" t="str">
        <f>IFERROR(IF(AND(Q35="Impacto",Q36="Impacto"),(AB35-(+AB35*T36)),IF(AND(Q35="Probabilidad",Q36="Impacto"),(AB34-(+AB34*T36)),IF(Q36="Probabilidad",AB35,""))),"")</f>
        <v/>
      </c>
      <c r="AC36" s="56" t="str">
        <f t="shared" si="3"/>
        <v/>
      </c>
      <c r="AD36" s="57"/>
      <c r="AE36" s="58"/>
      <c r="AF36" s="58"/>
      <c r="AG36" s="59"/>
      <c r="AH36" s="59"/>
      <c r="AI36" s="58"/>
      <c r="AJ36" s="4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48"/>
      <c r="B37" s="251"/>
      <c r="C37" s="251"/>
      <c r="D37" s="251"/>
      <c r="E37" s="254"/>
      <c r="F37" s="251"/>
      <c r="G37" s="257"/>
      <c r="H37" s="260"/>
      <c r="I37" s="242"/>
      <c r="J37" s="263"/>
      <c r="K37" s="242">
        <f>IF(NOT(ISERROR(MATCH(J37,_xlfn.ANCHORARRAY(E48),0))),I50&amp;"Por favor no seleccionar los criterios de impacto",J37)</f>
        <v>0</v>
      </c>
      <c r="L37" s="260"/>
      <c r="M37" s="242"/>
      <c r="N37" s="245"/>
      <c r="O37" s="6">
        <v>4</v>
      </c>
      <c r="P37" s="49"/>
      <c r="Q37" s="51" t="str">
        <f t="shared" si="0"/>
        <v/>
      </c>
      <c r="R37" s="52"/>
      <c r="S37" s="52"/>
      <c r="T37" s="53" t="str">
        <f t="shared" si="1"/>
        <v/>
      </c>
      <c r="U37" s="52"/>
      <c r="V37" s="52"/>
      <c r="W37" s="52"/>
      <c r="X37" s="24" t="str">
        <f>IFERROR(IF(AND(Q36="Probabilidad",Q37="Probabilidad"),(Z36-(+Z36*T37)),IF(AND(Q36="Impacto",Q37="Probabilidad"),(Z35-(+Z35*T37)),IF(Q37="Impacto",Z36,""))),"")</f>
        <v/>
      </c>
      <c r="Y37" s="54" t="str">
        <f t="shared" si="4"/>
        <v/>
      </c>
      <c r="Z37" s="55" t="str">
        <f t="shared" si="2"/>
        <v/>
      </c>
      <c r="AA37" s="54" t="str">
        <f t="shared" si="5"/>
        <v/>
      </c>
      <c r="AB37" s="55" t="str">
        <f>IFERROR(IF(AND(Q36="Impacto",Q37="Impacto"),(AB36-(+AB36*T37)),IF(AND(Q36="Probabilidad",Q37="Impacto"),(AB35-(+AB35*T37)),IF(Q37="Probabilidad",AB36,""))),"")</f>
        <v/>
      </c>
      <c r="AC37" s="56" t="str">
        <f t="shared" si="3"/>
        <v/>
      </c>
      <c r="AD37" s="57"/>
      <c r="AE37" s="58"/>
      <c r="AF37" s="5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48"/>
      <c r="B38" s="251"/>
      <c r="C38" s="251"/>
      <c r="D38" s="251"/>
      <c r="E38" s="254"/>
      <c r="F38" s="251"/>
      <c r="G38" s="257"/>
      <c r="H38" s="260"/>
      <c r="I38" s="242"/>
      <c r="J38" s="263"/>
      <c r="K38" s="242">
        <f>IF(NOT(ISERROR(MATCH(J38,_xlfn.ANCHORARRAY(E49),0))),I51&amp;"Por favor no seleccionar los criterios de impacto",J38)</f>
        <v>0</v>
      </c>
      <c r="L38" s="260"/>
      <c r="M38" s="242"/>
      <c r="N38" s="245"/>
      <c r="O38" s="6">
        <v>5</v>
      </c>
      <c r="P38" s="49"/>
      <c r="Q38" s="51" t="str">
        <f t="shared" si="0"/>
        <v/>
      </c>
      <c r="R38" s="52"/>
      <c r="S38" s="52"/>
      <c r="T38" s="53" t="str">
        <f t="shared" si="1"/>
        <v/>
      </c>
      <c r="U38" s="52"/>
      <c r="V38" s="52"/>
      <c r="W38" s="52"/>
      <c r="X38" s="24" t="str">
        <f>IFERROR(IF(AND(Q37="Probabilidad",Q38="Probabilidad"),(Z37-(+Z37*T38)),IF(AND(Q37="Impacto",Q38="Probabilidad"),(Z36-(+Z36*T38)),IF(Q38="Impacto",Z37,""))),"")</f>
        <v/>
      </c>
      <c r="Y38" s="54" t="str">
        <f t="shared" si="4"/>
        <v/>
      </c>
      <c r="Z38" s="55" t="str">
        <f t="shared" si="2"/>
        <v/>
      </c>
      <c r="AA38" s="54" t="str">
        <f t="shared" si="5"/>
        <v/>
      </c>
      <c r="AB38" s="55" t="str">
        <f>IFERROR(IF(AND(Q37="Impacto",Q38="Impacto"),(AB37-(+AB37*T38)),IF(AND(Q37="Probabilidad",Q38="Impacto"),(AB36-(+AB36*T38)),IF(Q38="Probabilidad",AB37,""))),"")</f>
        <v/>
      </c>
      <c r="AC38" s="56" t="str">
        <f t="shared" si="3"/>
        <v/>
      </c>
      <c r="AD38" s="57"/>
      <c r="AE38" s="58"/>
      <c r="AF38" s="5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49"/>
      <c r="B39" s="252"/>
      <c r="C39" s="252"/>
      <c r="D39" s="252"/>
      <c r="E39" s="255"/>
      <c r="F39" s="252"/>
      <c r="G39" s="258"/>
      <c r="H39" s="261"/>
      <c r="I39" s="243"/>
      <c r="J39" s="264"/>
      <c r="K39" s="243">
        <f>IF(NOT(ISERROR(MATCH(J39,_xlfn.ANCHORARRAY(E50),0))),I52&amp;"Por favor no seleccionar los criterios de impacto",J39)</f>
        <v>0</v>
      </c>
      <c r="L39" s="261"/>
      <c r="M39" s="243"/>
      <c r="N39" s="246"/>
      <c r="O39" s="6">
        <v>6</v>
      </c>
      <c r="P39" s="49"/>
      <c r="Q39" s="51" t="str">
        <f t="shared" si="0"/>
        <v/>
      </c>
      <c r="R39" s="52"/>
      <c r="S39" s="52"/>
      <c r="T39" s="53" t="str">
        <f t="shared" si="1"/>
        <v/>
      </c>
      <c r="U39" s="52"/>
      <c r="V39" s="52"/>
      <c r="W39" s="52"/>
      <c r="X39" s="24" t="str">
        <f>IFERROR(IF(AND(Q38="Probabilidad",Q39="Probabilidad"),(Z38-(+Z38*T39)),IF(AND(Q38="Impacto",Q39="Probabilidad"),(Z37-(+Z37*T39)),IF(Q39="Impacto",Z38,""))),"")</f>
        <v/>
      </c>
      <c r="Y39" s="54" t="str">
        <f t="shared" si="4"/>
        <v/>
      </c>
      <c r="Z39" s="55" t="str">
        <f t="shared" si="2"/>
        <v/>
      </c>
      <c r="AA39" s="54" t="str">
        <f t="shared" si="5"/>
        <v/>
      </c>
      <c r="AB39" s="55" t="str">
        <f>IFERROR(IF(AND(Q38="Impacto",Q39="Impacto"),(AB38-(+AB38*T39)),IF(AND(Q38="Probabilidad",Q39="Impacto"),(AB37-(+AB37*T39)),IF(Q39="Probabilidad",AB38,""))),"")</f>
        <v/>
      </c>
      <c r="AC39" s="56" t="str">
        <f t="shared" si="3"/>
        <v/>
      </c>
      <c r="AD39" s="57"/>
      <c r="AE39" s="58"/>
      <c r="AF39" s="5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47">
        <v>6</v>
      </c>
      <c r="B40" s="250"/>
      <c r="C40" s="250"/>
      <c r="D40" s="265"/>
      <c r="E40" s="253"/>
      <c r="F40" s="250"/>
      <c r="G40" s="256"/>
      <c r="H40" s="259" t="str">
        <f>IF(G40&lt;=0,"",IF(G40&lt;=2,"Muy Baja",IF(G40&lt;=24,"Baja",IF(G40&lt;=500,"Media",IF(G40&lt;=5000,"Alta","Muy Alta")))))</f>
        <v/>
      </c>
      <c r="I40" s="241" t="str">
        <f>IF(H40="","",IF(H40="Muy Baja",0.2,IF(H40="Baja",0.4,IF(H40="Media",0.6,IF(H40="Alta",0.8,IF(H40="Muy Alta",1,))))))</f>
        <v/>
      </c>
      <c r="J40" s="262"/>
      <c r="K40" s="241">
        <f>IF(NOT(ISERROR(MATCH(J40,'Tabla Impacto'!$B$221:$B$223,0))),'Tabla Impacto'!$F$223&amp;"Por favor no seleccionar los criterios de impacto(Afectación Económica o presupuestal y Pérdida Reputacional)",J40)</f>
        <v>0</v>
      </c>
      <c r="L40" s="259" t="str">
        <f>IF(OR(K40='Tabla Impacto'!$C$11,K40='Tabla Impacto'!$D$11),"Leve",IF(OR(K40='Tabla Impacto'!$C$12,K40='Tabla Impacto'!$D$12),"Menor",IF(OR(K40='Tabla Impacto'!$C$13,K40='Tabla Impacto'!$D$13),"Moderado",IF(OR(K40='Tabla Impacto'!$C$14,K40='Tabla Impacto'!$D$14),"Mayor",IF(OR(K40='Tabla Impacto'!$C$15,K40='Tabla Impacto'!$D$15),"Catastrófico","")))))</f>
        <v/>
      </c>
      <c r="M40" s="241" t="str">
        <f>IF(L40="","",IF(L40="Leve",0.2,IF(L40="Menor",0.4,IF(L40="Moderado",0.6,IF(L40="Mayor",0.8,IF(L40="Catastrófico",1,))))))</f>
        <v/>
      </c>
      <c r="N40" s="244"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
        <v>1</v>
      </c>
      <c r="P40" s="49"/>
      <c r="Q40" s="51" t="str">
        <f t="shared" si="0"/>
        <v/>
      </c>
      <c r="R40" s="52"/>
      <c r="S40" s="52"/>
      <c r="T40" s="53" t="str">
        <f t="shared" si="1"/>
        <v/>
      </c>
      <c r="U40" s="52"/>
      <c r="V40" s="52"/>
      <c r="W40" s="52"/>
      <c r="X40" s="24" t="str">
        <f>IFERROR(IF(Q40="Probabilidad",(I40-(+I40*T40)),IF(Q40="Impacto",I40,"")),"")</f>
        <v/>
      </c>
      <c r="Y40" s="54" t="str">
        <f>IFERROR(IF(X40="","",IF(X40&lt;=0.2,"Muy Baja",IF(X40&lt;=0.4,"Baja",IF(X40&lt;=0.6,"Media",IF(X40&lt;=0.8,"Alta","Muy Alta"))))),"")</f>
        <v/>
      </c>
      <c r="Z40" s="55" t="str">
        <f t="shared" si="2"/>
        <v/>
      </c>
      <c r="AA40" s="54" t="str">
        <f>IFERROR(IF(AB40="","",IF(AB40&lt;=0.2,"Leve",IF(AB40&lt;=0.4,"Menor",IF(AB40&lt;=0.6,"Moderado",IF(AB40&lt;=0.8,"Mayor","Catastrófico"))))),"")</f>
        <v/>
      </c>
      <c r="AB40" s="55" t="str">
        <f>IFERROR(IF(Q40="Impacto",(M40-(+M40*T40)),IF(Q40="Probabilidad",M40,"")),"")</f>
        <v/>
      </c>
      <c r="AC40" s="56" t="str">
        <f t="shared" si="3"/>
        <v/>
      </c>
      <c r="AD40" s="57"/>
      <c r="AE40" s="58"/>
      <c r="AF40" s="5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48"/>
      <c r="B41" s="251"/>
      <c r="C41" s="251"/>
      <c r="D41" s="251"/>
      <c r="E41" s="254"/>
      <c r="F41" s="251"/>
      <c r="G41" s="257"/>
      <c r="H41" s="260"/>
      <c r="I41" s="242"/>
      <c r="J41" s="263"/>
      <c r="K41" s="242">
        <f>IF(NOT(ISERROR(MATCH(J41,_xlfn.ANCHORARRAY(E52),0))),I54&amp;"Por favor no seleccionar los criterios de impacto",J41)</f>
        <v>0</v>
      </c>
      <c r="L41" s="260"/>
      <c r="M41" s="242"/>
      <c r="N41" s="245"/>
      <c r="O41" s="6">
        <v>2</v>
      </c>
      <c r="P41" s="49"/>
      <c r="Q41" s="51" t="str">
        <f t="shared" si="0"/>
        <v/>
      </c>
      <c r="R41" s="52"/>
      <c r="S41" s="52"/>
      <c r="T41" s="53" t="str">
        <f t="shared" si="1"/>
        <v/>
      </c>
      <c r="U41" s="52"/>
      <c r="V41" s="52"/>
      <c r="W41" s="52"/>
      <c r="X41" s="24" t="str">
        <f>IFERROR(IF(AND(Q40="Probabilidad",Q41="Probabilidad"),(Z40-(+Z40*T41)),IF(Q41="Probabilidad",(I40-(+I40*T41)),IF(Q41="Impacto",Z40,""))),"")</f>
        <v/>
      </c>
      <c r="Y41" s="54" t="str">
        <f t="shared" si="4"/>
        <v/>
      </c>
      <c r="Z41" s="55" t="str">
        <f t="shared" si="2"/>
        <v/>
      </c>
      <c r="AA41" s="54" t="str">
        <f t="shared" si="5"/>
        <v/>
      </c>
      <c r="AB41" s="55" t="str">
        <f>IFERROR(IF(AND(Q40="Impacto",Q41="Impacto"),(AB34-(+AB34*T41)),IF(Q41="Impacto",($M$40-(+$M$40*T41)),IF(Q41="Probabilidad",AB34,""))),"")</f>
        <v/>
      </c>
      <c r="AC41" s="56" t="str">
        <f t="shared" si="3"/>
        <v/>
      </c>
      <c r="AD41" s="57"/>
      <c r="AE41" s="58"/>
      <c r="AF41" s="5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48"/>
      <c r="B42" s="251"/>
      <c r="C42" s="251"/>
      <c r="D42" s="251"/>
      <c r="E42" s="254"/>
      <c r="F42" s="251"/>
      <c r="G42" s="257"/>
      <c r="H42" s="260"/>
      <c r="I42" s="242"/>
      <c r="J42" s="263"/>
      <c r="K42" s="242">
        <f>IF(NOT(ISERROR(MATCH(J42,_xlfn.ANCHORARRAY(E53),0))),I55&amp;"Por favor no seleccionar los criterios de impacto",J42)</f>
        <v>0</v>
      </c>
      <c r="L42" s="260"/>
      <c r="M42" s="242"/>
      <c r="N42" s="245"/>
      <c r="O42" s="6">
        <v>3</v>
      </c>
      <c r="P42" s="50"/>
      <c r="Q42" s="51" t="str">
        <f t="shared" ref="Q42:Q69" si="6">IF(OR(R42="Preventivo",R42="Detectivo"),"Probabilidad",IF(R42="Correctivo","Impacto",""))</f>
        <v/>
      </c>
      <c r="R42" s="52"/>
      <c r="S42" s="52"/>
      <c r="T42" s="53" t="str">
        <f t="shared" ref="T42:T69" si="7">IF(AND(R42="Preventivo",S42="Automático"),"50%",IF(AND(R42="Preventivo",S42="Manual"),"40%",IF(AND(R42="Detectivo",S42="Automático"),"40%",IF(AND(R42="Detectivo",S42="Manual"),"30%",IF(AND(R42="Correctivo",S42="Automático"),"35%",IF(AND(R42="Correctivo",S42="Manual"),"25%",""))))))</f>
        <v/>
      </c>
      <c r="U42" s="52"/>
      <c r="V42" s="52"/>
      <c r="W42" s="52"/>
      <c r="X42" s="24" t="str">
        <f>IFERROR(IF(AND(Q41="Probabilidad",Q42="Probabilidad"),(Z41-(+Z41*T42)),IF(AND(Q41="Impacto",Q42="Probabilidad"),(Z40-(+Z40*T42)),IF(Q42="Impacto",Z41,""))),"")</f>
        <v/>
      </c>
      <c r="Y42" s="54" t="str">
        <f t="shared" si="4"/>
        <v/>
      </c>
      <c r="Z42" s="55" t="str">
        <f t="shared" ref="Z42:Z69" si="8">+X42</f>
        <v/>
      </c>
      <c r="AA42" s="54" t="str">
        <f t="shared" si="5"/>
        <v/>
      </c>
      <c r="AB42" s="55" t="str">
        <f>IFERROR(IF(AND(Q41="Impacto",Q42="Impacto"),(AB41-(+AB41*T42)),IF(AND(Q41="Probabilidad",Q42="Impacto"),(AB40-(+AB40*T42)),IF(Q42="Probabilidad",AB41,""))),"")</f>
        <v/>
      </c>
      <c r="AC42" s="56" t="str">
        <f t="shared" ref="AC42:AC69" si="9">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57"/>
      <c r="AE42" s="58"/>
      <c r="AF42" s="5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48"/>
      <c r="B43" s="251"/>
      <c r="C43" s="251"/>
      <c r="D43" s="251"/>
      <c r="E43" s="254"/>
      <c r="F43" s="251"/>
      <c r="G43" s="257"/>
      <c r="H43" s="260"/>
      <c r="I43" s="242"/>
      <c r="J43" s="263"/>
      <c r="K43" s="242">
        <f>IF(NOT(ISERROR(MATCH(J43,_xlfn.ANCHORARRAY(E54),0))),I56&amp;"Por favor no seleccionar los criterios de impacto",J43)</f>
        <v>0</v>
      </c>
      <c r="L43" s="260"/>
      <c r="M43" s="242"/>
      <c r="N43" s="245"/>
      <c r="O43" s="6">
        <v>4</v>
      </c>
      <c r="P43" s="49"/>
      <c r="Q43" s="51" t="str">
        <f t="shared" si="6"/>
        <v/>
      </c>
      <c r="R43" s="52"/>
      <c r="S43" s="52"/>
      <c r="T43" s="53" t="str">
        <f t="shared" si="7"/>
        <v/>
      </c>
      <c r="U43" s="52"/>
      <c r="V43" s="52"/>
      <c r="W43" s="52"/>
      <c r="X43" s="24" t="str">
        <f>IFERROR(IF(AND(Q42="Probabilidad",Q43="Probabilidad"),(Z42-(+Z42*T43)),IF(AND(Q42="Impacto",Q43="Probabilidad"),(Z41-(+Z41*T43)),IF(Q43="Impacto",Z42,""))),"")</f>
        <v/>
      </c>
      <c r="Y43" s="54" t="str">
        <f t="shared" si="4"/>
        <v/>
      </c>
      <c r="Z43" s="55" t="str">
        <f t="shared" si="8"/>
        <v/>
      </c>
      <c r="AA43" s="54" t="str">
        <f t="shared" si="5"/>
        <v/>
      </c>
      <c r="AB43" s="55" t="str">
        <f>IFERROR(IF(AND(Q42="Impacto",Q43="Impacto"),(AB42-(+AB42*T43)),IF(AND(Q42="Probabilidad",Q43="Impacto"),(AB41-(+AB41*T43)),IF(Q43="Probabilidad",AB42,""))),"")</f>
        <v/>
      </c>
      <c r="AC43" s="56" t="str">
        <f t="shared" si="9"/>
        <v/>
      </c>
      <c r="AD43" s="57"/>
      <c r="AE43" s="58"/>
      <c r="AF43" s="5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48"/>
      <c r="B44" s="251"/>
      <c r="C44" s="251"/>
      <c r="D44" s="251"/>
      <c r="E44" s="254"/>
      <c r="F44" s="251"/>
      <c r="G44" s="257"/>
      <c r="H44" s="260"/>
      <c r="I44" s="242"/>
      <c r="J44" s="263"/>
      <c r="K44" s="242">
        <f>IF(NOT(ISERROR(MATCH(J44,_xlfn.ANCHORARRAY(E55),0))),I57&amp;"Por favor no seleccionar los criterios de impacto",J44)</f>
        <v>0</v>
      </c>
      <c r="L44" s="260"/>
      <c r="M44" s="242"/>
      <c r="N44" s="245"/>
      <c r="O44" s="6">
        <v>5</v>
      </c>
      <c r="P44" s="49"/>
      <c r="Q44" s="51" t="str">
        <f t="shared" si="6"/>
        <v/>
      </c>
      <c r="R44" s="52"/>
      <c r="S44" s="52"/>
      <c r="T44" s="53" t="str">
        <f t="shared" si="7"/>
        <v/>
      </c>
      <c r="U44" s="52"/>
      <c r="V44" s="52"/>
      <c r="W44" s="52"/>
      <c r="X44" s="24" t="str">
        <f>IFERROR(IF(AND(Q43="Probabilidad",Q44="Probabilidad"),(Z43-(+Z43*T44)),IF(AND(Q43="Impacto",Q44="Probabilidad"),(Z42-(+Z42*T44)),IF(Q44="Impacto",Z43,""))),"")</f>
        <v/>
      </c>
      <c r="Y44" s="54" t="str">
        <f t="shared" si="4"/>
        <v/>
      </c>
      <c r="Z44" s="55" t="str">
        <f t="shared" si="8"/>
        <v/>
      </c>
      <c r="AA44" s="54" t="str">
        <f t="shared" si="5"/>
        <v/>
      </c>
      <c r="AB44" s="55" t="str">
        <f>IFERROR(IF(AND(Q43="Impacto",Q44="Impacto"),(AB43-(+AB43*T44)),IF(AND(Q43="Probabilidad",Q44="Impacto"),(AB42-(+AB42*T44)),IF(Q44="Probabilidad",AB43,""))),"")</f>
        <v/>
      </c>
      <c r="AC44" s="56" t="str">
        <f t="shared" si="9"/>
        <v/>
      </c>
      <c r="AD44" s="57"/>
      <c r="AE44" s="58"/>
      <c r="AF44" s="5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49"/>
      <c r="B45" s="252"/>
      <c r="C45" s="252"/>
      <c r="D45" s="252"/>
      <c r="E45" s="255"/>
      <c r="F45" s="252"/>
      <c r="G45" s="258"/>
      <c r="H45" s="261"/>
      <c r="I45" s="243"/>
      <c r="J45" s="264"/>
      <c r="K45" s="243">
        <f>IF(NOT(ISERROR(MATCH(J45,_xlfn.ANCHORARRAY(E56),0))),I58&amp;"Por favor no seleccionar los criterios de impacto",J45)</f>
        <v>0</v>
      </c>
      <c r="L45" s="261"/>
      <c r="M45" s="243"/>
      <c r="N45" s="246"/>
      <c r="O45" s="6">
        <v>6</v>
      </c>
      <c r="P45" s="49"/>
      <c r="Q45" s="51" t="str">
        <f t="shared" si="6"/>
        <v/>
      </c>
      <c r="R45" s="52"/>
      <c r="S45" s="52"/>
      <c r="T45" s="53" t="str">
        <f t="shared" si="7"/>
        <v/>
      </c>
      <c r="U45" s="52"/>
      <c r="V45" s="52"/>
      <c r="W45" s="52"/>
      <c r="X45" s="24" t="str">
        <f>IFERROR(IF(AND(Q44="Probabilidad",Q45="Probabilidad"),(Z44-(+Z44*T45)),IF(AND(Q44="Impacto",Q45="Probabilidad"),(Z43-(+Z43*T45)),IF(Q45="Impacto",Z44,""))),"")</f>
        <v/>
      </c>
      <c r="Y45" s="54" t="str">
        <f t="shared" si="4"/>
        <v/>
      </c>
      <c r="Z45" s="55" t="str">
        <f t="shared" si="8"/>
        <v/>
      </c>
      <c r="AA45" s="54" t="str">
        <f>IFERROR(IF(AB45="","",IF(AB45&lt;=0.2,"Leve",IF(AB45&lt;=0.4,"Menor",IF(AB45&lt;=0.6,"Moderado",IF(AB45&lt;=0.8,"Mayor","Catastrófico"))))),"")</f>
        <v/>
      </c>
      <c r="AB45" s="55" t="str">
        <f>IFERROR(IF(AND(Q44="Impacto",Q45="Impacto"),(AB44-(+AB44*T45)),IF(AND(Q44="Probabilidad",Q45="Impacto"),(AB43-(+AB43*T45)),IF(Q45="Probabilidad",AB44,""))),"")</f>
        <v/>
      </c>
      <c r="AC45" s="56" t="str">
        <f t="shared" si="9"/>
        <v/>
      </c>
      <c r="AD45" s="57"/>
      <c r="AE45" s="58"/>
      <c r="AF45" s="5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47">
        <v>7</v>
      </c>
      <c r="B46" s="250"/>
      <c r="C46" s="250"/>
      <c r="D46" s="250"/>
      <c r="E46" s="253"/>
      <c r="F46" s="250"/>
      <c r="G46" s="256"/>
      <c r="H46" s="259" t="str">
        <f>IF(G46&lt;=0,"",IF(G46&lt;=2,"Muy Baja",IF(G46&lt;=24,"Baja",IF(G46&lt;=500,"Media",IF(G46&lt;=5000,"Alta","Muy Alta")))))</f>
        <v/>
      </c>
      <c r="I46" s="241" t="str">
        <f>IF(H46="","",IF(H46="Muy Baja",0.2,IF(H46="Baja",0.4,IF(H46="Media",0.6,IF(H46="Alta",0.8,IF(H46="Muy Alta",1,))))))</f>
        <v/>
      </c>
      <c r="J46" s="262"/>
      <c r="K46" s="241">
        <f>IF(NOT(ISERROR(MATCH(J46,'Tabla Impacto'!$B$221:$B$223,0))),'Tabla Impacto'!$F$223&amp;"Por favor no seleccionar los criterios de impacto(Afectación Económica o presupuestal y Pérdida Reputacional)",J46)</f>
        <v>0</v>
      </c>
      <c r="L46" s="259" t="str">
        <f>IF(OR(K46='Tabla Impacto'!$C$11,K46='Tabla Impacto'!$D$11),"Leve",IF(OR(K46='Tabla Impacto'!$C$12,K46='Tabla Impacto'!$D$12),"Menor",IF(OR(K46='Tabla Impacto'!$C$13,K46='Tabla Impacto'!$D$13),"Moderado",IF(OR(K46='Tabla Impacto'!$C$14,K46='Tabla Impacto'!$D$14),"Mayor",IF(OR(K46='Tabla Impacto'!$C$15,K46='Tabla Impacto'!$D$15),"Catastrófico","")))))</f>
        <v/>
      </c>
      <c r="M46" s="241" t="str">
        <f>IF(L46="","",IF(L46="Leve",0.2,IF(L46="Menor",0.4,IF(L46="Moderado",0.6,IF(L46="Mayor",0.8,IF(L46="Catastrófico",1,))))))</f>
        <v/>
      </c>
      <c r="N46" s="244"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6">
        <v>1</v>
      </c>
      <c r="P46" s="49"/>
      <c r="Q46" s="51" t="str">
        <f t="shared" si="6"/>
        <v/>
      </c>
      <c r="R46" s="52"/>
      <c r="S46" s="52"/>
      <c r="T46" s="53" t="str">
        <f t="shared" si="7"/>
        <v/>
      </c>
      <c r="U46" s="52"/>
      <c r="V46" s="52"/>
      <c r="W46" s="52"/>
      <c r="X46" s="24" t="str">
        <f>IFERROR(IF(Q46="Probabilidad",(I46-(+I46*T46)),IF(Q46="Impacto",I46,"")),"")</f>
        <v/>
      </c>
      <c r="Y46" s="54" t="str">
        <f>IFERROR(IF(X46="","",IF(X46&lt;=0.2,"Muy Baja",IF(X46&lt;=0.4,"Baja",IF(X46&lt;=0.6,"Media",IF(X46&lt;=0.8,"Alta","Muy Alta"))))),"")</f>
        <v/>
      </c>
      <c r="Z46" s="55" t="str">
        <f t="shared" si="8"/>
        <v/>
      </c>
      <c r="AA46" s="54" t="str">
        <f>IFERROR(IF(AB46="","",IF(AB46&lt;=0.2,"Leve",IF(AB46&lt;=0.4,"Menor",IF(AB46&lt;=0.6,"Moderado",IF(AB46&lt;=0.8,"Mayor","Catastrófico"))))),"")</f>
        <v/>
      </c>
      <c r="AB46" s="55" t="str">
        <f>IFERROR(IF(Q46="Impacto",(M46-(+M46*T46)),IF(Q46="Probabilidad",M46,"")),"")</f>
        <v/>
      </c>
      <c r="AC46" s="56" t="str">
        <f t="shared" si="9"/>
        <v/>
      </c>
      <c r="AD46" s="57"/>
      <c r="AE46" s="58"/>
      <c r="AF46" s="58"/>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48"/>
      <c r="B47" s="251"/>
      <c r="C47" s="251"/>
      <c r="D47" s="251"/>
      <c r="E47" s="254"/>
      <c r="F47" s="251"/>
      <c r="G47" s="257"/>
      <c r="H47" s="260"/>
      <c r="I47" s="242"/>
      <c r="J47" s="263"/>
      <c r="K47" s="242">
        <f>IF(NOT(ISERROR(MATCH(J47,_xlfn.ANCHORARRAY(E58),0))),I60&amp;"Por favor no seleccionar los criterios de impacto",J47)</f>
        <v>0</v>
      </c>
      <c r="L47" s="260"/>
      <c r="M47" s="242"/>
      <c r="N47" s="245"/>
      <c r="O47" s="6">
        <v>2</v>
      </c>
      <c r="P47" s="49"/>
      <c r="Q47" s="51" t="str">
        <f t="shared" si="6"/>
        <v/>
      </c>
      <c r="R47" s="52"/>
      <c r="S47" s="52"/>
      <c r="T47" s="53" t="str">
        <f t="shared" si="7"/>
        <v/>
      </c>
      <c r="U47" s="52"/>
      <c r="V47" s="52"/>
      <c r="W47" s="52"/>
      <c r="X47" s="24" t="str">
        <f>IFERROR(IF(AND(Q46="Probabilidad",Q47="Probabilidad"),(Z46-(+Z46*T47)),IF(Q47="Probabilidad",(I46-(+I46*T47)),IF(Q47="Impacto",Z46,""))),"")</f>
        <v/>
      </c>
      <c r="Y47" s="54" t="str">
        <f t="shared" si="4"/>
        <v/>
      </c>
      <c r="Z47" s="55" t="str">
        <f t="shared" si="8"/>
        <v/>
      </c>
      <c r="AA47" s="54" t="str">
        <f t="shared" si="5"/>
        <v/>
      </c>
      <c r="AB47" s="55" t="str">
        <f>IFERROR(IF(AND(Q46="Impacto",Q47="Impacto"),(AB40-(+AB40*T47)),IF(Q47="Impacto",($M$46-(+$M$46*T47)),IF(Q47="Probabilidad",AB40,""))),"")</f>
        <v/>
      </c>
      <c r="AC47" s="56" t="str">
        <f t="shared" si="9"/>
        <v/>
      </c>
      <c r="AD47" s="57"/>
      <c r="AE47" s="58"/>
      <c r="AF47" s="58"/>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48"/>
      <c r="B48" s="251"/>
      <c r="C48" s="251"/>
      <c r="D48" s="251"/>
      <c r="E48" s="254"/>
      <c r="F48" s="251"/>
      <c r="G48" s="257"/>
      <c r="H48" s="260"/>
      <c r="I48" s="242"/>
      <c r="J48" s="263"/>
      <c r="K48" s="242">
        <f>IF(NOT(ISERROR(MATCH(J48,_xlfn.ANCHORARRAY(E59),0))),I61&amp;"Por favor no seleccionar los criterios de impacto",J48)</f>
        <v>0</v>
      </c>
      <c r="L48" s="260"/>
      <c r="M48" s="242"/>
      <c r="N48" s="245"/>
      <c r="O48" s="6">
        <v>3</v>
      </c>
      <c r="P48" s="50"/>
      <c r="Q48" s="51" t="str">
        <f t="shared" si="6"/>
        <v/>
      </c>
      <c r="R48" s="52"/>
      <c r="S48" s="52"/>
      <c r="T48" s="53" t="str">
        <f t="shared" si="7"/>
        <v/>
      </c>
      <c r="U48" s="52"/>
      <c r="V48" s="52"/>
      <c r="W48" s="52"/>
      <c r="X48" s="24" t="str">
        <f>IFERROR(IF(AND(Q47="Probabilidad",Q48="Probabilidad"),(Z47-(+Z47*T48)),IF(AND(Q47="Impacto",Q48="Probabilidad"),(Z46-(+Z46*T48)),IF(Q48="Impacto",Z47,""))),"")</f>
        <v/>
      </c>
      <c r="Y48" s="54" t="str">
        <f t="shared" si="4"/>
        <v/>
      </c>
      <c r="Z48" s="55" t="str">
        <f t="shared" si="8"/>
        <v/>
      </c>
      <c r="AA48" s="54" t="str">
        <f t="shared" si="5"/>
        <v/>
      </c>
      <c r="AB48" s="55" t="str">
        <f>IFERROR(IF(AND(Q47="Impacto",Q48="Impacto"),(AB47-(+AB47*T48)),IF(AND(Q47="Probabilidad",Q48="Impacto"),(AB46-(+AB46*T48)),IF(Q48="Probabilidad",AB47,""))),"")</f>
        <v/>
      </c>
      <c r="AC48" s="56" t="str">
        <f t="shared" si="9"/>
        <v/>
      </c>
      <c r="AD48" s="57"/>
      <c r="AE48" s="58"/>
      <c r="AF48" s="58"/>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48"/>
      <c r="B49" s="251"/>
      <c r="C49" s="251"/>
      <c r="D49" s="251"/>
      <c r="E49" s="254"/>
      <c r="F49" s="251"/>
      <c r="G49" s="257"/>
      <c r="H49" s="260"/>
      <c r="I49" s="242"/>
      <c r="J49" s="263"/>
      <c r="K49" s="242">
        <f>IF(NOT(ISERROR(MATCH(J49,_xlfn.ANCHORARRAY(E60),0))),I62&amp;"Por favor no seleccionar los criterios de impacto",J49)</f>
        <v>0</v>
      </c>
      <c r="L49" s="260"/>
      <c r="M49" s="242"/>
      <c r="N49" s="245"/>
      <c r="O49" s="6">
        <v>4</v>
      </c>
      <c r="P49" s="49"/>
      <c r="Q49" s="51" t="str">
        <f t="shared" si="6"/>
        <v/>
      </c>
      <c r="R49" s="52"/>
      <c r="S49" s="52"/>
      <c r="T49" s="53" t="str">
        <f t="shared" si="7"/>
        <v/>
      </c>
      <c r="U49" s="52"/>
      <c r="V49" s="52"/>
      <c r="W49" s="52"/>
      <c r="X49" s="24" t="str">
        <f>IFERROR(IF(AND(Q48="Probabilidad",Q49="Probabilidad"),(Z48-(+Z48*T49)),IF(AND(Q48="Impacto",Q49="Probabilidad"),(Z47-(+Z47*T49)),IF(Q49="Impacto",Z48,""))),"")</f>
        <v/>
      </c>
      <c r="Y49" s="54" t="str">
        <f t="shared" si="4"/>
        <v/>
      </c>
      <c r="Z49" s="55" t="str">
        <f t="shared" si="8"/>
        <v/>
      </c>
      <c r="AA49" s="54" t="str">
        <f t="shared" si="5"/>
        <v/>
      </c>
      <c r="AB49" s="55" t="str">
        <f>IFERROR(IF(AND(Q48="Impacto",Q49="Impacto"),(AB48-(+AB48*T49)),IF(AND(Q48="Probabilidad",Q49="Impacto"),(AB47-(+AB47*T49)),IF(Q49="Probabilidad",AB48,""))),"")</f>
        <v/>
      </c>
      <c r="AC49" s="56" t="str">
        <f t="shared" si="9"/>
        <v/>
      </c>
      <c r="AD49" s="57"/>
      <c r="AE49" s="58"/>
      <c r="AF49" s="5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48"/>
      <c r="B50" s="251"/>
      <c r="C50" s="251"/>
      <c r="D50" s="251"/>
      <c r="E50" s="254"/>
      <c r="F50" s="251"/>
      <c r="G50" s="257"/>
      <c r="H50" s="260"/>
      <c r="I50" s="242"/>
      <c r="J50" s="263"/>
      <c r="K50" s="242">
        <f>IF(NOT(ISERROR(MATCH(J50,_xlfn.ANCHORARRAY(E61),0))),I63&amp;"Por favor no seleccionar los criterios de impacto",J50)</f>
        <v>0</v>
      </c>
      <c r="L50" s="260"/>
      <c r="M50" s="242"/>
      <c r="N50" s="245"/>
      <c r="O50" s="6">
        <v>5</v>
      </c>
      <c r="P50" s="49"/>
      <c r="Q50" s="51" t="str">
        <f t="shared" si="6"/>
        <v/>
      </c>
      <c r="R50" s="52"/>
      <c r="S50" s="52"/>
      <c r="T50" s="53" t="str">
        <f t="shared" si="7"/>
        <v/>
      </c>
      <c r="U50" s="52"/>
      <c r="V50" s="52"/>
      <c r="W50" s="52"/>
      <c r="X50" s="24" t="str">
        <f>IFERROR(IF(AND(Q49="Probabilidad",Q50="Probabilidad"),(Z49-(+Z49*T50)),IF(AND(Q49="Impacto",Q50="Probabilidad"),(Z48-(+Z48*T50)),IF(Q50="Impacto",Z49,""))),"")</f>
        <v/>
      </c>
      <c r="Y50" s="54" t="str">
        <f t="shared" si="4"/>
        <v/>
      </c>
      <c r="Z50" s="55" t="str">
        <f t="shared" si="8"/>
        <v/>
      </c>
      <c r="AA50" s="54" t="str">
        <f t="shared" si="5"/>
        <v/>
      </c>
      <c r="AB50" s="55" t="str">
        <f>IFERROR(IF(AND(Q49="Impacto",Q50="Impacto"),(AB49-(+AB49*T50)),IF(AND(Q49="Probabilidad",Q50="Impacto"),(AB48-(+AB48*T50)),IF(Q50="Probabilidad",AB49,""))),"")</f>
        <v/>
      </c>
      <c r="AC50" s="56" t="str">
        <f t="shared" si="9"/>
        <v/>
      </c>
      <c r="AD50" s="57"/>
      <c r="AE50" s="58"/>
      <c r="AF50" s="5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49"/>
      <c r="B51" s="252"/>
      <c r="C51" s="252"/>
      <c r="D51" s="252"/>
      <c r="E51" s="255"/>
      <c r="F51" s="252"/>
      <c r="G51" s="258"/>
      <c r="H51" s="261"/>
      <c r="I51" s="243"/>
      <c r="J51" s="264"/>
      <c r="K51" s="243">
        <f>IF(NOT(ISERROR(MATCH(J51,_xlfn.ANCHORARRAY(E62),0))),I64&amp;"Por favor no seleccionar los criterios de impacto",J51)</f>
        <v>0</v>
      </c>
      <c r="L51" s="261"/>
      <c r="M51" s="243"/>
      <c r="N51" s="246"/>
      <c r="O51" s="6">
        <v>6</v>
      </c>
      <c r="P51" s="49"/>
      <c r="Q51" s="51" t="str">
        <f t="shared" si="6"/>
        <v/>
      </c>
      <c r="R51" s="52"/>
      <c r="S51" s="52"/>
      <c r="T51" s="53" t="str">
        <f t="shared" si="7"/>
        <v/>
      </c>
      <c r="U51" s="52"/>
      <c r="V51" s="52"/>
      <c r="W51" s="52"/>
      <c r="X51" s="24" t="str">
        <f>IFERROR(IF(AND(Q50="Probabilidad",Q51="Probabilidad"),(Z50-(+Z50*T51)),IF(AND(Q50="Impacto",Q51="Probabilidad"),(Z49-(+Z49*T51)),IF(Q51="Impacto",Z50,""))),"")</f>
        <v/>
      </c>
      <c r="Y51" s="54" t="str">
        <f t="shared" si="4"/>
        <v/>
      </c>
      <c r="Z51" s="55" t="str">
        <f t="shared" si="8"/>
        <v/>
      </c>
      <c r="AA51" s="54" t="str">
        <f t="shared" si="5"/>
        <v/>
      </c>
      <c r="AB51" s="55" t="str">
        <f>IFERROR(IF(AND(Q50="Impacto",Q51="Impacto"),(AB50-(+AB50*T51)),IF(AND(Q50="Probabilidad",Q51="Impacto"),(AB49-(+AB49*T51)),IF(Q51="Probabilidad",AB50,""))),"")</f>
        <v/>
      </c>
      <c r="AC51" s="56" t="str">
        <f t="shared" si="9"/>
        <v/>
      </c>
      <c r="AD51" s="57"/>
      <c r="AE51" s="58"/>
      <c r="AF51" s="5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47">
        <v>8</v>
      </c>
      <c r="B52" s="250"/>
      <c r="C52" s="250"/>
      <c r="D52" s="250"/>
      <c r="E52" s="253"/>
      <c r="F52" s="250"/>
      <c r="G52" s="256"/>
      <c r="H52" s="259" t="str">
        <f>IF(G52&lt;=0,"",IF(G52&lt;=2,"Muy Baja",IF(G52&lt;=24,"Baja",IF(G52&lt;=500,"Media",IF(G52&lt;=5000,"Alta","Muy Alta")))))</f>
        <v/>
      </c>
      <c r="I52" s="241" t="str">
        <f>IF(H52="","",IF(H52="Muy Baja",0.2,IF(H52="Baja",0.4,IF(H52="Media",0.6,IF(H52="Alta",0.8,IF(H52="Muy Alta",1,))))))</f>
        <v/>
      </c>
      <c r="J52" s="262"/>
      <c r="K52" s="241">
        <f>IF(NOT(ISERROR(MATCH(J52,'Tabla Impacto'!$B$221:$B$223,0))),'Tabla Impacto'!$F$223&amp;"Por favor no seleccionar los criterios de impacto(Afectación Económica o presupuestal y Pérdida Reputacional)",J52)</f>
        <v>0</v>
      </c>
      <c r="L52" s="259" t="str">
        <f>IF(OR(K52='Tabla Impacto'!$C$11,K52='Tabla Impacto'!$D$11),"Leve",IF(OR(K52='Tabla Impacto'!$C$12,K52='Tabla Impacto'!$D$12),"Menor",IF(OR(K52='Tabla Impacto'!$C$13,K52='Tabla Impacto'!$D$13),"Moderado",IF(OR(K52='Tabla Impacto'!$C$14,K52='Tabla Impacto'!$D$14),"Mayor",IF(OR(K52='Tabla Impacto'!$C$15,K52='Tabla Impacto'!$D$15),"Catastrófico","")))))</f>
        <v/>
      </c>
      <c r="M52" s="241" t="str">
        <f>IF(L52="","",IF(L52="Leve",0.2,IF(L52="Menor",0.4,IF(L52="Moderado",0.6,IF(L52="Mayor",0.8,IF(L52="Catastrófico",1,))))))</f>
        <v/>
      </c>
      <c r="N52" s="244"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6">
        <v>1</v>
      </c>
      <c r="P52" s="49"/>
      <c r="Q52" s="51" t="str">
        <f t="shared" si="6"/>
        <v/>
      </c>
      <c r="R52" s="52"/>
      <c r="S52" s="52"/>
      <c r="T52" s="53" t="str">
        <f t="shared" si="7"/>
        <v/>
      </c>
      <c r="U52" s="52"/>
      <c r="V52" s="52"/>
      <c r="W52" s="52"/>
      <c r="X52" s="24" t="str">
        <f>IFERROR(IF(Q52="Probabilidad",(I52-(+I52*T52)),IF(Q52="Impacto",I52,"")),"")</f>
        <v/>
      </c>
      <c r="Y52" s="54" t="str">
        <f>IFERROR(IF(X52="","",IF(X52&lt;=0.2,"Muy Baja",IF(X52&lt;=0.4,"Baja",IF(X52&lt;=0.6,"Media",IF(X52&lt;=0.8,"Alta","Muy Alta"))))),"")</f>
        <v/>
      </c>
      <c r="Z52" s="55" t="str">
        <f t="shared" si="8"/>
        <v/>
      </c>
      <c r="AA52" s="54" t="str">
        <f>IFERROR(IF(AB52="","",IF(AB52&lt;=0.2,"Leve",IF(AB52&lt;=0.4,"Menor",IF(AB52&lt;=0.6,"Moderado",IF(AB52&lt;=0.8,"Mayor","Catastrófico"))))),"")</f>
        <v/>
      </c>
      <c r="AB52" s="55" t="str">
        <f>IFERROR(IF(Q52="Impacto",(M52-(+M52*T52)),IF(Q52="Probabilidad",M52,"")),"")</f>
        <v/>
      </c>
      <c r="AC52" s="56" t="str">
        <f t="shared" si="9"/>
        <v/>
      </c>
      <c r="AD52" s="57"/>
      <c r="AE52" s="58"/>
      <c r="AF52" s="5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48"/>
      <c r="B53" s="251"/>
      <c r="C53" s="251"/>
      <c r="D53" s="251"/>
      <c r="E53" s="254"/>
      <c r="F53" s="251"/>
      <c r="G53" s="257"/>
      <c r="H53" s="260"/>
      <c r="I53" s="242"/>
      <c r="J53" s="263"/>
      <c r="K53" s="242">
        <f>IF(NOT(ISERROR(MATCH(J53,_xlfn.ANCHORARRAY(E64),0))),I66&amp;"Por favor no seleccionar los criterios de impacto",J53)</f>
        <v>0</v>
      </c>
      <c r="L53" s="260"/>
      <c r="M53" s="242"/>
      <c r="N53" s="245"/>
      <c r="O53" s="6">
        <v>2</v>
      </c>
      <c r="P53" s="49"/>
      <c r="Q53" s="51" t="str">
        <f t="shared" si="6"/>
        <v/>
      </c>
      <c r="R53" s="52"/>
      <c r="S53" s="52"/>
      <c r="T53" s="53" t="str">
        <f t="shared" si="7"/>
        <v/>
      </c>
      <c r="U53" s="52"/>
      <c r="V53" s="52"/>
      <c r="W53" s="52"/>
      <c r="X53" s="24" t="str">
        <f>IFERROR(IF(AND(Q52="Probabilidad",Q53="Probabilidad"),(Z52-(+Z52*T53)),IF(Q53="Probabilidad",(I52-(+I52*T53)),IF(Q53="Impacto",Z52,""))),"")</f>
        <v/>
      </c>
      <c r="Y53" s="54" t="str">
        <f t="shared" si="4"/>
        <v/>
      </c>
      <c r="Z53" s="55" t="str">
        <f t="shared" si="8"/>
        <v/>
      </c>
      <c r="AA53" s="54" t="str">
        <f t="shared" si="5"/>
        <v/>
      </c>
      <c r="AB53" s="55" t="str">
        <f>IFERROR(IF(AND(Q52="Impacto",Q53="Impacto"),(AB46-(+AB46*T53)),IF(Q53="Impacto",($M$52-(+$M$52*T53)),IF(Q53="Probabilidad",AB46,""))),"")</f>
        <v/>
      </c>
      <c r="AC53" s="56" t="str">
        <f t="shared" si="9"/>
        <v/>
      </c>
      <c r="AD53" s="57"/>
      <c r="AE53" s="58"/>
      <c r="AF53" s="5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48"/>
      <c r="B54" s="251"/>
      <c r="C54" s="251"/>
      <c r="D54" s="251"/>
      <c r="E54" s="254"/>
      <c r="F54" s="251"/>
      <c r="G54" s="257"/>
      <c r="H54" s="260"/>
      <c r="I54" s="242"/>
      <c r="J54" s="263"/>
      <c r="K54" s="242">
        <f>IF(NOT(ISERROR(MATCH(J54,_xlfn.ANCHORARRAY(E65),0))),I67&amp;"Por favor no seleccionar los criterios de impacto",J54)</f>
        <v>0</v>
      </c>
      <c r="L54" s="260"/>
      <c r="M54" s="242"/>
      <c r="N54" s="245"/>
      <c r="O54" s="6">
        <v>3</v>
      </c>
      <c r="P54" s="50"/>
      <c r="Q54" s="51" t="str">
        <f t="shared" si="6"/>
        <v/>
      </c>
      <c r="R54" s="52"/>
      <c r="S54" s="52"/>
      <c r="T54" s="53" t="str">
        <f t="shared" si="7"/>
        <v/>
      </c>
      <c r="U54" s="52"/>
      <c r="V54" s="52"/>
      <c r="W54" s="52"/>
      <c r="X54" s="24" t="str">
        <f>IFERROR(IF(AND(Q53="Probabilidad",Q54="Probabilidad"),(Z53-(+Z53*T54)),IF(AND(Q53="Impacto",Q54="Probabilidad"),(Z52-(+Z52*T54)),IF(Q54="Impacto",Z53,""))),"")</f>
        <v/>
      </c>
      <c r="Y54" s="54" t="str">
        <f t="shared" si="4"/>
        <v/>
      </c>
      <c r="Z54" s="55" t="str">
        <f t="shared" si="8"/>
        <v/>
      </c>
      <c r="AA54" s="54" t="str">
        <f t="shared" si="5"/>
        <v/>
      </c>
      <c r="AB54" s="55" t="str">
        <f>IFERROR(IF(AND(Q53="Impacto",Q54="Impacto"),(AB53-(+AB53*T54)),IF(AND(Q53="Probabilidad",Q54="Impacto"),(AB52-(+AB52*T54)),IF(Q54="Probabilidad",AB53,""))),"")</f>
        <v/>
      </c>
      <c r="AC54" s="56" t="str">
        <f t="shared" si="9"/>
        <v/>
      </c>
      <c r="AD54" s="57"/>
      <c r="AE54" s="58"/>
      <c r="AF54" s="5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48"/>
      <c r="B55" s="251"/>
      <c r="C55" s="251"/>
      <c r="D55" s="251"/>
      <c r="E55" s="254"/>
      <c r="F55" s="251"/>
      <c r="G55" s="257"/>
      <c r="H55" s="260"/>
      <c r="I55" s="242"/>
      <c r="J55" s="263"/>
      <c r="K55" s="242">
        <f>IF(NOT(ISERROR(MATCH(J55,_xlfn.ANCHORARRAY(E66),0))),I68&amp;"Por favor no seleccionar los criterios de impacto",J55)</f>
        <v>0</v>
      </c>
      <c r="L55" s="260"/>
      <c r="M55" s="242"/>
      <c r="N55" s="245"/>
      <c r="O55" s="6">
        <v>4</v>
      </c>
      <c r="P55" s="49"/>
      <c r="Q55" s="51" t="str">
        <f t="shared" si="6"/>
        <v/>
      </c>
      <c r="R55" s="52"/>
      <c r="S55" s="52"/>
      <c r="T55" s="53" t="str">
        <f t="shared" si="7"/>
        <v/>
      </c>
      <c r="U55" s="52"/>
      <c r="V55" s="52"/>
      <c r="W55" s="52"/>
      <c r="X55" s="24" t="str">
        <f>IFERROR(IF(AND(Q54="Probabilidad",Q55="Probabilidad"),(Z54-(+Z54*T55)),IF(AND(Q54="Impacto",Q55="Probabilidad"),(Z53-(+Z53*T55)),IF(Q55="Impacto",Z54,""))),"")</f>
        <v/>
      </c>
      <c r="Y55" s="54" t="str">
        <f t="shared" si="4"/>
        <v/>
      </c>
      <c r="Z55" s="55" t="str">
        <f t="shared" si="8"/>
        <v/>
      </c>
      <c r="AA55" s="54" t="str">
        <f t="shared" si="5"/>
        <v/>
      </c>
      <c r="AB55" s="55" t="str">
        <f>IFERROR(IF(AND(Q54="Impacto",Q55="Impacto"),(AB54-(+AB54*T55)),IF(AND(Q54="Probabilidad",Q55="Impacto"),(AB53-(+AB53*T55)),IF(Q55="Probabilidad",AB54,""))),"")</f>
        <v/>
      </c>
      <c r="AC55" s="56" t="str">
        <f t="shared" si="9"/>
        <v/>
      </c>
      <c r="AD55" s="57"/>
      <c r="AE55" s="58"/>
      <c r="AF55" s="5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48"/>
      <c r="B56" s="251"/>
      <c r="C56" s="251"/>
      <c r="D56" s="251"/>
      <c r="E56" s="254"/>
      <c r="F56" s="251"/>
      <c r="G56" s="257"/>
      <c r="H56" s="260"/>
      <c r="I56" s="242"/>
      <c r="J56" s="263"/>
      <c r="K56" s="242">
        <f>IF(NOT(ISERROR(MATCH(J56,_xlfn.ANCHORARRAY(E67),0))),I69&amp;"Por favor no seleccionar los criterios de impacto",J56)</f>
        <v>0</v>
      </c>
      <c r="L56" s="260"/>
      <c r="M56" s="242"/>
      <c r="N56" s="245"/>
      <c r="O56" s="6">
        <v>5</v>
      </c>
      <c r="P56" s="49"/>
      <c r="Q56" s="51" t="str">
        <f t="shared" si="6"/>
        <v/>
      </c>
      <c r="R56" s="52"/>
      <c r="S56" s="52"/>
      <c r="T56" s="53" t="str">
        <f t="shared" si="7"/>
        <v/>
      </c>
      <c r="U56" s="52"/>
      <c r="V56" s="52"/>
      <c r="W56" s="52"/>
      <c r="X56" s="24" t="str">
        <f>IFERROR(IF(AND(Q55="Probabilidad",Q56="Probabilidad"),(Z55-(+Z55*T56)),IF(AND(Q55="Impacto",Q56="Probabilidad"),(Z54-(+Z54*T56)),IF(Q56="Impacto",Z55,""))),"")</f>
        <v/>
      </c>
      <c r="Y56" s="54" t="str">
        <f t="shared" si="4"/>
        <v/>
      </c>
      <c r="Z56" s="55" t="str">
        <f t="shared" si="8"/>
        <v/>
      </c>
      <c r="AA56" s="54" t="str">
        <f t="shared" si="5"/>
        <v/>
      </c>
      <c r="AB56" s="55" t="str">
        <f>IFERROR(IF(AND(Q55="Impacto",Q56="Impacto"),(AB55-(+AB55*T56)),IF(AND(Q55="Probabilidad",Q56="Impacto"),(AB54-(+AB54*T56)),IF(Q56="Probabilidad",AB55,""))),"")</f>
        <v/>
      </c>
      <c r="AC56" s="56" t="str">
        <f t="shared" si="9"/>
        <v/>
      </c>
      <c r="AD56" s="57"/>
      <c r="AE56" s="58"/>
      <c r="AF56" s="5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49"/>
      <c r="B57" s="252"/>
      <c r="C57" s="252"/>
      <c r="D57" s="252"/>
      <c r="E57" s="255"/>
      <c r="F57" s="252"/>
      <c r="G57" s="258"/>
      <c r="H57" s="261"/>
      <c r="I57" s="243"/>
      <c r="J57" s="264"/>
      <c r="K57" s="243">
        <f>IF(NOT(ISERROR(MATCH(J57,_xlfn.ANCHORARRAY(E68),0))),I70&amp;"Por favor no seleccionar los criterios de impacto",J57)</f>
        <v>0</v>
      </c>
      <c r="L57" s="261"/>
      <c r="M57" s="243"/>
      <c r="N57" s="246"/>
      <c r="O57" s="6">
        <v>6</v>
      </c>
      <c r="P57" s="49"/>
      <c r="Q57" s="51" t="str">
        <f t="shared" si="6"/>
        <v/>
      </c>
      <c r="R57" s="52"/>
      <c r="S57" s="52"/>
      <c r="T57" s="53" t="str">
        <f t="shared" si="7"/>
        <v/>
      </c>
      <c r="U57" s="52"/>
      <c r="V57" s="52"/>
      <c r="W57" s="52"/>
      <c r="X57" s="24" t="str">
        <f>IFERROR(IF(AND(Q56="Probabilidad",Q57="Probabilidad"),(Z56-(+Z56*T57)),IF(AND(Q56="Impacto",Q57="Probabilidad"),(Z55-(+Z55*T57)),IF(Q57="Impacto",Z56,""))),"")</f>
        <v/>
      </c>
      <c r="Y57" s="54" t="str">
        <f t="shared" si="4"/>
        <v/>
      </c>
      <c r="Z57" s="55" t="str">
        <f t="shared" si="8"/>
        <v/>
      </c>
      <c r="AA57" s="54" t="str">
        <f t="shared" si="5"/>
        <v/>
      </c>
      <c r="AB57" s="55" t="str">
        <f>IFERROR(IF(AND(Q56="Impacto",Q57="Impacto"),(AB56-(+AB56*T57)),IF(AND(Q56="Probabilidad",Q57="Impacto"),(AB55-(+AB55*T57)),IF(Q57="Probabilidad",AB56,""))),"")</f>
        <v/>
      </c>
      <c r="AC57" s="56" t="str">
        <f t="shared" si="9"/>
        <v/>
      </c>
      <c r="AD57" s="57"/>
      <c r="AE57" s="58"/>
      <c r="AF57" s="5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47">
        <v>9</v>
      </c>
      <c r="B58" s="250"/>
      <c r="C58" s="250"/>
      <c r="D58" s="250"/>
      <c r="E58" s="253"/>
      <c r="F58" s="250"/>
      <c r="G58" s="256"/>
      <c r="H58" s="259" t="str">
        <f>IF(G58&lt;=0,"",IF(G58&lt;=2,"Muy Baja",IF(G58&lt;=24,"Baja",IF(G58&lt;=500,"Media",IF(G58&lt;=5000,"Alta","Muy Alta")))))</f>
        <v/>
      </c>
      <c r="I58" s="241" t="str">
        <f>IF(H58="","",IF(H58="Muy Baja",0.2,IF(H58="Baja",0.4,IF(H58="Media",0.6,IF(H58="Alta",0.8,IF(H58="Muy Alta",1,))))))</f>
        <v/>
      </c>
      <c r="J58" s="262"/>
      <c r="K58" s="241">
        <f>IF(NOT(ISERROR(MATCH(J58,'Tabla Impacto'!$B$221:$B$223,0))),'Tabla Impacto'!$F$223&amp;"Por favor no seleccionar los criterios de impacto(Afectación Económica o presupuestal y Pérdida Reputacional)",J58)</f>
        <v>0</v>
      </c>
      <c r="L58" s="259" t="str">
        <f>IF(OR(K58='Tabla Impacto'!$C$11,K58='Tabla Impacto'!$D$11),"Leve",IF(OR(K58='Tabla Impacto'!$C$12,K58='Tabla Impacto'!$D$12),"Menor",IF(OR(K58='Tabla Impacto'!$C$13,K58='Tabla Impacto'!$D$13),"Moderado",IF(OR(K58='Tabla Impacto'!$C$14,K58='Tabla Impacto'!$D$14),"Mayor",IF(OR(K58='Tabla Impacto'!$C$15,K58='Tabla Impacto'!$D$15),"Catastrófico","")))))</f>
        <v/>
      </c>
      <c r="M58" s="241" t="str">
        <f>IF(L58="","",IF(L58="Leve",0.2,IF(L58="Menor",0.4,IF(L58="Moderado",0.6,IF(L58="Mayor",0.8,IF(L58="Catastrófico",1,))))))</f>
        <v/>
      </c>
      <c r="N58" s="244"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
        <v>1</v>
      </c>
      <c r="P58" s="49"/>
      <c r="Q58" s="51" t="str">
        <f t="shared" si="6"/>
        <v/>
      </c>
      <c r="R58" s="52"/>
      <c r="S58" s="52"/>
      <c r="T58" s="53" t="str">
        <f t="shared" si="7"/>
        <v/>
      </c>
      <c r="U58" s="52"/>
      <c r="V58" s="52"/>
      <c r="W58" s="52"/>
      <c r="X58" s="24" t="str">
        <f>IFERROR(IF(Q58="Probabilidad",(I58-(+I58*T58)),IF(Q58="Impacto",I58,"")),"")</f>
        <v/>
      </c>
      <c r="Y58" s="54" t="str">
        <f>IFERROR(IF(X58="","",IF(X58&lt;=0.2,"Muy Baja",IF(X58&lt;=0.4,"Baja",IF(X58&lt;=0.6,"Media",IF(X58&lt;=0.8,"Alta","Muy Alta"))))),"")</f>
        <v/>
      </c>
      <c r="Z58" s="55" t="str">
        <f t="shared" si="8"/>
        <v/>
      </c>
      <c r="AA58" s="54" t="str">
        <f>IFERROR(IF(AB58="","",IF(AB58&lt;=0.2,"Leve",IF(AB58&lt;=0.4,"Menor",IF(AB58&lt;=0.6,"Moderado",IF(AB58&lt;=0.8,"Mayor","Catastrófico"))))),"")</f>
        <v/>
      </c>
      <c r="AB58" s="55" t="str">
        <f>IFERROR(IF(Q58="Impacto",(M58-(+M58*T58)),IF(Q58="Probabilidad",M58,"")),"")</f>
        <v/>
      </c>
      <c r="AC58" s="56" t="str">
        <f t="shared" si="9"/>
        <v/>
      </c>
      <c r="AD58" s="57"/>
      <c r="AE58" s="58"/>
      <c r="AF58" s="5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48"/>
      <c r="B59" s="251"/>
      <c r="C59" s="251"/>
      <c r="D59" s="251"/>
      <c r="E59" s="254"/>
      <c r="F59" s="251"/>
      <c r="G59" s="257"/>
      <c r="H59" s="260"/>
      <c r="I59" s="242"/>
      <c r="J59" s="263"/>
      <c r="K59" s="242">
        <f>IF(NOT(ISERROR(MATCH(J59,_xlfn.ANCHORARRAY(E70),0))),I72&amp;"Por favor no seleccionar los criterios de impacto",J59)</f>
        <v>0</v>
      </c>
      <c r="L59" s="260"/>
      <c r="M59" s="242"/>
      <c r="N59" s="245"/>
      <c r="O59" s="6">
        <v>2</v>
      </c>
      <c r="P59" s="49"/>
      <c r="Q59" s="51" t="str">
        <f t="shared" si="6"/>
        <v/>
      </c>
      <c r="R59" s="52"/>
      <c r="S59" s="52"/>
      <c r="T59" s="53" t="str">
        <f t="shared" si="7"/>
        <v/>
      </c>
      <c r="U59" s="52"/>
      <c r="V59" s="52"/>
      <c r="W59" s="52"/>
      <c r="X59" s="24" t="str">
        <f>IFERROR(IF(AND(Q58="Probabilidad",Q59="Probabilidad"),(Z58-(+Z58*T59)),IF(Q59="Probabilidad",(I58-(+I58*T59)),IF(Q59="Impacto",Z58,""))),"")</f>
        <v/>
      </c>
      <c r="Y59" s="54" t="str">
        <f t="shared" si="4"/>
        <v/>
      </c>
      <c r="Z59" s="55" t="str">
        <f t="shared" si="8"/>
        <v/>
      </c>
      <c r="AA59" s="54" t="str">
        <f t="shared" si="5"/>
        <v/>
      </c>
      <c r="AB59" s="55" t="str">
        <f>IFERROR(IF(AND(Q58="Impacto",Q59="Impacto"),(AB52-(+AB52*T59)),IF(Q59="Impacto",($M$58-(+$M$58*T59)),IF(Q59="Probabilidad",AB52,""))),"")</f>
        <v/>
      </c>
      <c r="AC59" s="56" t="str">
        <f t="shared" si="9"/>
        <v/>
      </c>
      <c r="AD59" s="57"/>
      <c r="AE59" s="58"/>
      <c r="AF59" s="5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48"/>
      <c r="B60" s="251"/>
      <c r="C60" s="251"/>
      <c r="D60" s="251"/>
      <c r="E60" s="254"/>
      <c r="F60" s="251"/>
      <c r="G60" s="257"/>
      <c r="H60" s="260"/>
      <c r="I60" s="242"/>
      <c r="J60" s="263"/>
      <c r="K60" s="242">
        <f>IF(NOT(ISERROR(MATCH(J60,_xlfn.ANCHORARRAY(E71),0))),I73&amp;"Por favor no seleccionar los criterios de impacto",J60)</f>
        <v>0</v>
      </c>
      <c r="L60" s="260"/>
      <c r="M60" s="242"/>
      <c r="N60" s="245"/>
      <c r="O60" s="6">
        <v>3</v>
      </c>
      <c r="P60" s="50"/>
      <c r="Q60" s="51" t="str">
        <f t="shared" si="6"/>
        <v/>
      </c>
      <c r="R60" s="52"/>
      <c r="S60" s="52"/>
      <c r="T60" s="53" t="str">
        <f t="shared" si="7"/>
        <v/>
      </c>
      <c r="U60" s="52"/>
      <c r="V60" s="52"/>
      <c r="W60" s="52"/>
      <c r="X60" s="24" t="str">
        <f>IFERROR(IF(AND(Q59="Probabilidad",Q60="Probabilidad"),(Z59-(+Z59*T60)),IF(AND(Q59="Impacto",Q60="Probabilidad"),(Z58-(+Z58*T60)),IF(Q60="Impacto",Z59,""))),"")</f>
        <v/>
      </c>
      <c r="Y60" s="54" t="str">
        <f t="shared" si="4"/>
        <v/>
      </c>
      <c r="Z60" s="55" t="str">
        <f t="shared" si="8"/>
        <v/>
      </c>
      <c r="AA60" s="54" t="str">
        <f t="shared" si="5"/>
        <v/>
      </c>
      <c r="AB60" s="55" t="str">
        <f>IFERROR(IF(AND(Q59="Impacto",Q60="Impacto"),(AB59-(+AB59*T60)),IF(AND(Q59="Probabilidad",Q60="Impacto"),(AB58-(+AB58*T60)),IF(Q60="Probabilidad",AB59,""))),"")</f>
        <v/>
      </c>
      <c r="AC60" s="56" t="str">
        <f t="shared" si="9"/>
        <v/>
      </c>
      <c r="AD60" s="57"/>
      <c r="AE60" s="58"/>
      <c r="AF60" s="5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48"/>
      <c r="B61" s="251"/>
      <c r="C61" s="251"/>
      <c r="D61" s="251"/>
      <c r="E61" s="254"/>
      <c r="F61" s="251"/>
      <c r="G61" s="257"/>
      <c r="H61" s="260"/>
      <c r="I61" s="242"/>
      <c r="J61" s="263"/>
      <c r="K61" s="242">
        <f>IF(NOT(ISERROR(MATCH(J61,_xlfn.ANCHORARRAY(E72),0))),I74&amp;"Por favor no seleccionar los criterios de impacto",J61)</f>
        <v>0</v>
      </c>
      <c r="L61" s="260"/>
      <c r="M61" s="242"/>
      <c r="N61" s="245"/>
      <c r="O61" s="6">
        <v>4</v>
      </c>
      <c r="P61" s="49"/>
      <c r="Q61" s="51" t="str">
        <f t="shared" si="6"/>
        <v/>
      </c>
      <c r="R61" s="52"/>
      <c r="S61" s="52"/>
      <c r="T61" s="53" t="str">
        <f t="shared" si="7"/>
        <v/>
      </c>
      <c r="U61" s="52"/>
      <c r="V61" s="52"/>
      <c r="W61" s="52"/>
      <c r="X61" s="24" t="str">
        <f>IFERROR(IF(AND(Q60="Probabilidad",Q61="Probabilidad"),(Z60-(+Z60*T61)),IF(AND(Q60="Impacto",Q61="Probabilidad"),(Z59-(+Z59*T61)),IF(Q61="Impacto",Z60,""))),"")</f>
        <v/>
      </c>
      <c r="Y61" s="54" t="str">
        <f t="shared" si="4"/>
        <v/>
      </c>
      <c r="Z61" s="55" t="str">
        <f t="shared" si="8"/>
        <v/>
      </c>
      <c r="AA61" s="54" t="str">
        <f t="shared" si="5"/>
        <v/>
      </c>
      <c r="AB61" s="55" t="str">
        <f>IFERROR(IF(AND(Q60="Impacto",Q61="Impacto"),(AB60-(+AB60*T61)),IF(AND(Q60="Probabilidad",Q61="Impacto"),(AB59-(+AB59*T61)),IF(Q61="Probabilidad",AB60,""))),"")</f>
        <v/>
      </c>
      <c r="AC61" s="56" t="str">
        <f t="shared" si="9"/>
        <v/>
      </c>
      <c r="AD61" s="57"/>
      <c r="AE61" s="58"/>
      <c r="AF61" s="5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48"/>
      <c r="B62" s="251"/>
      <c r="C62" s="251"/>
      <c r="D62" s="251"/>
      <c r="E62" s="254"/>
      <c r="F62" s="251"/>
      <c r="G62" s="257"/>
      <c r="H62" s="260"/>
      <c r="I62" s="242"/>
      <c r="J62" s="263"/>
      <c r="K62" s="242">
        <f>IF(NOT(ISERROR(MATCH(J62,_xlfn.ANCHORARRAY(E73),0))),I75&amp;"Por favor no seleccionar los criterios de impacto",J62)</f>
        <v>0</v>
      </c>
      <c r="L62" s="260"/>
      <c r="M62" s="242"/>
      <c r="N62" s="245"/>
      <c r="O62" s="6">
        <v>5</v>
      </c>
      <c r="P62" s="49"/>
      <c r="Q62" s="51" t="str">
        <f t="shared" si="6"/>
        <v/>
      </c>
      <c r="R62" s="52"/>
      <c r="S62" s="52"/>
      <c r="T62" s="53" t="str">
        <f t="shared" si="7"/>
        <v/>
      </c>
      <c r="U62" s="52"/>
      <c r="V62" s="52"/>
      <c r="W62" s="52"/>
      <c r="X62" s="24" t="str">
        <f>IFERROR(IF(AND(Q61="Probabilidad",Q62="Probabilidad"),(Z61-(+Z61*T62)),IF(AND(Q61="Impacto",Q62="Probabilidad"),(Z60-(+Z60*T62)),IF(Q62="Impacto",Z61,""))),"")</f>
        <v/>
      </c>
      <c r="Y62" s="54" t="str">
        <f t="shared" si="4"/>
        <v/>
      </c>
      <c r="Z62" s="55" t="str">
        <f t="shared" si="8"/>
        <v/>
      </c>
      <c r="AA62" s="54" t="str">
        <f t="shared" si="5"/>
        <v/>
      </c>
      <c r="AB62" s="55" t="str">
        <f>IFERROR(IF(AND(Q61="Impacto",Q62="Impacto"),(AB61-(+AB61*T62)),IF(AND(Q61="Probabilidad",Q62="Impacto"),(AB60-(+AB60*T62)),IF(Q62="Probabilidad",AB61,""))),"")</f>
        <v/>
      </c>
      <c r="AC62" s="56" t="str">
        <f t="shared" si="9"/>
        <v/>
      </c>
      <c r="AD62" s="57"/>
      <c r="AE62" s="58"/>
      <c r="AF62" s="5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49"/>
      <c r="B63" s="252"/>
      <c r="C63" s="252"/>
      <c r="D63" s="252"/>
      <c r="E63" s="255"/>
      <c r="F63" s="252"/>
      <c r="G63" s="258"/>
      <c r="H63" s="261"/>
      <c r="I63" s="243"/>
      <c r="J63" s="264"/>
      <c r="K63" s="243">
        <f>IF(NOT(ISERROR(MATCH(J63,_xlfn.ANCHORARRAY(E74),0))),I76&amp;"Por favor no seleccionar los criterios de impacto",J63)</f>
        <v>0</v>
      </c>
      <c r="L63" s="261"/>
      <c r="M63" s="243"/>
      <c r="N63" s="246"/>
      <c r="O63" s="6">
        <v>6</v>
      </c>
      <c r="P63" s="49"/>
      <c r="Q63" s="51" t="str">
        <f t="shared" si="6"/>
        <v/>
      </c>
      <c r="R63" s="52"/>
      <c r="S63" s="52"/>
      <c r="T63" s="53" t="str">
        <f t="shared" si="7"/>
        <v/>
      </c>
      <c r="U63" s="52"/>
      <c r="V63" s="52"/>
      <c r="W63" s="52"/>
      <c r="X63" s="24" t="str">
        <f>IFERROR(IF(AND(Q62="Probabilidad",Q63="Probabilidad"),(Z62-(+Z62*T63)),IF(AND(Q62="Impacto",Q63="Probabilidad"),(Z61-(+Z61*T63)),IF(Q63="Impacto",Z62,""))),"")</f>
        <v/>
      </c>
      <c r="Y63" s="54" t="str">
        <f t="shared" si="4"/>
        <v/>
      </c>
      <c r="Z63" s="55" t="str">
        <f t="shared" si="8"/>
        <v/>
      </c>
      <c r="AA63" s="54" t="str">
        <f t="shared" si="5"/>
        <v/>
      </c>
      <c r="AB63" s="55" t="str">
        <f>IFERROR(IF(AND(Q62="Impacto",Q63="Impacto"),(AB62-(+AB62*T63)),IF(AND(Q62="Probabilidad",Q63="Impacto"),(AB61-(+AB61*T63)),IF(Q63="Probabilidad",AB62,""))),"")</f>
        <v/>
      </c>
      <c r="AC63" s="56" t="str">
        <f t="shared" si="9"/>
        <v/>
      </c>
      <c r="AD63" s="57"/>
      <c r="AE63" s="58"/>
      <c r="AF63" s="5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47">
        <v>10</v>
      </c>
      <c r="B64" s="250"/>
      <c r="C64" s="250"/>
      <c r="D64" s="250"/>
      <c r="E64" s="253"/>
      <c r="F64" s="250"/>
      <c r="G64" s="256"/>
      <c r="H64" s="259" t="str">
        <f>IF(G64&lt;=0,"",IF(G64&lt;=2,"Muy Baja",IF(G64&lt;=24,"Baja",IF(G64&lt;=500,"Media",IF(G64&lt;=5000,"Alta","Muy Alta")))))</f>
        <v/>
      </c>
      <c r="I64" s="241" t="str">
        <f>IF(H64="","",IF(H64="Muy Baja",0.2,IF(H64="Baja",0.4,IF(H64="Media",0.6,IF(H64="Alta",0.8,IF(H64="Muy Alta",1,))))))</f>
        <v/>
      </c>
      <c r="J64" s="262"/>
      <c r="K64" s="241">
        <f>IF(NOT(ISERROR(MATCH(J64,'Tabla Impacto'!$B$221:$B$223,0))),'Tabla Impacto'!$F$223&amp;"Por favor no seleccionar los criterios de impacto(Afectación Económica o presupuestal y Pérdida Reputacional)",J64)</f>
        <v>0</v>
      </c>
      <c r="L64" s="259" t="str">
        <f>IF(OR(K64='Tabla Impacto'!$C$11,K64='Tabla Impacto'!$D$11),"Leve",IF(OR(K64='Tabla Impacto'!$C$12,K64='Tabla Impacto'!$D$12),"Menor",IF(OR(K64='Tabla Impacto'!$C$13,K64='Tabla Impacto'!$D$13),"Moderado",IF(OR(K64='Tabla Impacto'!$C$14,K64='Tabla Impacto'!$D$14),"Mayor",IF(OR(K64='Tabla Impacto'!$C$15,K64='Tabla Impacto'!$D$15),"Catastrófico","")))))</f>
        <v/>
      </c>
      <c r="M64" s="241" t="str">
        <f>IF(L64="","",IF(L64="Leve",0.2,IF(L64="Menor",0.4,IF(L64="Moderado",0.6,IF(L64="Mayor",0.8,IF(L64="Catastrófico",1,))))))</f>
        <v/>
      </c>
      <c r="N64" s="244"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
        <v>1</v>
      </c>
      <c r="P64" s="49"/>
      <c r="Q64" s="51" t="str">
        <f t="shared" si="6"/>
        <v/>
      </c>
      <c r="R64" s="52"/>
      <c r="S64" s="52"/>
      <c r="T64" s="53" t="str">
        <f t="shared" si="7"/>
        <v/>
      </c>
      <c r="U64" s="52"/>
      <c r="V64" s="52"/>
      <c r="W64" s="52"/>
      <c r="X64" s="24" t="str">
        <f>IFERROR(IF(Q64="Probabilidad",(I64-(+I64*T64)),IF(Q64="Impacto",I64,"")),"")</f>
        <v/>
      </c>
      <c r="Y64" s="54" t="str">
        <f>IFERROR(IF(X64="","",IF(X64&lt;=0.2,"Muy Baja",IF(X64&lt;=0.4,"Baja",IF(X64&lt;=0.6,"Media",IF(X64&lt;=0.8,"Alta","Muy Alta"))))),"")</f>
        <v/>
      </c>
      <c r="Z64" s="55" t="str">
        <f t="shared" si="8"/>
        <v/>
      </c>
      <c r="AA64" s="54" t="str">
        <f>IFERROR(IF(AB64="","",IF(AB64&lt;=0.2,"Leve",IF(AB64&lt;=0.4,"Menor",IF(AB64&lt;=0.6,"Moderado",IF(AB64&lt;=0.8,"Mayor","Catastrófico"))))),"")</f>
        <v/>
      </c>
      <c r="AB64" s="55" t="str">
        <f>IFERROR(IF(Q64="Impacto",(M64-(+M64*T64)),IF(Q64="Probabilidad",M64,"")),"")</f>
        <v/>
      </c>
      <c r="AC64" s="56" t="str">
        <f t="shared" si="9"/>
        <v/>
      </c>
      <c r="AD64" s="57"/>
      <c r="AE64" s="58"/>
      <c r="AF64" s="5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48"/>
      <c r="B65" s="251"/>
      <c r="C65" s="251"/>
      <c r="D65" s="251"/>
      <c r="E65" s="254"/>
      <c r="F65" s="251"/>
      <c r="G65" s="257"/>
      <c r="H65" s="260"/>
      <c r="I65" s="242"/>
      <c r="J65" s="263"/>
      <c r="K65" s="242">
        <f>IF(NOT(ISERROR(MATCH(J65,_xlfn.ANCHORARRAY(E76),0))),I78&amp;"Por favor no seleccionar los criterios de impacto",J65)</f>
        <v>0</v>
      </c>
      <c r="L65" s="260"/>
      <c r="M65" s="242"/>
      <c r="N65" s="245"/>
      <c r="O65" s="6">
        <v>2</v>
      </c>
      <c r="P65" s="49"/>
      <c r="Q65" s="51" t="str">
        <f t="shared" si="6"/>
        <v/>
      </c>
      <c r="R65" s="52"/>
      <c r="S65" s="52"/>
      <c r="T65" s="53" t="str">
        <f t="shared" si="7"/>
        <v/>
      </c>
      <c r="U65" s="52"/>
      <c r="V65" s="52"/>
      <c r="W65" s="52"/>
      <c r="X65" s="24" t="str">
        <f>IFERROR(IF(AND(Q64="Probabilidad",Q65="Probabilidad"),(Z64-(+Z64*T65)),IF(Q65="Probabilidad",(I64-(+I64*T65)),IF(Q65="Impacto",Z64,""))),"")</f>
        <v/>
      </c>
      <c r="Y65" s="54" t="str">
        <f t="shared" si="4"/>
        <v/>
      </c>
      <c r="Z65" s="55" t="str">
        <f t="shared" si="8"/>
        <v/>
      </c>
      <c r="AA65" s="54" t="str">
        <f t="shared" si="5"/>
        <v/>
      </c>
      <c r="AB65" s="55" t="str">
        <f>IFERROR(IF(AND(Q64="Impacto",Q65="Impacto"),(AB58-(+AB58*T65)),IF(Q65="Impacto",($M$64-(+$M$64*T65)),IF(Q65="Probabilidad",AB58,""))),"")</f>
        <v/>
      </c>
      <c r="AC65" s="56" t="str">
        <f t="shared" si="9"/>
        <v/>
      </c>
      <c r="AD65" s="57"/>
      <c r="AE65" s="58"/>
      <c r="AF65" s="58"/>
      <c r="AG65" s="59"/>
      <c r="AH65" s="59"/>
      <c r="AI65" s="58"/>
      <c r="AJ65" s="48"/>
    </row>
    <row r="66" spans="1:36" ht="151.5" customHeight="1" x14ac:dyDescent="0.3">
      <c r="A66" s="248"/>
      <c r="B66" s="251"/>
      <c r="C66" s="251"/>
      <c r="D66" s="251"/>
      <c r="E66" s="254"/>
      <c r="F66" s="251"/>
      <c r="G66" s="257"/>
      <c r="H66" s="260"/>
      <c r="I66" s="242"/>
      <c r="J66" s="263"/>
      <c r="K66" s="242">
        <f>IF(NOT(ISERROR(MATCH(J66,_xlfn.ANCHORARRAY(E77),0))),I79&amp;"Por favor no seleccionar los criterios de impacto",J66)</f>
        <v>0</v>
      </c>
      <c r="L66" s="260"/>
      <c r="M66" s="242"/>
      <c r="N66" s="245"/>
      <c r="O66" s="6">
        <v>3</v>
      </c>
      <c r="P66" s="50"/>
      <c r="Q66" s="51" t="str">
        <f t="shared" si="6"/>
        <v/>
      </c>
      <c r="R66" s="52"/>
      <c r="S66" s="52"/>
      <c r="T66" s="53" t="str">
        <f t="shared" si="7"/>
        <v/>
      </c>
      <c r="U66" s="52"/>
      <c r="V66" s="52"/>
      <c r="W66" s="52"/>
      <c r="X66" s="24" t="str">
        <f>IFERROR(IF(AND(Q65="Probabilidad",Q66="Probabilidad"),(Z65-(+Z65*T66)),IF(AND(Q65="Impacto",Q66="Probabilidad"),(Z64-(+Z64*T66)),IF(Q66="Impacto",Z65,""))),"")</f>
        <v/>
      </c>
      <c r="Y66" s="54" t="str">
        <f t="shared" si="4"/>
        <v/>
      </c>
      <c r="Z66" s="55" t="str">
        <f t="shared" si="8"/>
        <v/>
      </c>
      <c r="AA66" s="54" t="str">
        <f t="shared" si="5"/>
        <v/>
      </c>
      <c r="AB66" s="55" t="str">
        <f>IFERROR(IF(AND(Q65="Impacto",Q66="Impacto"),(AB65-(+AB65*T66)),IF(AND(Q65="Probabilidad",Q66="Impacto"),(AB64-(+AB64*T66)),IF(Q66="Probabilidad",AB65,""))),"")</f>
        <v/>
      </c>
      <c r="AC66" s="56" t="str">
        <f t="shared" si="9"/>
        <v/>
      </c>
      <c r="AD66" s="57"/>
      <c r="AE66" s="58"/>
      <c r="AF66" s="58"/>
      <c r="AG66" s="59"/>
      <c r="AH66" s="59"/>
      <c r="AI66" s="58"/>
      <c r="AJ66" s="48"/>
    </row>
    <row r="67" spans="1:36" ht="151.5" customHeight="1" x14ac:dyDescent="0.3">
      <c r="A67" s="248"/>
      <c r="B67" s="251"/>
      <c r="C67" s="251"/>
      <c r="D67" s="251"/>
      <c r="E67" s="254"/>
      <c r="F67" s="251"/>
      <c r="G67" s="257"/>
      <c r="H67" s="260"/>
      <c r="I67" s="242"/>
      <c r="J67" s="263"/>
      <c r="K67" s="242">
        <f>IF(NOT(ISERROR(MATCH(J67,_xlfn.ANCHORARRAY(E78),0))),I80&amp;"Por favor no seleccionar los criterios de impacto",J67)</f>
        <v>0</v>
      </c>
      <c r="L67" s="260"/>
      <c r="M67" s="242"/>
      <c r="N67" s="245"/>
      <c r="O67" s="6">
        <v>4</v>
      </c>
      <c r="P67" s="49"/>
      <c r="Q67" s="51" t="str">
        <f t="shared" si="6"/>
        <v/>
      </c>
      <c r="R67" s="52"/>
      <c r="S67" s="52"/>
      <c r="T67" s="53" t="str">
        <f t="shared" si="7"/>
        <v/>
      </c>
      <c r="U67" s="52"/>
      <c r="V67" s="52"/>
      <c r="W67" s="52"/>
      <c r="X67" s="24" t="str">
        <f>IFERROR(IF(AND(Q66="Probabilidad",Q67="Probabilidad"),(Z66-(+Z66*T67)),IF(AND(Q66="Impacto",Q67="Probabilidad"),(Z65-(+Z65*T67)),IF(Q67="Impacto",Z66,""))),"")</f>
        <v/>
      </c>
      <c r="Y67" s="54" t="str">
        <f t="shared" si="4"/>
        <v/>
      </c>
      <c r="Z67" s="55" t="str">
        <f t="shared" si="8"/>
        <v/>
      </c>
      <c r="AA67" s="54" t="str">
        <f t="shared" si="5"/>
        <v/>
      </c>
      <c r="AB67" s="55" t="str">
        <f>IFERROR(IF(AND(Q66="Impacto",Q67="Impacto"),(AB66-(+AB66*T67)),IF(AND(Q66="Probabilidad",Q67="Impacto"),(AB65-(+AB65*T67)),IF(Q67="Probabilidad",AB66,""))),"")</f>
        <v/>
      </c>
      <c r="AC67" s="56" t="str">
        <f t="shared" si="9"/>
        <v/>
      </c>
      <c r="AD67" s="57"/>
      <c r="AE67" s="58"/>
      <c r="AF67" s="58"/>
      <c r="AG67" s="59"/>
      <c r="AH67" s="59"/>
      <c r="AI67" s="58"/>
      <c r="AJ67" s="48"/>
    </row>
    <row r="68" spans="1:36" ht="151.5" customHeight="1" x14ac:dyDescent="0.3">
      <c r="A68" s="248"/>
      <c r="B68" s="251"/>
      <c r="C68" s="251"/>
      <c r="D68" s="251"/>
      <c r="E68" s="254"/>
      <c r="F68" s="251"/>
      <c r="G68" s="257"/>
      <c r="H68" s="260"/>
      <c r="I68" s="242"/>
      <c r="J68" s="263"/>
      <c r="K68" s="242">
        <f>IF(NOT(ISERROR(MATCH(J68,_xlfn.ANCHORARRAY(E79),0))),I81&amp;"Por favor no seleccionar los criterios de impacto",J68)</f>
        <v>0</v>
      </c>
      <c r="L68" s="260"/>
      <c r="M68" s="242"/>
      <c r="N68" s="245"/>
      <c r="O68" s="6">
        <v>5</v>
      </c>
      <c r="P68" s="49"/>
      <c r="Q68" s="51" t="str">
        <f t="shared" si="6"/>
        <v/>
      </c>
      <c r="R68" s="52"/>
      <c r="S68" s="52"/>
      <c r="T68" s="53" t="str">
        <f t="shared" si="7"/>
        <v/>
      </c>
      <c r="U68" s="52"/>
      <c r="V68" s="52"/>
      <c r="W68" s="52"/>
      <c r="X68" s="24" t="str">
        <f>IFERROR(IF(AND(Q67="Probabilidad",Q68="Probabilidad"),(Z67-(+Z67*T68)),IF(AND(Q67="Impacto",Q68="Probabilidad"),(Z66-(+Z66*T68)),IF(Q68="Impacto",Z67,""))),"")</f>
        <v/>
      </c>
      <c r="Y68" s="54" t="str">
        <f t="shared" si="4"/>
        <v/>
      </c>
      <c r="Z68" s="55" t="str">
        <f t="shared" si="8"/>
        <v/>
      </c>
      <c r="AA68" s="54" t="str">
        <f t="shared" si="5"/>
        <v/>
      </c>
      <c r="AB68" s="55" t="str">
        <f>IFERROR(IF(AND(Q67="Impacto",Q68="Impacto"),(AB67-(+AB67*T68)),IF(AND(Q67="Probabilidad",Q68="Impacto"),(AB66-(+AB66*T68)),IF(Q68="Probabilidad",AB67,""))),"")</f>
        <v/>
      </c>
      <c r="AC68" s="56" t="str">
        <f t="shared" si="9"/>
        <v/>
      </c>
      <c r="AD68" s="57"/>
      <c r="AE68" s="58"/>
      <c r="AF68" s="58"/>
      <c r="AG68" s="59"/>
      <c r="AH68" s="59"/>
      <c r="AI68" s="58"/>
      <c r="AJ68" s="48"/>
    </row>
    <row r="69" spans="1:36" ht="151.5" customHeight="1" x14ac:dyDescent="0.3">
      <c r="A69" s="249"/>
      <c r="B69" s="252"/>
      <c r="C69" s="252"/>
      <c r="D69" s="252"/>
      <c r="E69" s="255"/>
      <c r="F69" s="252"/>
      <c r="G69" s="258"/>
      <c r="H69" s="261"/>
      <c r="I69" s="243"/>
      <c r="J69" s="264"/>
      <c r="K69" s="243">
        <f>IF(NOT(ISERROR(MATCH(J69,_xlfn.ANCHORARRAY(E80),0))),I82&amp;"Por favor no seleccionar los criterios de impacto",J69)</f>
        <v>0</v>
      </c>
      <c r="L69" s="261"/>
      <c r="M69" s="243"/>
      <c r="N69" s="246"/>
      <c r="O69" s="6">
        <v>6</v>
      </c>
      <c r="P69" s="49"/>
      <c r="Q69" s="51" t="str">
        <f t="shared" si="6"/>
        <v/>
      </c>
      <c r="R69" s="52"/>
      <c r="S69" s="52"/>
      <c r="T69" s="53" t="str">
        <f t="shared" si="7"/>
        <v/>
      </c>
      <c r="U69" s="52"/>
      <c r="V69" s="52"/>
      <c r="W69" s="52"/>
      <c r="X69" s="24" t="str">
        <f>IFERROR(IF(AND(Q68="Probabilidad",Q69="Probabilidad"),(Z68-(+Z68*T69)),IF(AND(Q68="Impacto",Q69="Probabilidad"),(Z67-(+Z67*T69)),IF(Q69="Impacto",Z68,""))),"")</f>
        <v/>
      </c>
      <c r="Y69" s="54" t="str">
        <f t="shared" si="4"/>
        <v/>
      </c>
      <c r="Z69" s="55" t="str">
        <f t="shared" si="8"/>
        <v/>
      </c>
      <c r="AA69" s="54" t="str">
        <f t="shared" si="5"/>
        <v/>
      </c>
      <c r="AB69" s="55" t="str">
        <f>IFERROR(IF(AND(Q68="Impacto",Q69="Impacto"),(AB68-(+AB68*T69)),IF(AND(Q68="Probabilidad",Q69="Impacto"),(AB67-(+AB67*T69)),IF(Q69="Probabilidad",AB68,""))),"")</f>
        <v/>
      </c>
      <c r="AC69" s="56" t="str">
        <f t="shared" si="9"/>
        <v/>
      </c>
      <c r="AD69" s="57"/>
      <c r="AE69" s="58"/>
      <c r="AF69" s="58"/>
      <c r="AG69" s="59"/>
      <c r="AH69" s="59"/>
      <c r="AI69" s="58"/>
      <c r="AJ69" s="48"/>
    </row>
    <row r="70" spans="1:36" ht="49.5" customHeight="1" x14ac:dyDescent="0.3">
      <c r="A70" s="6"/>
      <c r="B70" s="238" t="s">
        <v>131</v>
      </c>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40"/>
    </row>
    <row r="72" spans="1:36" x14ac:dyDescent="0.3">
      <c r="A72" s="1"/>
      <c r="B72" s="25" t="s">
        <v>143</v>
      </c>
      <c r="C72" s="1"/>
      <c r="D72" s="1"/>
      <c r="F72" s="1"/>
    </row>
  </sheetData>
  <sheetProtection algorithmName="SHA-512" hashValue="sVoqu7kJshpFydYKkkW8R62PwbHkQ9zgyUzrQTDSexXBIdbfmbh3HSh+Gofw37b3YGg2PRU2wgjt3LhxsWd93g==" saltValue="gArFcdkKpQaxc61f24i61A==" spinCount="100000" sheet="1" objects="1" scenarios="1"/>
  <dataConsolidate link="1"/>
  <mergeCells count="185">
    <mergeCell ref="A16:A21"/>
    <mergeCell ref="B16:B21"/>
    <mergeCell ref="E16:E21"/>
    <mergeCell ref="A10:A15"/>
    <mergeCell ref="B10:B15"/>
    <mergeCell ref="D10:D15"/>
    <mergeCell ref="E10:E15"/>
    <mergeCell ref="N10:N15"/>
    <mergeCell ref="I10:I15"/>
    <mergeCell ref="J10:J15"/>
    <mergeCell ref="K10:K15"/>
    <mergeCell ref="L10:L15"/>
    <mergeCell ref="M10:M15"/>
    <mergeCell ref="C10:C15"/>
    <mergeCell ref="F10:F15"/>
    <mergeCell ref="G10:G15"/>
    <mergeCell ref="H10:H15"/>
    <mergeCell ref="F16:F21"/>
    <mergeCell ref="G16:G21"/>
    <mergeCell ref="D16:D21"/>
    <mergeCell ref="C16:C21"/>
    <mergeCell ref="O4:Q4"/>
    <mergeCell ref="B8:B9"/>
    <mergeCell ref="AJ8:AJ9"/>
    <mergeCell ref="AI8:AI9"/>
    <mergeCell ref="AH8:AH9"/>
    <mergeCell ref="AG8:AG9"/>
    <mergeCell ref="AF8:AF9"/>
    <mergeCell ref="M16:M21"/>
    <mergeCell ref="N16:N21"/>
    <mergeCell ref="AA8:AA9"/>
    <mergeCell ref="N8:N9"/>
    <mergeCell ref="AD8:AD9"/>
    <mergeCell ref="AC8:AC9"/>
    <mergeCell ref="AB8:AB9"/>
    <mergeCell ref="X8:X9"/>
    <mergeCell ref="A4:B4"/>
    <mergeCell ref="A5:B5"/>
    <mergeCell ref="A6:B6"/>
    <mergeCell ref="A8:A9"/>
    <mergeCell ref="F8:F9"/>
    <mergeCell ref="E8:E9"/>
    <mergeCell ref="D8:D9"/>
    <mergeCell ref="C8:C9"/>
    <mergeCell ref="C5:N5"/>
    <mergeCell ref="C6:N6"/>
    <mergeCell ref="C4:N4"/>
    <mergeCell ref="H22:H27"/>
    <mergeCell ref="AE8:AE9"/>
    <mergeCell ref="Y8:Y9"/>
    <mergeCell ref="Z8:Z9"/>
    <mergeCell ref="G8:G9"/>
    <mergeCell ref="H8:H9"/>
    <mergeCell ref="I8:I9"/>
    <mergeCell ref="L8:L9"/>
    <mergeCell ref="M8:M9"/>
    <mergeCell ref="I22:I27"/>
    <mergeCell ref="M22:M27"/>
    <mergeCell ref="N22:N27"/>
    <mergeCell ref="R8:W8"/>
    <mergeCell ref="K16:K21"/>
    <mergeCell ref="L16:L21"/>
    <mergeCell ref="H16:H21"/>
    <mergeCell ref="I16:I21"/>
    <mergeCell ref="J16:J21"/>
    <mergeCell ref="J8:J9"/>
    <mergeCell ref="K8:K9"/>
    <mergeCell ref="Q8:Q9"/>
    <mergeCell ref="O8:O9"/>
    <mergeCell ref="P8:P9"/>
    <mergeCell ref="J28:J33"/>
    <mergeCell ref="K28:K33"/>
    <mergeCell ref="L28:L33"/>
    <mergeCell ref="M28:M33"/>
    <mergeCell ref="N28:N33"/>
    <mergeCell ref="J22:J27"/>
    <mergeCell ref="K22:K27"/>
    <mergeCell ref="L22:L27"/>
    <mergeCell ref="A22:A27"/>
    <mergeCell ref="B22:B27"/>
    <mergeCell ref="C22:C27"/>
    <mergeCell ref="D22:D27"/>
    <mergeCell ref="A28:A33"/>
    <mergeCell ref="B28:B33"/>
    <mergeCell ref="C28:C33"/>
    <mergeCell ref="D28:D33"/>
    <mergeCell ref="E28:E33"/>
    <mergeCell ref="F28:F33"/>
    <mergeCell ref="G28:G33"/>
    <mergeCell ref="H28:H33"/>
    <mergeCell ref="I28:I33"/>
    <mergeCell ref="E22:E27"/>
    <mergeCell ref="F22:F27"/>
    <mergeCell ref="G22:G27"/>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K58:K63"/>
    <mergeCell ref="L58:L63"/>
    <mergeCell ref="A58:A63"/>
    <mergeCell ref="B58:B63"/>
    <mergeCell ref="C58:C63"/>
    <mergeCell ref="D58:D63"/>
    <mergeCell ref="E58:E63"/>
    <mergeCell ref="F58:F63"/>
    <mergeCell ref="G58:G63"/>
    <mergeCell ref="H58:H63"/>
    <mergeCell ref="I58:I63"/>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s>
  <phoneticPr fontId="68" type="noConversion"/>
  <conditionalFormatting sqref="H10 H16">
    <cfRule type="cellIs" dxfId="258" priority="319" operator="equal">
      <formula>"Muy Alta"</formula>
    </cfRule>
    <cfRule type="cellIs" dxfId="257" priority="320" operator="equal">
      <formula>"Alta"</formula>
    </cfRule>
    <cfRule type="cellIs" dxfId="256" priority="321" operator="equal">
      <formula>"Media"</formula>
    </cfRule>
    <cfRule type="cellIs" dxfId="255" priority="322" operator="equal">
      <formula>"Baja"</formula>
    </cfRule>
    <cfRule type="cellIs" dxfId="254" priority="323" operator="equal">
      <formula>"Muy Baja"</formula>
    </cfRule>
  </conditionalFormatting>
  <conditionalFormatting sqref="L10 L16 L22 L28 L34 L40 L46 L52 L58 L64">
    <cfRule type="cellIs" dxfId="253" priority="314" operator="equal">
      <formula>"Catastrófico"</formula>
    </cfRule>
    <cfRule type="cellIs" dxfId="252" priority="315" operator="equal">
      <formula>"Mayor"</formula>
    </cfRule>
    <cfRule type="cellIs" dxfId="251" priority="316" operator="equal">
      <formula>"Moderado"</formula>
    </cfRule>
    <cfRule type="cellIs" dxfId="250" priority="317" operator="equal">
      <formula>"Menor"</formula>
    </cfRule>
    <cfRule type="cellIs" dxfId="249" priority="318" operator="equal">
      <formula>"Leve"</formula>
    </cfRule>
  </conditionalFormatting>
  <conditionalFormatting sqref="N10">
    <cfRule type="cellIs" dxfId="248" priority="310" operator="equal">
      <formula>"Extremo"</formula>
    </cfRule>
    <cfRule type="cellIs" dxfId="247" priority="311" operator="equal">
      <formula>"Alto"</formula>
    </cfRule>
    <cfRule type="cellIs" dxfId="246" priority="312" operator="equal">
      <formula>"Moderado"</formula>
    </cfRule>
    <cfRule type="cellIs" dxfId="245" priority="313" operator="equal">
      <formula>"Bajo"</formula>
    </cfRule>
  </conditionalFormatting>
  <conditionalFormatting sqref="Y10:Y15">
    <cfRule type="cellIs" dxfId="244" priority="305" operator="equal">
      <formula>"Muy Alta"</formula>
    </cfRule>
    <cfRule type="cellIs" dxfId="243" priority="306" operator="equal">
      <formula>"Alta"</formula>
    </cfRule>
    <cfRule type="cellIs" dxfId="242" priority="307" operator="equal">
      <formula>"Media"</formula>
    </cfRule>
    <cfRule type="cellIs" dxfId="241" priority="308" operator="equal">
      <formula>"Baja"</formula>
    </cfRule>
    <cfRule type="cellIs" dxfId="240" priority="309" operator="equal">
      <formula>"Muy Baja"</formula>
    </cfRule>
  </conditionalFormatting>
  <conditionalFormatting sqref="AA10:AA15">
    <cfRule type="cellIs" dxfId="239" priority="300" operator="equal">
      <formula>"Catastrófico"</formula>
    </cfRule>
    <cfRule type="cellIs" dxfId="238" priority="301" operator="equal">
      <formula>"Mayor"</formula>
    </cfRule>
    <cfRule type="cellIs" dxfId="237" priority="302" operator="equal">
      <formula>"Moderado"</formula>
    </cfRule>
    <cfRule type="cellIs" dxfId="236" priority="303" operator="equal">
      <formula>"Menor"</formula>
    </cfRule>
    <cfRule type="cellIs" dxfId="235" priority="304" operator="equal">
      <formula>"Leve"</formula>
    </cfRule>
  </conditionalFormatting>
  <conditionalFormatting sqref="AC10:AC15">
    <cfRule type="cellIs" dxfId="234" priority="296" operator="equal">
      <formula>"Extremo"</formula>
    </cfRule>
    <cfRule type="cellIs" dxfId="233" priority="297" operator="equal">
      <formula>"Alto"</formula>
    </cfRule>
    <cfRule type="cellIs" dxfId="232" priority="298" operator="equal">
      <formula>"Moderado"</formula>
    </cfRule>
    <cfRule type="cellIs" dxfId="231" priority="299" operator="equal">
      <formula>"Bajo"</formula>
    </cfRule>
  </conditionalFormatting>
  <conditionalFormatting sqref="H58">
    <cfRule type="cellIs" dxfId="230" priority="53" operator="equal">
      <formula>"Muy Alta"</formula>
    </cfRule>
    <cfRule type="cellIs" dxfId="229" priority="54" operator="equal">
      <formula>"Alta"</formula>
    </cfRule>
    <cfRule type="cellIs" dxfId="228" priority="55" operator="equal">
      <formula>"Media"</formula>
    </cfRule>
    <cfRule type="cellIs" dxfId="227" priority="56" operator="equal">
      <formula>"Baja"</formula>
    </cfRule>
    <cfRule type="cellIs" dxfId="226" priority="57" operator="equal">
      <formula>"Muy Baja"</formula>
    </cfRule>
  </conditionalFormatting>
  <conditionalFormatting sqref="N16">
    <cfRule type="cellIs" dxfId="225" priority="240" operator="equal">
      <formula>"Extremo"</formula>
    </cfRule>
    <cfRule type="cellIs" dxfId="224" priority="241" operator="equal">
      <formula>"Alto"</formula>
    </cfRule>
    <cfRule type="cellIs" dxfId="223" priority="242" operator="equal">
      <formula>"Moderado"</formula>
    </cfRule>
    <cfRule type="cellIs" dxfId="222" priority="243" operator="equal">
      <formula>"Bajo"</formula>
    </cfRule>
  </conditionalFormatting>
  <conditionalFormatting sqref="Y16:Y21">
    <cfRule type="cellIs" dxfId="221" priority="235" operator="equal">
      <formula>"Muy Alta"</formula>
    </cfRule>
    <cfRule type="cellIs" dxfId="220" priority="236" operator="equal">
      <formula>"Alta"</formula>
    </cfRule>
    <cfRule type="cellIs" dxfId="219" priority="237" operator="equal">
      <formula>"Media"</formula>
    </cfRule>
    <cfRule type="cellIs" dxfId="218" priority="238" operator="equal">
      <formula>"Baja"</formula>
    </cfRule>
    <cfRule type="cellIs" dxfId="217" priority="239" operator="equal">
      <formula>"Muy Baja"</formula>
    </cfRule>
  </conditionalFormatting>
  <conditionalFormatting sqref="AA16:AA21">
    <cfRule type="cellIs" dxfId="216" priority="230" operator="equal">
      <formula>"Catastrófico"</formula>
    </cfRule>
    <cfRule type="cellIs" dxfId="215" priority="231" operator="equal">
      <formula>"Mayor"</formula>
    </cfRule>
    <cfRule type="cellIs" dxfId="214" priority="232" operator="equal">
      <formula>"Moderado"</formula>
    </cfRule>
    <cfRule type="cellIs" dxfId="213" priority="233" operator="equal">
      <formula>"Menor"</formula>
    </cfRule>
    <cfRule type="cellIs" dxfId="212" priority="234" operator="equal">
      <formula>"Leve"</formula>
    </cfRule>
  </conditionalFormatting>
  <conditionalFormatting sqref="AC16:AC21">
    <cfRule type="cellIs" dxfId="211" priority="226" operator="equal">
      <formula>"Extremo"</formula>
    </cfRule>
    <cfRule type="cellIs" dxfId="210" priority="227" operator="equal">
      <formula>"Alto"</formula>
    </cfRule>
    <cfRule type="cellIs" dxfId="209" priority="228" operator="equal">
      <formula>"Moderado"</formula>
    </cfRule>
    <cfRule type="cellIs" dxfId="208" priority="229" operator="equal">
      <formula>"Bajo"</formula>
    </cfRule>
  </conditionalFormatting>
  <conditionalFormatting sqref="H22">
    <cfRule type="cellIs" dxfId="207" priority="221" operator="equal">
      <formula>"Muy Alta"</formula>
    </cfRule>
    <cfRule type="cellIs" dxfId="206" priority="222" operator="equal">
      <formula>"Alta"</formula>
    </cfRule>
    <cfRule type="cellIs" dxfId="205" priority="223" operator="equal">
      <formula>"Media"</formula>
    </cfRule>
    <cfRule type="cellIs" dxfId="204" priority="224" operator="equal">
      <formula>"Baja"</formula>
    </cfRule>
    <cfRule type="cellIs" dxfId="203" priority="225" operator="equal">
      <formula>"Muy Baja"</formula>
    </cfRule>
  </conditionalFormatting>
  <conditionalFormatting sqref="N22">
    <cfRule type="cellIs" dxfId="202" priority="212" operator="equal">
      <formula>"Extremo"</formula>
    </cfRule>
    <cfRule type="cellIs" dxfId="201" priority="213" operator="equal">
      <formula>"Alto"</formula>
    </cfRule>
    <cfRule type="cellIs" dxfId="200" priority="214" operator="equal">
      <formula>"Moderado"</formula>
    </cfRule>
    <cfRule type="cellIs" dxfId="199" priority="215" operator="equal">
      <formula>"Bajo"</formula>
    </cfRule>
  </conditionalFormatting>
  <conditionalFormatting sqref="Y22:Y27">
    <cfRule type="cellIs" dxfId="198" priority="207" operator="equal">
      <formula>"Muy Alta"</formula>
    </cfRule>
    <cfRule type="cellIs" dxfId="197" priority="208" operator="equal">
      <formula>"Alta"</formula>
    </cfRule>
    <cfRule type="cellIs" dxfId="196" priority="209" operator="equal">
      <formula>"Media"</formula>
    </cfRule>
    <cfRule type="cellIs" dxfId="195" priority="210" operator="equal">
      <formula>"Baja"</formula>
    </cfRule>
    <cfRule type="cellIs" dxfId="194" priority="211" operator="equal">
      <formula>"Muy Baja"</formula>
    </cfRule>
  </conditionalFormatting>
  <conditionalFormatting sqref="AA22:AA27">
    <cfRule type="cellIs" dxfId="193" priority="202" operator="equal">
      <formula>"Catastrófico"</formula>
    </cfRule>
    <cfRule type="cellIs" dxfId="192" priority="203" operator="equal">
      <formula>"Mayor"</formula>
    </cfRule>
    <cfRule type="cellIs" dxfId="191" priority="204" operator="equal">
      <formula>"Moderado"</formula>
    </cfRule>
    <cfRule type="cellIs" dxfId="190" priority="205" operator="equal">
      <formula>"Menor"</formula>
    </cfRule>
    <cfRule type="cellIs" dxfId="189" priority="206" operator="equal">
      <formula>"Leve"</formula>
    </cfRule>
  </conditionalFormatting>
  <conditionalFormatting sqref="AC22:AC27">
    <cfRule type="cellIs" dxfId="188" priority="198" operator="equal">
      <formula>"Extremo"</formula>
    </cfRule>
    <cfRule type="cellIs" dxfId="187" priority="199" operator="equal">
      <formula>"Alto"</formula>
    </cfRule>
    <cfRule type="cellIs" dxfId="186" priority="200" operator="equal">
      <formula>"Moderado"</formula>
    </cfRule>
    <cfRule type="cellIs" dxfId="185" priority="201" operator="equal">
      <formula>"Bajo"</formula>
    </cfRule>
  </conditionalFormatting>
  <conditionalFormatting sqref="H28">
    <cfRule type="cellIs" dxfId="184" priority="193" operator="equal">
      <formula>"Muy Alta"</formula>
    </cfRule>
    <cfRule type="cellIs" dxfId="183" priority="194" operator="equal">
      <formula>"Alta"</formula>
    </cfRule>
    <cfRule type="cellIs" dxfId="182" priority="195" operator="equal">
      <formula>"Media"</formula>
    </cfRule>
    <cfRule type="cellIs" dxfId="181" priority="196" operator="equal">
      <formula>"Baja"</formula>
    </cfRule>
    <cfRule type="cellIs" dxfId="180" priority="197" operator="equal">
      <formula>"Muy Baja"</formula>
    </cfRule>
  </conditionalFormatting>
  <conditionalFormatting sqref="N28">
    <cfRule type="cellIs" dxfId="179" priority="184" operator="equal">
      <formula>"Extremo"</formula>
    </cfRule>
    <cfRule type="cellIs" dxfId="178" priority="185" operator="equal">
      <formula>"Alto"</formula>
    </cfRule>
    <cfRule type="cellIs" dxfId="177" priority="186" operator="equal">
      <formula>"Moderado"</formula>
    </cfRule>
    <cfRule type="cellIs" dxfId="176" priority="187" operator="equal">
      <formula>"Bajo"</formula>
    </cfRule>
  </conditionalFormatting>
  <conditionalFormatting sqref="Y28:Y33">
    <cfRule type="cellIs" dxfId="175" priority="179" operator="equal">
      <formula>"Muy Alta"</formula>
    </cfRule>
    <cfRule type="cellIs" dxfId="174" priority="180" operator="equal">
      <formula>"Alta"</formula>
    </cfRule>
    <cfRule type="cellIs" dxfId="173" priority="181" operator="equal">
      <formula>"Media"</formula>
    </cfRule>
    <cfRule type="cellIs" dxfId="172" priority="182" operator="equal">
      <formula>"Baja"</formula>
    </cfRule>
    <cfRule type="cellIs" dxfId="171" priority="183" operator="equal">
      <formula>"Muy Baja"</formula>
    </cfRule>
  </conditionalFormatting>
  <conditionalFormatting sqref="AA28:AA33">
    <cfRule type="cellIs" dxfId="170" priority="174" operator="equal">
      <formula>"Catastrófico"</formula>
    </cfRule>
    <cfRule type="cellIs" dxfId="169" priority="175" operator="equal">
      <formula>"Mayor"</formula>
    </cfRule>
    <cfRule type="cellIs" dxfId="168" priority="176" operator="equal">
      <formula>"Moderado"</formula>
    </cfRule>
    <cfRule type="cellIs" dxfId="167" priority="177" operator="equal">
      <formula>"Menor"</formula>
    </cfRule>
    <cfRule type="cellIs" dxfId="166" priority="178" operator="equal">
      <formula>"Leve"</formula>
    </cfRule>
  </conditionalFormatting>
  <conditionalFormatting sqref="AC28:AC33">
    <cfRule type="cellIs" dxfId="165" priority="170" operator="equal">
      <formula>"Extremo"</formula>
    </cfRule>
    <cfRule type="cellIs" dxfId="164" priority="171" operator="equal">
      <formula>"Alto"</formula>
    </cfRule>
    <cfRule type="cellIs" dxfId="163" priority="172" operator="equal">
      <formula>"Moderado"</formula>
    </cfRule>
    <cfRule type="cellIs" dxfId="162" priority="173" operator="equal">
      <formula>"Bajo"</formula>
    </cfRule>
  </conditionalFormatting>
  <conditionalFormatting sqref="H34">
    <cfRule type="cellIs" dxfId="161" priority="165" operator="equal">
      <formula>"Muy Alta"</formula>
    </cfRule>
    <cfRule type="cellIs" dxfId="160" priority="166" operator="equal">
      <formula>"Alta"</formula>
    </cfRule>
    <cfRule type="cellIs" dxfId="159" priority="167" operator="equal">
      <formula>"Media"</formula>
    </cfRule>
    <cfRule type="cellIs" dxfId="158" priority="168" operator="equal">
      <formula>"Baja"</formula>
    </cfRule>
    <cfRule type="cellIs" dxfId="157" priority="169" operator="equal">
      <formula>"Muy Baja"</formula>
    </cfRule>
  </conditionalFormatting>
  <conditionalFormatting sqref="N34">
    <cfRule type="cellIs" dxfId="156" priority="156" operator="equal">
      <formula>"Extremo"</formula>
    </cfRule>
    <cfRule type="cellIs" dxfId="155" priority="157" operator="equal">
      <formula>"Alto"</formula>
    </cfRule>
    <cfRule type="cellIs" dxfId="154" priority="158" operator="equal">
      <formula>"Moderado"</formula>
    </cfRule>
    <cfRule type="cellIs" dxfId="153" priority="159" operator="equal">
      <formula>"Bajo"</formula>
    </cfRule>
  </conditionalFormatting>
  <conditionalFormatting sqref="Y34:Y39">
    <cfRule type="cellIs" dxfId="152" priority="151" operator="equal">
      <formula>"Muy Alta"</formula>
    </cfRule>
    <cfRule type="cellIs" dxfId="151" priority="152" operator="equal">
      <formula>"Alta"</formula>
    </cfRule>
    <cfRule type="cellIs" dxfId="150" priority="153" operator="equal">
      <formula>"Media"</formula>
    </cfRule>
    <cfRule type="cellIs" dxfId="149" priority="154" operator="equal">
      <formula>"Baja"</formula>
    </cfRule>
    <cfRule type="cellIs" dxfId="148" priority="155" operator="equal">
      <formula>"Muy Baja"</formula>
    </cfRule>
  </conditionalFormatting>
  <conditionalFormatting sqref="AA34:AA39">
    <cfRule type="cellIs" dxfId="147" priority="146" operator="equal">
      <formula>"Catastrófico"</formula>
    </cfRule>
    <cfRule type="cellIs" dxfId="146" priority="147" operator="equal">
      <formula>"Mayor"</formula>
    </cfRule>
    <cfRule type="cellIs" dxfId="145" priority="148" operator="equal">
      <formula>"Moderado"</formula>
    </cfRule>
    <cfRule type="cellIs" dxfId="144" priority="149" operator="equal">
      <formula>"Menor"</formula>
    </cfRule>
    <cfRule type="cellIs" dxfId="143" priority="150" operator="equal">
      <formula>"Leve"</formula>
    </cfRule>
  </conditionalFormatting>
  <conditionalFormatting sqref="AC34:AC39">
    <cfRule type="cellIs" dxfId="142" priority="142" operator="equal">
      <formula>"Extremo"</formula>
    </cfRule>
    <cfRule type="cellIs" dxfId="141" priority="143" operator="equal">
      <formula>"Alto"</formula>
    </cfRule>
    <cfRule type="cellIs" dxfId="140" priority="144" operator="equal">
      <formula>"Moderado"</formula>
    </cfRule>
    <cfRule type="cellIs" dxfId="139" priority="145" operator="equal">
      <formula>"Bajo"</formula>
    </cfRule>
  </conditionalFormatting>
  <conditionalFormatting sqref="H40">
    <cfRule type="cellIs" dxfId="138" priority="137" operator="equal">
      <formula>"Muy Alta"</formula>
    </cfRule>
    <cfRule type="cellIs" dxfId="137" priority="138" operator="equal">
      <formula>"Alta"</formula>
    </cfRule>
    <cfRule type="cellIs" dxfId="136" priority="139" operator="equal">
      <formula>"Media"</formula>
    </cfRule>
    <cfRule type="cellIs" dxfId="135" priority="140" operator="equal">
      <formula>"Baja"</formula>
    </cfRule>
    <cfRule type="cellIs" dxfId="134" priority="141" operator="equal">
      <formula>"Muy Baja"</formula>
    </cfRule>
  </conditionalFormatting>
  <conditionalFormatting sqref="N40">
    <cfRule type="cellIs" dxfId="133" priority="128" operator="equal">
      <formula>"Extremo"</formula>
    </cfRule>
    <cfRule type="cellIs" dxfId="132" priority="129" operator="equal">
      <formula>"Alto"</formula>
    </cfRule>
    <cfRule type="cellIs" dxfId="131" priority="130" operator="equal">
      <formula>"Moderado"</formula>
    </cfRule>
    <cfRule type="cellIs" dxfId="130" priority="131" operator="equal">
      <formula>"Bajo"</formula>
    </cfRule>
  </conditionalFormatting>
  <conditionalFormatting sqref="Y40:Y45">
    <cfRule type="cellIs" dxfId="129" priority="123" operator="equal">
      <formula>"Muy Alta"</formula>
    </cfRule>
    <cfRule type="cellIs" dxfId="128" priority="124" operator="equal">
      <formula>"Alta"</formula>
    </cfRule>
    <cfRule type="cellIs" dxfId="127" priority="125" operator="equal">
      <formula>"Media"</formula>
    </cfRule>
    <cfRule type="cellIs" dxfId="126" priority="126" operator="equal">
      <formula>"Baja"</formula>
    </cfRule>
    <cfRule type="cellIs" dxfId="125" priority="127" operator="equal">
      <formula>"Muy Baja"</formula>
    </cfRule>
  </conditionalFormatting>
  <conditionalFormatting sqref="AA40:AA45">
    <cfRule type="cellIs" dxfId="124" priority="118" operator="equal">
      <formula>"Catastrófico"</formula>
    </cfRule>
    <cfRule type="cellIs" dxfId="123" priority="119" operator="equal">
      <formula>"Mayor"</formula>
    </cfRule>
    <cfRule type="cellIs" dxfId="122" priority="120" operator="equal">
      <formula>"Moderado"</formula>
    </cfRule>
    <cfRule type="cellIs" dxfId="121" priority="121" operator="equal">
      <formula>"Menor"</formula>
    </cfRule>
    <cfRule type="cellIs" dxfId="120" priority="122" operator="equal">
      <formula>"Leve"</formula>
    </cfRule>
  </conditionalFormatting>
  <conditionalFormatting sqref="AC40:AC45">
    <cfRule type="cellIs" dxfId="119" priority="114" operator="equal">
      <formula>"Extremo"</formula>
    </cfRule>
    <cfRule type="cellIs" dxfId="118" priority="115" operator="equal">
      <formula>"Alto"</formula>
    </cfRule>
    <cfRule type="cellIs" dxfId="117" priority="116" operator="equal">
      <formula>"Moderado"</formula>
    </cfRule>
    <cfRule type="cellIs" dxfId="116" priority="117" operator="equal">
      <formula>"Bajo"</formula>
    </cfRule>
  </conditionalFormatting>
  <conditionalFormatting sqref="H46">
    <cfRule type="cellIs" dxfId="115" priority="109" operator="equal">
      <formula>"Muy Alta"</formula>
    </cfRule>
    <cfRule type="cellIs" dxfId="114" priority="110" operator="equal">
      <formula>"Alta"</formula>
    </cfRule>
    <cfRule type="cellIs" dxfId="113" priority="111" operator="equal">
      <formula>"Media"</formula>
    </cfRule>
    <cfRule type="cellIs" dxfId="112" priority="112" operator="equal">
      <formula>"Baja"</formula>
    </cfRule>
    <cfRule type="cellIs" dxfId="111" priority="113" operator="equal">
      <formula>"Muy Baja"</formula>
    </cfRule>
  </conditionalFormatting>
  <conditionalFormatting sqref="N46">
    <cfRule type="cellIs" dxfId="110" priority="100" operator="equal">
      <formula>"Extremo"</formula>
    </cfRule>
    <cfRule type="cellIs" dxfId="109" priority="101" operator="equal">
      <formula>"Alto"</formula>
    </cfRule>
    <cfRule type="cellIs" dxfId="108" priority="102" operator="equal">
      <formula>"Moderado"</formula>
    </cfRule>
    <cfRule type="cellIs" dxfId="107" priority="103" operator="equal">
      <formula>"Bajo"</formula>
    </cfRule>
  </conditionalFormatting>
  <conditionalFormatting sqref="Y46:Y51">
    <cfRule type="cellIs" dxfId="106" priority="95" operator="equal">
      <formula>"Muy Alta"</formula>
    </cfRule>
    <cfRule type="cellIs" dxfId="105" priority="96" operator="equal">
      <formula>"Alta"</formula>
    </cfRule>
    <cfRule type="cellIs" dxfId="104" priority="97" operator="equal">
      <formula>"Media"</formula>
    </cfRule>
    <cfRule type="cellIs" dxfId="103" priority="98" operator="equal">
      <formula>"Baja"</formula>
    </cfRule>
    <cfRule type="cellIs" dxfId="102" priority="99" operator="equal">
      <formula>"Muy Baja"</formula>
    </cfRule>
  </conditionalFormatting>
  <conditionalFormatting sqref="AA46:AA51">
    <cfRule type="cellIs" dxfId="101" priority="90" operator="equal">
      <formula>"Catastrófico"</formula>
    </cfRule>
    <cfRule type="cellIs" dxfId="100" priority="91" operator="equal">
      <formula>"Mayor"</formula>
    </cfRule>
    <cfRule type="cellIs" dxfId="99" priority="92" operator="equal">
      <formula>"Moderado"</formula>
    </cfRule>
    <cfRule type="cellIs" dxfId="98" priority="93" operator="equal">
      <formula>"Menor"</formula>
    </cfRule>
    <cfRule type="cellIs" dxfId="97" priority="94" operator="equal">
      <formula>"Leve"</formula>
    </cfRule>
  </conditionalFormatting>
  <conditionalFormatting sqref="AC46:AC51">
    <cfRule type="cellIs" dxfId="96" priority="86" operator="equal">
      <formula>"Extremo"</formula>
    </cfRule>
    <cfRule type="cellIs" dxfId="95" priority="87" operator="equal">
      <formula>"Alto"</formula>
    </cfRule>
    <cfRule type="cellIs" dxfId="94" priority="88" operator="equal">
      <formula>"Moderado"</formula>
    </cfRule>
    <cfRule type="cellIs" dxfId="93" priority="89" operator="equal">
      <formula>"Bajo"</formula>
    </cfRule>
  </conditionalFormatting>
  <conditionalFormatting sqref="H52">
    <cfRule type="cellIs" dxfId="92" priority="81" operator="equal">
      <formula>"Muy Alta"</formula>
    </cfRule>
    <cfRule type="cellIs" dxfId="91" priority="82" operator="equal">
      <formula>"Alta"</formula>
    </cfRule>
    <cfRule type="cellIs" dxfId="90" priority="83" operator="equal">
      <formula>"Media"</formula>
    </cfRule>
    <cfRule type="cellIs" dxfId="89" priority="84" operator="equal">
      <formula>"Baja"</formula>
    </cfRule>
    <cfRule type="cellIs" dxfId="88" priority="85" operator="equal">
      <formula>"Muy Baja"</formula>
    </cfRule>
  </conditionalFormatting>
  <conditionalFormatting sqref="N52">
    <cfRule type="cellIs" dxfId="87" priority="72" operator="equal">
      <formula>"Extremo"</formula>
    </cfRule>
    <cfRule type="cellIs" dxfId="86" priority="73" operator="equal">
      <formula>"Alto"</formula>
    </cfRule>
    <cfRule type="cellIs" dxfId="85" priority="74" operator="equal">
      <formula>"Moderado"</formula>
    </cfRule>
    <cfRule type="cellIs" dxfId="84" priority="75" operator="equal">
      <formula>"Bajo"</formula>
    </cfRule>
  </conditionalFormatting>
  <conditionalFormatting sqref="Y52:Y57">
    <cfRule type="cellIs" dxfId="83" priority="67" operator="equal">
      <formula>"Muy Alta"</formula>
    </cfRule>
    <cfRule type="cellIs" dxfId="82" priority="68" operator="equal">
      <formula>"Alta"</formula>
    </cfRule>
    <cfRule type="cellIs" dxfId="81" priority="69" operator="equal">
      <formula>"Media"</formula>
    </cfRule>
    <cfRule type="cellIs" dxfId="80" priority="70" operator="equal">
      <formula>"Baja"</formula>
    </cfRule>
    <cfRule type="cellIs" dxfId="79" priority="71" operator="equal">
      <formula>"Muy Baja"</formula>
    </cfRule>
  </conditionalFormatting>
  <conditionalFormatting sqref="AA52:AA57">
    <cfRule type="cellIs" dxfId="78" priority="62" operator="equal">
      <formula>"Catastrófico"</formula>
    </cfRule>
    <cfRule type="cellIs" dxfId="77" priority="63" operator="equal">
      <formula>"Mayor"</formula>
    </cfRule>
    <cfRule type="cellIs" dxfId="76" priority="64" operator="equal">
      <formula>"Moderado"</formula>
    </cfRule>
    <cfRule type="cellIs" dxfId="75" priority="65" operator="equal">
      <formula>"Menor"</formula>
    </cfRule>
    <cfRule type="cellIs" dxfId="74" priority="66" operator="equal">
      <formula>"Leve"</formula>
    </cfRule>
  </conditionalFormatting>
  <conditionalFormatting sqref="AC52:AC57">
    <cfRule type="cellIs" dxfId="73" priority="58" operator="equal">
      <formula>"Extremo"</formula>
    </cfRule>
    <cfRule type="cellIs" dxfId="72" priority="59" operator="equal">
      <formula>"Alto"</formula>
    </cfRule>
    <cfRule type="cellIs" dxfId="71" priority="60" operator="equal">
      <formula>"Moderado"</formula>
    </cfRule>
    <cfRule type="cellIs" dxfId="70" priority="61" operator="equal">
      <formula>"Bajo"</formula>
    </cfRule>
  </conditionalFormatting>
  <conditionalFormatting sqref="N58">
    <cfRule type="cellIs" dxfId="69" priority="44" operator="equal">
      <formula>"Extremo"</formula>
    </cfRule>
    <cfRule type="cellIs" dxfId="68" priority="45" operator="equal">
      <formula>"Alto"</formula>
    </cfRule>
    <cfRule type="cellIs" dxfId="67" priority="46" operator="equal">
      <formula>"Moderado"</formula>
    </cfRule>
    <cfRule type="cellIs" dxfId="66" priority="47" operator="equal">
      <formula>"Bajo"</formula>
    </cfRule>
  </conditionalFormatting>
  <conditionalFormatting sqref="Y58:Y63">
    <cfRule type="cellIs" dxfId="65" priority="39" operator="equal">
      <formula>"Muy Alta"</formula>
    </cfRule>
    <cfRule type="cellIs" dxfId="64" priority="40" operator="equal">
      <formula>"Alta"</formula>
    </cfRule>
    <cfRule type="cellIs" dxfId="63" priority="41" operator="equal">
      <formula>"Media"</formula>
    </cfRule>
    <cfRule type="cellIs" dxfId="62" priority="42" operator="equal">
      <formula>"Baja"</formula>
    </cfRule>
    <cfRule type="cellIs" dxfId="61" priority="43" operator="equal">
      <formula>"Muy Baja"</formula>
    </cfRule>
  </conditionalFormatting>
  <conditionalFormatting sqref="AA58:AA63">
    <cfRule type="cellIs" dxfId="60" priority="34" operator="equal">
      <formula>"Catastrófico"</formula>
    </cfRule>
    <cfRule type="cellIs" dxfId="59" priority="35" operator="equal">
      <formula>"Mayor"</formula>
    </cfRule>
    <cfRule type="cellIs" dxfId="58" priority="36" operator="equal">
      <formula>"Moderado"</formula>
    </cfRule>
    <cfRule type="cellIs" dxfId="57" priority="37" operator="equal">
      <formula>"Menor"</formula>
    </cfRule>
    <cfRule type="cellIs" dxfId="56" priority="38" operator="equal">
      <formula>"Leve"</formula>
    </cfRule>
  </conditionalFormatting>
  <conditionalFormatting sqref="AC58:AC63">
    <cfRule type="cellIs" dxfId="55" priority="30" operator="equal">
      <formula>"Extremo"</formula>
    </cfRule>
    <cfRule type="cellIs" dxfId="54" priority="31" operator="equal">
      <formula>"Alto"</formula>
    </cfRule>
    <cfRule type="cellIs" dxfId="53" priority="32" operator="equal">
      <formula>"Moderado"</formula>
    </cfRule>
    <cfRule type="cellIs" dxfId="52" priority="33" operator="equal">
      <formula>"Bajo"</formula>
    </cfRule>
  </conditionalFormatting>
  <conditionalFormatting sqref="H64">
    <cfRule type="cellIs" dxfId="51" priority="25" operator="equal">
      <formula>"Muy Alta"</formula>
    </cfRule>
    <cfRule type="cellIs" dxfId="50" priority="26" operator="equal">
      <formula>"Alta"</formula>
    </cfRule>
    <cfRule type="cellIs" dxfId="49" priority="27" operator="equal">
      <formula>"Media"</formula>
    </cfRule>
    <cfRule type="cellIs" dxfId="48" priority="28" operator="equal">
      <formula>"Baja"</formula>
    </cfRule>
    <cfRule type="cellIs" dxfId="47" priority="29" operator="equal">
      <formula>"Muy Baja"</formula>
    </cfRule>
  </conditionalFormatting>
  <conditionalFormatting sqref="N64">
    <cfRule type="cellIs" dxfId="46" priority="16" operator="equal">
      <formula>"Extremo"</formula>
    </cfRule>
    <cfRule type="cellIs" dxfId="45" priority="17" operator="equal">
      <formula>"Alto"</formula>
    </cfRule>
    <cfRule type="cellIs" dxfId="44" priority="18" operator="equal">
      <formula>"Moderado"</formula>
    </cfRule>
    <cfRule type="cellIs" dxfId="43" priority="19" operator="equal">
      <formula>"Bajo"</formula>
    </cfRule>
  </conditionalFormatting>
  <conditionalFormatting sqref="Y64:Y69">
    <cfRule type="cellIs" dxfId="42" priority="11" operator="equal">
      <formula>"Muy Alta"</formula>
    </cfRule>
    <cfRule type="cellIs" dxfId="41" priority="12" operator="equal">
      <formula>"Alta"</formula>
    </cfRule>
    <cfRule type="cellIs" dxfId="40" priority="13" operator="equal">
      <formula>"Media"</formula>
    </cfRule>
    <cfRule type="cellIs" dxfId="39" priority="14" operator="equal">
      <formula>"Baja"</formula>
    </cfRule>
    <cfRule type="cellIs" dxfId="38" priority="15" operator="equal">
      <formula>"Muy Baja"</formula>
    </cfRule>
  </conditionalFormatting>
  <conditionalFormatting sqref="AA64:AA69">
    <cfRule type="cellIs" dxfId="37" priority="6" operator="equal">
      <formula>"Catastrófico"</formula>
    </cfRule>
    <cfRule type="cellIs" dxfId="36" priority="7" operator="equal">
      <formula>"Mayor"</formula>
    </cfRule>
    <cfRule type="cellIs" dxfId="35" priority="8" operator="equal">
      <formula>"Moderado"</formula>
    </cfRule>
    <cfRule type="cellIs" dxfId="34" priority="9" operator="equal">
      <formula>"Menor"</formula>
    </cfRule>
    <cfRule type="cellIs" dxfId="33" priority="10" operator="equal">
      <formula>"Leve"</formula>
    </cfRule>
  </conditionalFormatting>
  <conditionalFormatting sqref="AC64:AC69">
    <cfRule type="cellIs" dxfId="32" priority="2" operator="equal">
      <formula>"Extremo"</formula>
    </cfRule>
    <cfRule type="cellIs" dxfId="31" priority="3" operator="equal">
      <formula>"Alto"</formula>
    </cfRule>
    <cfRule type="cellIs" dxfId="30" priority="4" operator="equal">
      <formula>"Moderado"</formula>
    </cfRule>
    <cfRule type="cellIs" dxfId="29" priority="5" operator="equal">
      <formula>"Bajo"</formula>
    </cfRule>
  </conditionalFormatting>
  <conditionalFormatting sqref="K10:K69">
    <cfRule type="containsText" dxfId="28" priority="1" operator="containsText" text="❌">
      <formula>NOT(ISERROR(SEARCH("❌",K10)))</formula>
    </cfRule>
  </conditionalFormatting>
  <pageMargins left="0.7" right="0.7" top="0.75" bottom="0.75" header="0.3" footer="0.3"/>
  <pageSetup scale="19" orientation="portrait" r:id="rId1"/>
  <ignoredErrors>
    <ignoredError sqref="AB12" formula="1"/>
  </ignoredErrors>
  <extLst>
    <ext xmlns:x14="http://schemas.microsoft.com/office/spreadsheetml/2009/9/main" uri="{CCE6A557-97BC-4b89-ADB6-D9C93CAAB3DF}">
      <x14:dataValidations xmlns:xm="http://schemas.microsoft.com/office/excel/2006/main" count="31">
        <x14:dataValidation type="list" allowBlank="1" showInputMessage="1" showErrorMessage="1" xr:uid="{62392D19-64EF-4393-9F36-55D974E90FA0}">
          <x14:formula1>
            <xm:f>'Tabla Valoración controles'!$D$4:$D$6</xm:f>
          </x14:formula1>
          <xm:sqref>R10:R69</xm:sqref>
        </x14:dataValidation>
        <x14:dataValidation type="list" allowBlank="1" showInputMessage="1" showErrorMessage="1" xr:uid="{54FB0CE1-6882-43B8-A686-063D79F2F09C}">
          <x14:formula1>
            <xm:f>'Tabla Valoración controles'!$D$7:$D$8</xm:f>
          </x14:formula1>
          <xm:sqref>S10:S69</xm:sqref>
        </x14:dataValidation>
        <x14:dataValidation type="list" allowBlank="1" showInputMessage="1" showErrorMessage="1" xr:uid="{CB7436AA-50F8-4511-9831-3DBDB3FA4E6D}">
          <x14:formula1>
            <xm:f>'Tabla Valoración controles'!$D$9:$D$10</xm:f>
          </x14:formula1>
          <xm:sqref>U10:U69</xm:sqref>
        </x14:dataValidation>
        <x14:dataValidation type="list" allowBlank="1" showInputMessage="1" showErrorMessage="1" xr:uid="{D33BB8A4-D2B0-4C82-969A-57A876B67231}">
          <x14:formula1>
            <xm:f>'Tabla Valoración controles'!$D$11:$D$12</xm:f>
          </x14:formula1>
          <xm:sqref>V10:V69</xm:sqref>
        </x14:dataValidation>
        <x14:dataValidation type="list" allowBlank="1" showInputMessage="1" showErrorMessage="1" xr:uid="{DD73E4EB-2AEA-4FAB-ABF9-1E51AD29987C}">
          <x14:formula1>
            <xm:f>'Opciones Tratamiento'!$B$9:$B$10</xm:f>
          </x14:formula1>
          <xm:sqref>AJ28:AJ29 AJ31:AJ32 AJ37:AJ38 AJ40:AJ41 AJ43:AJ44 AJ46:AJ47 AJ49:AJ50 AJ52:AJ53 AJ55:AJ56 AJ58:AJ59 AJ61:AJ62 AJ64:AJ65 AJ67:AJ68 AJ10:AJ12 AJ14 AJ16:AJ17 AJ19:AJ20 AJ26 AJ22 AJ23</xm:sqref>
        </x14:dataValidation>
        <x14:dataValidation type="list" allowBlank="1" showInputMessage="1" showErrorMessage="1" xr:uid="{21EE87AE-9B5D-475E-BF27-77B3D71286DA}">
          <x14:formula1>
            <xm:f>'Tabla Valoración controles'!$D$13:$D$14</xm:f>
          </x14:formula1>
          <xm:sqref>W10:W69</xm:sqref>
        </x14:dataValidation>
        <x14:dataValidation type="list" allowBlank="1" showInputMessage="1" showErrorMessage="1" xr:uid="{DA4C90B4-8AE3-4E58-A164-5FB86E69A701}">
          <x14:formula1>
            <xm:f>'Opciones Tratamiento'!$B$13:$B$19</xm:f>
          </x14:formula1>
          <xm:sqref>F10:F69</xm:sqref>
        </x14:dataValidation>
        <x14:dataValidation type="list" allowBlank="1" showInputMessage="1" showErrorMessage="1" xr:uid="{07B7B895-9509-4532-9C38-E835CCD3856A}">
          <x14:formula1>
            <xm:f>'Opciones Tratamiento'!$E$2:$E$4</xm:f>
          </x14:formula1>
          <xm:sqref>B10:B69</xm:sqref>
        </x14:dataValidation>
        <x14:dataValidation type="list" allowBlank="1" showInputMessage="1" showErrorMessage="1" xr:uid="{95C0BE1B-E7A4-4665-8275-AAB55C517029}">
          <x14:formula1>
            <xm:f>'Opciones Tratamiento'!$B$2:$B$5</xm:f>
          </x14:formula1>
          <xm:sqref>AD10:AD69</xm:sqref>
        </x14:dataValidation>
        <x14:dataValidation type="list" allowBlank="1" showInputMessage="1" showErrorMessage="1" xr:uid="{E919D0A8-128E-42C3-A350-4AF84B628E3B}">
          <x14:formula1>
            <xm:f>'Tabla Impacto'!$F$210:$F$221</xm:f>
          </x14:formula1>
          <xm:sqref>J10:J69</xm:sqref>
        </x14:dataValidation>
        <x14:dataValidation type="custom" allowBlank="1" showInputMessage="1" showErrorMessage="1" error="Recuerde que las acciones se generan bajo la medida de mitigar el riesgo" xr:uid="{8782AFBC-D6FA-409C-89AA-92A68FA9B7FA}">
          <x14:formula1>
            <xm:f>IF(OR(AD10='Opciones Tratamiento'!$B$2,AD10='Opciones Tratamiento'!$B$3,AD10='Opciones Tratamiento'!$B$4),ISBLANK(AD10),ISTEXT(AD10))</xm:f>
          </x14:formula1>
          <xm:sqref>AE10 AE14:AE15 AE17:AE21 AE27:AE33 AE37:AE69</xm:sqref>
        </x14:dataValidation>
        <x14:dataValidation type="custom" allowBlank="1" showInputMessage="1" showErrorMessage="1" error="Recuerde que las acciones se generan bajo la medida de mitigar el riesgo" xr:uid="{220483D9-0678-4715-99EB-FC2365972C81}">
          <x14:formula1>
            <xm:f>IF(OR(AD12='Opciones Tratamiento'!$B$2,AD12='Opciones Tratamiento'!$B$3,AD12='Opciones Tratamiento'!$B$4),ISBLANK(AD12),ISTEXT(AD12))</xm:f>
          </x14:formula1>
          <xm:sqref>AE11:AE12</xm:sqref>
        </x14:dataValidation>
        <x14:dataValidation type="custom" allowBlank="1" showInputMessage="1" showErrorMessage="1" error="Recuerde que las acciones se generan bajo la medida de mitigar el riesgo" xr:uid="{D4CE1884-29E8-4F26-9F6E-6D40F10639C5}">
          <x14:formula1>
            <xm:f>IF(OR(AD10='Opciones Tratamiento'!$B$2,AD10='Opciones Tratamiento'!$B$3,AD10='Opciones Tratamiento'!$B$4),ISBLANK(AD10),ISTEXT(AD10))</xm:f>
          </x14:formula1>
          <xm:sqref>AF10 AF14:AF15 AF17:AF21 AF26:AF33 AF37:AF69</xm:sqref>
        </x14:dataValidation>
        <x14:dataValidation type="custom" allowBlank="1" showInputMessage="1" showErrorMessage="1" error="Recuerde que las acciones se generan bajo la medida de mitigar el riesgo" xr:uid="{891768C3-71AA-4993-83AC-21404EB26762}">
          <x14:formula1>
            <xm:f>IF(OR(AD12='Opciones Tratamiento'!$B$2,AD12='Opciones Tratamiento'!$B$3,AD12='Opciones Tratamiento'!$B$4),ISBLANK(AD12),ISTEXT(AD12))</xm:f>
          </x14:formula1>
          <xm:sqref>AF11:AF12</xm:sqref>
        </x14:dataValidation>
        <x14:dataValidation type="custom" allowBlank="1" showInputMessage="1" showErrorMessage="1" error="Recuerde que las acciones se generan bajo la medida de mitigar el riesgo" xr:uid="{03B59C0A-E981-4BE3-AFE2-53B7AD347E35}">
          <x14:formula1>
            <xm:f>IF(OR(AD10='Opciones Tratamiento'!$B$2,AD10='Opciones Tratamiento'!$B$3,AD10='Opciones Tratamiento'!$B$4),ISBLANK(AD10),ISTEXT(AD10))</xm:f>
          </x14:formula1>
          <xm:sqref>AG10:AG11 AG14:AG15 AG17:AG21 AG26:AG33 AG37:AG69</xm:sqref>
        </x14:dataValidation>
        <x14:dataValidation type="custom" allowBlank="1" showInputMessage="1" showErrorMessage="1" error="Recuerde que las acciones se generan bajo la medida de mitigar el riesgo" xr:uid="{1F9945B2-2254-4458-80A6-3261081ED816}">
          <x14:formula1>
            <xm:f>IF(OR(AD13='Opciones Tratamiento'!$B$2,AD13='Opciones Tratamiento'!$B$3,AD13='Opciones Tratamiento'!$B$4),ISBLANK(AD13),ISTEXT(AD13))</xm:f>
          </x14:formula1>
          <xm:sqref>AG12</xm:sqref>
        </x14:dataValidation>
        <x14:dataValidation type="custom" allowBlank="1" showInputMessage="1" showErrorMessage="1" error="Recuerde que las acciones se generan bajo la medida de mitigar el riesgo" xr:uid="{752368A0-88E1-4028-89AE-0D99990009EC}">
          <x14:formula1>
            <xm:f>IF(OR(AD10='Opciones Tratamiento'!$B$2,AD10='Opciones Tratamiento'!$B$3,AD10='Opciones Tratamiento'!$B$4),ISBLANK(AD10),ISTEXT(AD10))</xm:f>
          </x14:formula1>
          <xm:sqref>AH10:AH11 AH14:AH15 AH17:AH21 AH26:AH33 AH37:AH69</xm:sqref>
        </x14:dataValidation>
        <x14:dataValidation type="custom" allowBlank="1" showInputMessage="1" showErrorMessage="1" error="Recuerde que las acciones se generan bajo la medida de mitigar el riesgo" xr:uid="{5F8A5504-8D05-492F-A825-7ED31662C183}">
          <x14:formula1>
            <xm:f>IF(OR(AD13='Opciones Tratamiento'!$B$2,AD13='Opciones Tratamiento'!$B$3,AD13='Opciones Tratamiento'!$B$4),ISBLANK(AD13),ISTEXT(AD13))</xm:f>
          </x14:formula1>
          <xm:sqref>AH12</xm:sqref>
        </x14:dataValidation>
        <x14:dataValidation type="custom" allowBlank="1" showInputMessage="1" showErrorMessage="1" error="Recuerde que las acciones se generan bajo la medida de mitigar el riesgo" xr:uid="{008CADE2-073F-4141-BB62-08780BF155E4}">
          <x14:formula1>
            <xm:f>IF(OR(AD10='Opciones Tratamiento'!$B$2,AD10='Opciones Tratamiento'!$B$3,AD10='Opciones Tratamiento'!$B$4),ISBLANK(AD10),ISTEXT(AD10))</xm:f>
          </x14:formula1>
          <xm:sqref>AI10:AI11 AI14:AI15 AI17:AI21 AI26:AI33 AI37:AI69</xm:sqref>
        </x14:dataValidation>
        <x14:dataValidation type="custom" allowBlank="1" showInputMessage="1" showErrorMessage="1" error="Recuerde que las acciones se generan bajo la medida de mitigar el riesgo" xr:uid="{65B3942D-967C-4D76-96A0-70D97895F9A3}">
          <x14:formula1>
            <xm:f>IF(OR(AD13='Opciones Tratamiento'!$B$2,AD13='Opciones Tratamiento'!$B$3,AD13='Opciones Tratamiento'!$B$4),ISBLANK(AD13),ISTEXT(AD13))</xm:f>
          </x14:formula1>
          <xm:sqref>AI12</xm:sqref>
        </x14:dataValidation>
        <x14:dataValidation type="custom" allowBlank="1" showInputMessage="1" showErrorMessage="1" error="Recuerde que las acciones se generan bajo la medida de mitigar el riesgo" xr:uid="{00E74253-3212-4079-AC2C-27934B62A7AF}">
          <x14:formula1>
            <xm:f>IF(OR(AD22='Opciones Tratamiento'!$B$2,AD22='Opciones Tratamiento'!$B$3,AD22='Opciones Tratamiento'!$B$4),ISBLANK(AD22),ISTEXT(AD22))</xm:f>
          </x14:formula1>
          <xm:sqref>AE16:AE18</xm:sqref>
        </x14:dataValidation>
        <x14:dataValidation type="custom" allowBlank="1" showInputMessage="1" showErrorMessage="1" error="Recuerde que las acciones se generan bajo la medida de mitigar el riesgo" xr:uid="{0595AD30-86C8-4396-AE42-C59794B99CD8}">
          <x14:formula1>
            <xm:f>IF(OR(AD22='Opciones Tratamiento'!$B$2,AD22='Opciones Tratamiento'!$B$3,AD22='Opciones Tratamiento'!$B$4),ISBLANK(AD22),ISTEXT(AD22))</xm:f>
          </x14:formula1>
          <xm:sqref>AF16:AF19</xm:sqref>
        </x14:dataValidation>
        <x14:dataValidation type="custom" allowBlank="1" showInputMessage="1" showErrorMessage="1" error="Recuerde que las acciones se generan bajo la medida de mitigar el riesgo" xr:uid="{54E2A7EE-A3AE-47FC-9E66-4DC4B1E32057}">
          <x14:formula1>
            <xm:f>IF(OR(AD22='Opciones Tratamiento'!$B$2,AD22='Opciones Tratamiento'!$B$3,AD22='Opciones Tratamiento'!$B$4),ISBLANK(AD22),ISTEXT(AD22))</xm:f>
          </x14:formula1>
          <xm:sqref>AG16:AG19</xm:sqref>
        </x14:dataValidation>
        <x14:dataValidation type="custom" allowBlank="1" showInputMessage="1" showErrorMessage="1" error="Recuerde que las acciones se generan bajo la medida de mitigar el riesgo" xr:uid="{823BE6FA-4410-4DCE-BB30-C7AD8E0854E5}">
          <x14:formula1>
            <xm:f>IF(OR(AD22='Opciones Tratamiento'!$B$2,AD22='Opciones Tratamiento'!$B$3,AD22='Opciones Tratamiento'!$B$4),ISBLANK(AD22),ISTEXT(AD22))</xm:f>
          </x14:formula1>
          <xm:sqref>AH16:AH19</xm:sqref>
        </x14:dataValidation>
        <x14:dataValidation type="custom" allowBlank="1" showInputMessage="1" showErrorMessage="1" error="Recuerde que las acciones se generan bajo la medida de mitigar el riesgo" xr:uid="{758A9280-DDFD-43D4-B64A-8F06CFE12147}">
          <x14:formula1>
            <xm:f>IF(OR(AD22='Opciones Tratamiento'!$B$2,AD22='Opciones Tratamiento'!$B$3,AD22='Opciones Tratamiento'!$B$4),ISBLANK(AD22),ISTEXT(AD22))</xm:f>
          </x14:formula1>
          <xm:sqref>AI16:AI19</xm:sqref>
        </x14:dataValidation>
        <x14:dataValidation type="custom" allowBlank="1" showInputMessage="1" showErrorMessage="1" error="Recuerde que las acciones se generan bajo la medida de mitigar el riesgo" xr:uid="{D8EE82C6-0730-4A34-B8B5-53208F1941AE}">
          <x14:formula1>
            <xm:f>IF(OR(AD26='Opciones Tratamiento'!$B$2,AD26='Opciones Tratamiento'!$B$3,AD26='Opciones Tratamiento'!$B$4),ISBLANK(AD26),ISTEXT(AD26))</xm:f>
          </x14:formula1>
          <xm:sqref>AE19</xm:sqref>
        </x14:dataValidation>
        <x14:dataValidation type="custom" allowBlank="1" showInputMessage="1" showErrorMessage="1" error="Recuerde que las acciones se generan bajo la medida de mitigar el riesgo" xr:uid="{9216F381-F0E5-4E56-9D12-FE17A87B5733}">
          <x14:formula1>
            <xm:f>IF(OR(AD36='Opciones Tratamiento'!$B$2,AD36='Opciones Tratamiento'!$B$3,AD36='Opciones Tratamiento'!$B$4),ISBLANK(AD36),ISTEXT(AD36))</xm:f>
          </x14:formula1>
          <xm:sqref>AE24</xm:sqref>
        </x14:dataValidation>
        <x14:dataValidation type="custom" allowBlank="1" showInputMessage="1" showErrorMessage="1" error="Recuerde que las acciones se generan bajo la medida de mitigar el riesgo" xr:uid="{149354F2-0A47-4B0D-9647-BD0631E4FB81}">
          <x14:formula1>
            <xm:f>IF(OR(AD34='Opciones Tratamiento'!$B$2,AD34='Opciones Tratamiento'!$B$3,AD34='Opciones Tratamiento'!$B$4),ISBLANK(AD34),ISTEXT(AD34))</xm:f>
          </x14:formula1>
          <xm:sqref>AF22:AF24</xm:sqref>
        </x14:dataValidation>
        <x14:dataValidation type="custom" allowBlank="1" showInputMessage="1" showErrorMessage="1" error="Recuerde que las acciones se generan bajo la medida de mitigar el riesgo" xr:uid="{6DDDC426-8F3E-4432-999F-8D182A23F69A}">
          <x14:formula1>
            <xm:f>IF(OR(AD34='Opciones Tratamiento'!$B$2,AD34='Opciones Tratamiento'!$B$3,AD34='Opciones Tratamiento'!$B$4),ISBLANK(AD34),ISTEXT(AD34))</xm:f>
          </x14:formula1>
          <xm:sqref>AG22:AG24</xm:sqref>
        </x14:dataValidation>
        <x14:dataValidation type="custom" allowBlank="1" showInputMessage="1" showErrorMessage="1" error="Recuerde que las acciones se generan bajo la medida de mitigar el riesgo" xr:uid="{78806D84-C8C5-4C8D-8711-B296CD619567}">
          <x14:formula1>
            <xm:f>IF(OR(AD34='Opciones Tratamiento'!$B$2,AD34='Opciones Tratamiento'!$B$3,AD34='Opciones Tratamiento'!$B$4),ISBLANK(AD34),ISTEXT(AD34))</xm:f>
          </x14:formula1>
          <xm:sqref>AH22:AH24</xm:sqref>
        </x14:dataValidation>
        <x14:dataValidation type="custom" allowBlank="1" showInputMessage="1" showErrorMessage="1" error="Recuerde que las acciones se generan bajo la medida de mitigar el riesgo" xr:uid="{8D8D6A09-5B3B-49D1-9C75-550BC5CD49E6}">
          <x14:formula1>
            <xm:f>IF(OR(AD34='Opciones Tratamiento'!$B$2,AD34='Opciones Tratamiento'!$B$3,AD34='Opciones Tratamiento'!$B$4),ISBLANK(AD34),ISTEXT(AD34))</xm:f>
          </x14:formula1>
          <xm:sqref>AI22:AI24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F117C-0B85-432E-A466-927660D493DB}">
  <sheetPr>
    <tabColor rgb="FF43FF98"/>
  </sheetPr>
  <dimension ref="A1:Y56"/>
  <sheetViews>
    <sheetView showGridLines="0" topLeftCell="K2" zoomScale="112" zoomScaleNormal="112" workbookViewId="0">
      <selection activeCell="T4" sqref="T4"/>
    </sheetView>
  </sheetViews>
  <sheetFormatPr baseColWidth="10" defaultRowHeight="15" x14ac:dyDescent="0.25"/>
  <cols>
    <col min="1" max="1" width="29.7109375" style="180" customWidth="1"/>
    <col min="2" max="2" width="14.85546875" customWidth="1"/>
    <col min="3" max="3" width="12.42578125" customWidth="1"/>
    <col min="4" max="4" width="66.85546875" customWidth="1"/>
    <col min="5" max="5" width="39.5703125" customWidth="1"/>
    <col min="6" max="6" width="29.85546875" customWidth="1"/>
    <col min="7" max="14" width="19.28515625" customWidth="1"/>
    <col min="15" max="18" width="14.140625" customWidth="1"/>
    <col min="19" max="19" width="15" customWidth="1"/>
    <col min="20" max="20" width="35.85546875" customWidth="1"/>
    <col min="21" max="21" width="16.7109375" customWidth="1"/>
    <col min="22" max="22" width="19.42578125" customWidth="1"/>
    <col min="23" max="23" width="15.7109375" customWidth="1"/>
    <col min="24" max="24" width="20.140625" customWidth="1"/>
    <col min="25" max="25" width="33.42578125" customWidth="1"/>
  </cols>
  <sheetData>
    <row r="1" spans="1:25" s="140" customFormat="1" ht="28.5" customHeight="1" x14ac:dyDescent="0.25">
      <c r="A1" s="291" t="s">
        <v>214</v>
      </c>
      <c r="B1" s="291"/>
      <c r="C1" s="291"/>
      <c r="D1" s="139" t="s">
        <v>215</v>
      </c>
      <c r="E1" s="292" t="s">
        <v>216</v>
      </c>
      <c r="F1" s="292"/>
      <c r="G1" s="293" t="s">
        <v>217</v>
      </c>
      <c r="H1" s="294"/>
      <c r="I1" s="294"/>
      <c r="J1" s="294"/>
      <c r="K1" s="294"/>
      <c r="L1" s="294"/>
      <c r="M1" s="294"/>
      <c r="N1" s="294"/>
      <c r="O1" s="294"/>
      <c r="P1" s="294"/>
      <c r="Q1" s="294"/>
      <c r="R1" s="294"/>
      <c r="S1" s="295"/>
      <c r="T1" s="291" t="s">
        <v>218</v>
      </c>
      <c r="U1" s="291"/>
      <c r="V1" s="292" t="s">
        <v>219</v>
      </c>
      <c r="W1" s="292"/>
      <c r="X1" s="290" t="s">
        <v>220</v>
      </c>
      <c r="Y1" s="290"/>
    </row>
    <row r="2" spans="1:25" ht="63.75" x14ac:dyDescent="0.25">
      <c r="A2" s="179" t="s">
        <v>221</v>
      </c>
      <c r="B2" s="141" t="s">
        <v>222</v>
      </c>
      <c r="C2" s="141" t="s">
        <v>223</v>
      </c>
      <c r="D2" s="141" t="s">
        <v>224</v>
      </c>
      <c r="E2" s="142" t="s">
        <v>225</v>
      </c>
      <c r="F2" s="142" t="s">
        <v>24</v>
      </c>
      <c r="G2" s="143" t="s">
        <v>226</v>
      </c>
      <c r="H2" s="143" t="s">
        <v>227</v>
      </c>
      <c r="I2" s="143" t="s">
        <v>228</v>
      </c>
      <c r="J2" s="143" t="s">
        <v>229</v>
      </c>
      <c r="K2" s="143" t="s">
        <v>230</v>
      </c>
      <c r="L2" s="143" t="s">
        <v>231</v>
      </c>
      <c r="M2" s="143" t="s">
        <v>232</v>
      </c>
      <c r="N2" s="143" t="s">
        <v>233</v>
      </c>
      <c r="O2" s="143" t="s">
        <v>233</v>
      </c>
      <c r="P2" s="143" t="s">
        <v>234</v>
      </c>
      <c r="Q2" s="143" t="s">
        <v>235</v>
      </c>
      <c r="R2" s="143" t="s">
        <v>236</v>
      </c>
      <c r="S2" s="143" t="s">
        <v>237</v>
      </c>
      <c r="T2" s="141" t="s">
        <v>34</v>
      </c>
      <c r="U2" s="141" t="s">
        <v>36</v>
      </c>
      <c r="V2" s="142" t="s">
        <v>238</v>
      </c>
      <c r="W2" s="142" t="s">
        <v>24</v>
      </c>
      <c r="X2" s="144" t="s">
        <v>239</v>
      </c>
      <c r="Y2" s="144" t="s">
        <v>240</v>
      </c>
    </row>
    <row r="3" spans="1:25" s="152" customFormat="1" ht="173.25" customHeight="1" x14ac:dyDescent="0.25">
      <c r="A3" s="289" t="str">
        <f>'Mapa final'!E10</f>
        <v>R1. Posibilidad de incumplir los lineamientos establecidos para el proceso, que pueden terminar con la materialización del riesgo inminente y excepcional, por no aplicar los criterios establecidos para la valoración inicial frente a presuntos casos de riesgo inminente y excepcional o presunción constitucional, afectando la vida, integridad y libertad de las personas objeto de protección del programa de la entidad.</v>
      </c>
      <c r="B3" s="289" t="str">
        <f>'Mapa final'!N10</f>
        <v>Extremo</v>
      </c>
      <c r="C3" s="289" t="s">
        <v>79</v>
      </c>
      <c r="D3" s="175" t="str">
        <f>'Mapa final'!P10</f>
        <v>El equipo de control y calidad revisa trimestralmente que el servidor público y/o contratista haya aplicado los lineamientos establecidos para la recomendación de medidas provisionales de protección, frente a casos de riesgo inminente y excepcional o presunción constitucional del riesgo. El control se realiza de forma periodica corroborando el cumplimiento de la Matriz de Servicios Características y Estándares establecida para el proceso de Gestión Integral de Medidas de Emergencia.
Evidencia: Informes de casos revisados por muestreo y otros.
Evidencia: Informes de no salidas no conformes y otros.</v>
      </c>
      <c r="E3" s="177"/>
      <c r="F3" s="178"/>
      <c r="G3" s="146"/>
      <c r="H3" s="146"/>
      <c r="I3" s="146"/>
      <c r="J3" s="146"/>
      <c r="K3" s="146"/>
      <c r="L3" s="145"/>
      <c r="M3" s="146"/>
      <c r="N3" s="146"/>
      <c r="O3" s="147"/>
      <c r="P3" s="147"/>
      <c r="Q3" s="147"/>
      <c r="R3" s="148"/>
      <c r="S3" s="149"/>
      <c r="T3" s="145" t="str">
        <f>'Mapa final'!AE10</f>
        <v>El líder del Equipo de Gestión Integral de Medidas de Emergencia, deberá instruir, sensibilizar y retroalimentar a los servidores públicos y/o contratistas del equipo sobre los parámetros establecidos para la valoración inicial frente a los presuntos casos de riesgo inminente y excepcional o presunción constitucional del riesgo.</v>
      </c>
      <c r="U3" s="150" t="str">
        <f>'Mapa final'!AG10</f>
        <v>01/09/2023
20/12/2023</v>
      </c>
      <c r="V3" s="181"/>
      <c r="W3" s="181"/>
      <c r="X3" s="151"/>
      <c r="Y3" s="151"/>
    </row>
    <row r="4" spans="1:25" ht="180" x14ac:dyDescent="0.25">
      <c r="A4" s="289"/>
      <c r="B4" s="289"/>
      <c r="C4" s="289"/>
      <c r="D4" s="175" t="str">
        <f>'Mapa final'!P11</f>
        <v>El líder del equipo de Gestión Integral de Medidas de Emergencia a través de un profesional del equipo, verifica de forma permanente que los requerimientos lleguen por los canales establecidos, que el expediente cuente con toda la documentación establecida y que se hayan realizado las verificaciones suficientes para identificar con efectividad  los posibles factores de riesgo inminente y excepcional. El control se realiza cada vez que llega una solicitud, dejando como evidencia el formato (GME-FT-01) Autorización y Asignación para inicio de la valoración Inicial del Riesgo Inminente Individual.
Evidencia: formatos y muestreo aleatorio, otros.</v>
      </c>
      <c r="E4" s="177"/>
      <c r="F4" s="178"/>
      <c r="G4" s="146"/>
      <c r="H4" s="146"/>
      <c r="I4" s="146"/>
      <c r="J4" s="146"/>
      <c r="K4" s="146"/>
      <c r="L4" s="145"/>
      <c r="M4" s="146"/>
      <c r="N4" s="146"/>
      <c r="O4" s="147"/>
      <c r="P4" s="147"/>
      <c r="Q4" s="147"/>
      <c r="R4" s="148"/>
      <c r="S4" s="154"/>
      <c r="T4" s="145" t="str">
        <f>'Mapa final'!AE11</f>
        <v>Los responsables y coordinadores deberán instruir, sensibilizar y retroalimentar a los servidores públicos y/o contratistas de la SER sobre los parámetros establecidos para llevar a cabo la solicitud de medidas de emergencia frente a posibles casos de riesgo inminente y excepcional o presunción constitucional de riesgo, evitando con ello adelantar actuaciones que desbordan la competencia del proceso</v>
      </c>
      <c r="U4" s="150" t="str">
        <f>'Mapa final'!AG11</f>
        <v>01/09/2023
20/12/2023</v>
      </c>
      <c r="V4" s="153"/>
      <c r="W4" s="153"/>
      <c r="X4" s="154"/>
      <c r="Y4" s="154"/>
    </row>
    <row r="5" spans="1:25" ht="210.75" customHeight="1" x14ac:dyDescent="0.25">
      <c r="A5" s="188" t="str">
        <f>'Mapa final'!E16</f>
        <v>R2. Posibilidad que en el desarrollo del Proceso “Gestión Integral de Medidas de Emergencia”, se recomiende inadecuadamente al Director General de la UNP para la adopción de medidas provisionales de protección, que deriven en la implementación de medidas insuficientes que puedan terminar afectando la vida, integridad y libertad de las personas objeto de protección del programa de la entidad ante la posible materialización del riesgo inminente y excepcional. O generando un detrimento patrimonial frente a medidas provisionales de protección innecesarias o excesivas. Ocasionando investigaciones penales, disciplinarias y/o fiscales o detrimento patrimonial, que perjudican la imagen institucional.</v>
      </c>
      <c r="B5" s="189" t="str">
        <f>'Mapa final'!N16</f>
        <v>Extremo</v>
      </c>
      <c r="C5" s="189" t="str">
        <f>'Mapa final'!AC16</f>
        <v>Extremo</v>
      </c>
      <c r="D5" s="175" t="str">
        <f>'Mapa final'!P16</f>
        <v>El líder del equipo de Gestión Integral de Medidas de Emergencia revisa permanentemente que el servidor público y/o contratista haya aplicado los lineamientos establecidos para la recomendación de medidas provisionales de protección, frente a casos de riesgo inminente y excepcional o presunción constitucional del riesgo. El control se realiza de forma continua corroborando el cumplimiento de la Matriz de Servicios Características y Estándares establecida para el proceso de Gestión Integral de Medidas de Emergencia, y dejando como evidencia en caso de incumplimiento el diligenciamiento del Formato de Identificación, Control y Tratamiento Salida no Conforme de código GIN-FT-11-V6.
Evidencia: Informes de no salidas no conformes y otros.</v>
      </c>
      <c r="E5" s="176"/>
      <c r="F5" s="178"/>
      <c r="G5" s="146"/>
      <c r="H5" s="146"/>
      <c r="I5" s="146"/>
      <c r="J5" s="146"/>
      <c r="K5" s="146"/>
      <c r="L5" s="145"/>
      <c r="M5" s="146"/>
      <c r="N5" s="146"/>
      <c r="O5" s="147"/>
      <c r="P5" s="147"/>
      <c r="Q5" s="147"/>
      <c r="R5" s="148"/>
      <c r="S5" s="154"/>
      <c r="T5" s="145" t="str">
        <f>'Mapa final'!AE16</f>
        <v>El líder del Equipo de Gestión Integral de Medidas de Emergencia, realiza la sensibilización y retroalimentación en los servidores públicos y/o contratistas, en la aplicación de los parámetros establecidos para la recomendación de medidas provisionales de protección en los casos de presunto riesgo inminente y excepcional o presunción constitucional del riesgo.</v>
      </c>
      <c r="U5" s="150" t="str">
        <f>'Mapa final'!AG16</f>
        <v>01/07/2023
01/10/2023</v>
      </c>
      <c r="V5" s="153"/>
      <c r="W5" s="153"/>
      <c r="X5" s="154"/>
      <c r="Y5" s="154"/>
    </row>
    <row r="6" spans="1:25" ht="170.25" customHeight="1" x14ac:dyDescent="0.25">
      <c r="A6" s="296" t="str">
        <f>'Mapa final'!E22</f>
        <v>R3.   Posibilidad de recibir o solicitar cualquier dadiva o beneficio propio o para un tercero, con el fin de adelantar la valoración inicial del, asignando medidas de emergencia innecesarias o excesivas no acordes a la realidad de la población objeto del programa de protección.</v>
      </c>
      <c r="B6" s="289" t="str">
        <f>'Mapa final'!N22</f>
        <v>Extremo</v>
      </c>
      <c r="C6" s="289" t="s">
        <v>79</v>
      </c>
      <c r="D6" s="175" t="str">
        <f>'Mapa final'!P22</f>
        <v>El líder del Equipo de Gestión Integral de Medidas de Emergencia, controla de manera permanente que cada uno de los actos administrativos proyectados frente a los casos de valoración inicial del presunto riesgo inminente y excepcional o presunción constitucional del riesgo, cuenten con la revisión del delegado por el Director General de la UNP,  y lleno de requisitos trazables y certificables de revisión y aprobación, dejando como evidencia las firmas de revisión y aprobación en el Formato de Aprobación Medidas de Emergencia de código GME-FT-03-V2.
Evidencia: Archivo digital de registro y control de las Medidas de Emergencia realizadas por el Equipo de Gestión Integral de Medidas de Emergencia.</v>
      </c>
      <c r="E6" s="176"/>
      <c r="F6" s="178"/>
      <c r="G6" s="146"/>
      <c r="H6" s="146"/>
      <c r="I6" s="146"/>
      <c r="J6" s="146"/>
      <c r="K6" s="146"/>
      <c r="L6" s="145"/>
      <c r="M6" s="146"/>
      <c r="N6" s="146"/>
      <c r="O6" s="147"/>
      <c r="P6" s="147"/>
      <c r="Q6" s="147"/>
      <c r="R6" s="148"/>
      <c r="S6" s="154"/>
      <c r="T6" s="145"/>
      <c r="U6" s="150"/>
      <c r="V6" s="153"/>
      <c r="W6" s="153"/>
      <c r="X6" s="154"/>
      <c r="Y6" s="154"/>
    </row>
    <row r="7" spans="1:25" ht="170.25" customHeight="1" x14ac:dyDescent="0.25">
      <c r="A7" s="296"/>
      <c r="B7" s="289"/>
      <c r="C7" s="289"/>
      <c r="D7" s="175" t="str">
        <f>'Mapa final'!P23</f>
        <v>El líder del Equipo de Gestión Integral de Medidas de Emergencia, asegura que todos los integrantes del Equipo cuenten con el formato de confidencialidad al menos una vez al año, con el fin de sensibilizar y concientizar a los servidores públicos y/o contratistas sobre la importancia de la confidencialidad de la información y las repercusiones disciplinarias, fiscales y/o penales a las que podrían estar expuestos ante su incumplimiento.
Evidencia: Formatos diligenciados y otros</v>
      </c>
      <c r="E7" s="176"/>
      <c r="F7" s="178"/>
      <c r="G7" s="146"/>
      <c r="H7" s="146"/>
      <c r="I7" s="146"/>
      <c r="J7" s="146"/>
      <c r="K7" s="146"/>
      <c r="L7" s="145"/>
      <c r="M7" s="146"/>
      <c r="N7" s="146"/>
      <c r="O7" s="147"/>
      <c r="P7" s="147"/>
      <c r="Q7" s="147"/>
      <c r="R7" s="148"/>
      <c r="S7" s="154"/>
      <c r="T7" s="145"/>
      <c r="U7" s="150"/>
      <c r="V7" s="153"/>
      <c r="W7" s="153"/>
      <c r="X7" s="154"/>
      <c r="Y7" s="154"/>
    </row>
    <row r="8" spans="1:25" hidden="1" x14ac:dyDescent="0.25">
      <c r="A8" s="296"/>
      <c r="B8" s="289"/>
      <c r="C8" s="289"/>
      <c r="D8" s="175">
        <f>'Mapa final'!P25</f>
        <v>0</v>
      </c>
      <c r="E8" s="176"/>
      <c r="F8" s="153"/>
      <c r="G8" s="146"/>
      <c r="H8" s="146"/>
      <c r="I8" s="146"/>
      <c r="J8" s="146"/>
      <c r="K8" s="146"/>
      <c r="L8" s="145"/>
      <c r="M8" s="146"/>
      <c r="N8" s="146"/>
      <c r="O8" s="147"/>
      <c r="P8" s="147"/>
      <c r="Q8" s="147"/>
      <c r="R8" s="148"/>
      <c r="S8" s="154"/>
      <c r="T8" s="145">
        <f>'Mapa final'!AE19</f>
        <v>0</v>
      </c>
      <c r="U8" s="150">
        <f>'Mapa final'!AG19</f>
        <v>0</v>
      </c>
      <c r="V8" s="153"/>
      <c r="W8" s="153"/>
      <c r="X8" s="154"/>
      <c r="Y8" s="154"/>
    </row>
    <row r="9" spans="1:25" hidden="1" x14ac:dyDescent="0.25">
      <c r="A9" s="296"/>
      <c r="B9" s="289"/>
      <c r="C9" s="289"/>
      <c r="D9" s="175">
        <f>'Mapa final'!P26</f>
        <v>0</v>
      </c>
      <c r="E9" s="176"/>
      <c r="F9" s="153"/>
      <c r="G9" s="146"/>
      <c r="H9" s="146"/>
      <c r="I9" s="146"/>
      <c r="J9" s="146"/>
      <c r="K9" s="146"/>
      <c r="L9" s="145"/>
      <c r="M9" s="146"/>
      <c r="N9" s="146"/>
      <c r="O9" s="147"/>
      <c r="P9" s="147"/>
      <c r="Q9" s="147"/>
      <c r="R9" s="148"/>
      <c r="S9" s="154"/>
      <c r="T9" s="145">
        <f>'Mapa final'!AE26</f>
        <v>0</v>
      </c>
      <c r="U9" s="150">
        <f>'Mapa final'!AG26</f>
        <v>0</v>
      </c>
      <c r="V9" s="153"/>
      <c r="W9" s="153"/>
      <c r="X9" s="154"/>
      <c r="Y9" s="154"/>
    </row>
    <row r="10" spans="1:25" hidden="1" x14ac:dyDescent="0.25">
      <c r="A10" s="296"/>
      <c r="B10" s="289"/>
      <c r="C10" s="289"/>
      <c r="D10" s="186">
        <f>'Mapa final'!P27</f>
        <v>0</v>
      </c>
      <c r="E10" s="176"/>
      <c r="F10" s="153"/>
      <c r="G10" s="146"/>
      <c r="H10" s="146"/>
      <c r="I10" s="146"/>
      <c r="J10" s="146"/>
      <c r="K10" s="146"/>
      <c r="L10" s="145"/>
      <c r="M10" s="146"/>
      <c r="N10" s="146"/>
      <c r="O10" s="147"/>
      <c r="P10" s="147"/>
      <c r="Q10" s="147"/>
      <c r="R10" s="148"/>
      <c r="S10" s="154"/>
      <c r="T10" s="145">
        <f>'Mapa final'!AE27</f>
        <v>0</v>
      </c>
      <c r="U10" s="150">
        <f>'Mapa final'!AG27</f>
        <v>0</v>
      </c>
      <c r="V10" s="153"/>
      <c r="W10" s="153"/>
      <c r="X10" s="154"/>
      <c r="Y10" s="154"/>
    </row>
    <row r="11" spans="1:25" hidden="1" x14ac:dyDescent="0.25">
      <c r="A11" s="296">
        <f>'Mapa final'!E28</f>
        <v>0</v>
      </c>
      <c r="B11" s="289" t="str">
        <f>'Mapa final'!N28</f>
        <v/>
      </c>
      <c r="C11" s="289" t="str">
        <f>'Mapa final'!AC28</f>
        <v/>
      </c>
      <c r="D11" s="145">
        <f>'Mapa final'!P28</f>
        <v>0</v>
      </c>
      <c r="E11" s="176"/>
      <c r="F11" s="153"/>
      <c r="G11" s="146"/>
      <c r="H11" s="146"/>
      <c r="I11" s="146"/>
      <c r="J11" s="146"/>
      <c r="K11" s="146"/>
      <c r="L11" s="145"/>
      <c r="M11" s="146"/>
      <c r="N11" s="146"/>
      <c r="O11" s="147"/>
      <c r="P11" s="147"/>
      <c r="Q11" s="147"/>
      <c r="R11" s="148"/>
      <c r="S11" s="154"/>
      <c r="T11" s="145">
        <f>'Mapa final'!AE28</f>
        <v>0</v>
      </c>
      <c r="U11" s="150">
        <f>'Mapa final'!AG28</f>
        <v>0</v>
      </c>
      <c r="V11" s="153"/>
      <c r="W11" s="153"/>
      <c r="X11" s="154"/>
      <c r="Y11" s="154"/>
    </row>
    <row r="12" spans="1:25" hidden="1" x14ac:dyDescent="0.25">
      <c r="A12" s="296"/>
      <c r="B12" s="289"/>
      <c r="C12" s="289"/>
      <c r="D12" s="145">
        <f>'Mapa final'!P29</f>
        <v>0</v>
      </c>
      <c r="E12" s="176"/>
      <c r="F12" s="153"/>
      <c r="G12" s="146"/>
      <c r="H12" s="146"/>
      <c r="I12" s="146"/>
      <c r="J12" s="146"/>
      <c r="K12" s="146"/>
      <c r="L12" s="145"/>
      <c r="M12" s="146"/>
      <c r="N12" s="146"/>
      <c r="O12" s="147"/>
      <c r="P12" s="147"/>
      <c r="Q12" s="147"/>
      <c r="R12" s="148"/>
      <c r="S12" s="154"/>
      <c r="T12" s="145">
        <f>'Mapa final'!AE29</f>
        <v>0</v>
      </c>
      <c r="U12" s="150">
        <f>'Mapa final'!AG29</f>
        <v>0</v>
      </c>
      <c r="V12" s="153"/>
      <c r="W12" s="153"/>
      <c r="X12" s="154"/>
      <c r="Y12" s="154"/>
    </row>
    <row r="13" spans="1:25" hidden="1" x14ac:dyDescent="0.25">
      <c r="A13" s="296"/>
      <c r="B13" s="289"/>
      <c r="C13" s="289"/>
      <c r="D13" s="145">
        <f>'Mapa final'!P30</f>
        <v>0</v>
      </c>
      <c r="E13" s="176"/>
      <c r="F13" s="153"/>
      <c r="G13" s="146"/>
      <c r="H13" s="146"/>
      <c r="I13" s="146"/>
      <c r="J13" s="146"/>
      <c r="K13" s="146"/>
      <c r="L13" s="145"/>
      <c r="M13" s="146"/>
      <c r="N13" s="146"/>
      <c r="O13" s="147"/>
      <c r="P13" s="147"/>
      <c r="Q13" s="147"/>
      <c r="R13" s="148"/>
      <c r="S13" s="154"/>
      <c r="T13" s="145">
        <f>'Mapa final'!AE30</f>
        <v>0</v>
      </c>
      <c r="U13" s="150">
        <f>'Mapa final'!AG30</f>
        <v>0</v>
      </c>
      <c r="V13" s="153"/>
      <c r="W13" s="153"/>
      <c r="X13" s="154"/>
      <c r="Y13" s="154"/>
    </row>
    <row r="14" spans="1:25" hidden="1" x14ac:dyDescent="0.25">
      <c r="A14" s="296"/>
      <c r="B14" s="289"/>
      <c r="C14" s="289"/>
      <c r="D14" s="145">
        <f>'Mapa final'!P31</f>
        <v>0</v>
      </c>
      <c r="E14" s="176"/>
      <c r="F14" s="153"/>
      <c r="G14" s="146"/>
      <c r="H14" s="146"/>
      <c r="I14" s="146"/>
      <c r="J14" s="146"/>
      <c r="K14" s="146"/>
      <c r="L14" s="145"/>
      <c r="M14" s="146"/>
      <c r="N14" s="146"/>
      <c r="O14" s="147"/>
      <c r="P14" s="147"/>
      <c r="Q14" s="147"/>
      <c r="R14" s="148"/>
      <c r="S14" s="154"/>
      <c r="T14" s="145">
        <f>'Mapa final'!AE31</f>
        <v>0</v>
      </c>
      <c r="U14" s="150">
        <f>'Mapa final'!AG31</f>
        <v>0</v>
      </c>
      <c r="V14" s="153"/>
      <c r="W14" s="153"/>
      <c r="X14" s="154"/>
      <c r="Y14" s="154"/>
    </row>
    <row r="15" spans="1:25" hidden="1" x14ac:dyDescent="0.25">
      <c r="A15" s="296"/>
      <c r="B15" s="289"/>
      <c r="C15" s="289"/>
      <c r="D15" s="145">
        <f>'Mapa final'!P32</f>
        <v>0</v>
      </c>
      <c r="E15" s="176"/>
      <c r="F15" s="153"/>
      <c r="G15" s="146"/>
      <c r="H15" s="146"/>
      <c r="I15" s="146"/>
      <c r="J15" s="146"/>
      <c r="K15" s="146"/>
      <c r="L15" s="145"/>
      <c r="M15" s="146"/>
      <c r="N15" s="146"/>
      <c r="O15" s="147"/>
      <c r="P15" s="147"/>
      <c r="Q15" s="147"/>
      <c r="R15" s="148"/>
      <c r="S15" s="154"/>
      <c r="T15" s="145">
        <f>'Mapa final'!AE32</f>
        <v>0</v>
      </c>
      <c r="U15" s="150">
        <f>'Mapa final'!AG32</f>
        <v>0</v>
      </c>
      <c r="V15" s="153"/>
      <c r="W15" s="153"/>
      <c r="X15" s="154"/>
      <c r="Y15" s="154"/>
    </row>
    <row r="16" spans="1:25" hidden="1" x14ac:dyDescent="0.25">
      <c r="A16" s="296"/>
      <c r="B16" s="289"/>
      <c r="C16" s="289"/>
      <c r="D16" s="145">
        <f>'Mapa final'!P33</f>
        <v>0</v>
      </c>
      <c r="E16" s="176"/>
      <c r="F16" s="153"/>
      <c r="G16" s="146"/>
      <c r="H16" s="146"/>
      <c r="I16" s="146"/>
      <c r="J16" s="146"/>
      <c r="K16" s="146"/>
      <c r="L16" s="145"/>
      <c r="M16" s="146"/>
      <c r="N16" s="146"/>
      <c r="O16" s="147"/>
      <c r="P16" s="147"/>
      <c r="Q16" s="147"/>
      <c r="R16" s="148"/>
      <c r="S16" s="154"/>
      <c r="T16" s="145">
        <f>'Mapa final'!AE33</f>
        <v>0</v>
      </c>
      <c r="U16" s="150">
        <f>'Mapa final'!AG33</f>
        <v>0</v>
      </c>
      <c r="V16" s="153"/>
      <c r="W16" s="153"/>
      <c r="X16" s="154"/>
      <c r="Y16" s="154"/>
    </row>
    <row r="17" spans="1:25" ht="105.75" hidden="1" customHeight="1" x14ac:dyDescent="0.25">
      <c r="A17" s="296">
        <f>'Mapa final'!E34</f>
        <v>0</v>
      </c>
      <c r="B17" s="289" t="str">
        <f>'Mapa final'!N34</f>
        <v/>
      </c>
      <c r="C17" s="289" t="str">
        <f>'Mapa final'!AC36</f>
        <v/>
      </c>
      <c r="D17" s="145">
        <f>'Mapa final'!P34</f>
        <v>0</v>
      </c>
      <c r="E17" s="176"/>
      <c r="F17" s="153"/>
      <c r="G17" s="146"/>
      <c r="H17" s="146"/>
      <c r="I17" s="146"/>
      <c r="J17" s="146"/>
      <c r="K17" s="146"/>
      <c r="L17" s="145"/>
      <c r="M17" s="146"/>
      <c r="N17" s="146"/>
      <c r="O17" s="147"/>
      <c r="P17" s="147"/>
      <c r="Q17" s="147"/>
      <c r="R17" s="148"/>
      <c r="S17" s="154"/>
      <c r="T17" s="145">
        <f>'Mapa final'!AE34</f>
        <v>0</v>
      </c>
      <c r="U17" s="150" t="str">
        <f>'Mapa final'!AG22</f>
        <v>01/09/2023
20/12/2023</v>
      </c>
      <c r="V17" s="153"/>
      <c r="W17" s="153"/>
      <c r="X17" s="154"/>
      <c r="Y17" s="154"/>
    </row>
    <row r="18" spans="1:25" ht="30" hidden="1" x14ac:dyDescent="0.25">
      <c r="A18" s="296"/>
      <c r="B18" s="289"/>
      <c r="C18" s="289"/>
      <c r="D18" s="145">
        <f>'Mapa final'!P35</f>
        <v>0</v>
      </c>
      <c r="E18" s="176"/>
      <c r="F18" s="153"/>
      <c r="G18" s="146"/>
      <c r="H18" s="146"/>
      <c r="I18" s="146"/>
      <c r="J18" s="146"/>
      <c r="K18" s="146"/>
      <c r="L18" s="145"/>
      <c r="M18" s="146"/>
      <c r="N18" s="146"/>
      <c r="O18" s="147"/>
      <c r="P18" s="147"/>
      <c r="Q18" s="147"/>
      <c r="R18" s="148"/>
      <c r="S18" s="154"/>
      <c r="T18" s="145">
        <f>'Mapa final'!AE35</f>
        <v>0</v>
      </c>
      <c r="U18" s="150" t="str">
        <f>'Mapa final'!AG23</f>
        <v>01/09/2023
20/12/2023</v>
      </c>
      <c r="V18" s="153"/>
      <c r="W18" s="153"/>
      <c r="X18" s="154"/>
      <c r="Y18" s="154"/>
    </row>
    <row r="19" spans="1:25" hidden="1" x14ac:dyDescent="0.25">
      <c r="A19" s="296"/>
      <c r="B19" s="289"/>
      <c r="C19" s="289"/>
      <c r="D19" s="145">
        <f>'Mapa final'!P36</f>
        <v>0</v>
      </c>
      <c r="E19" s="176"/>
      <c r="F19" s="153"/>
      <c r="G19" s="146"/>
      <c r="H19" s="146"/>
      <c r="I19" s="146"/>
      <c r="J19" s="146"/>
      <c r="K19" s="146"/>
      <c r="L19" s="145"/>
      <c r="M19" s="146"/>
      <c r="N19" s="146"/>
      <c r="O19" s="147"/>
      <c r="P19" s="147"/>
      <c r="Q19" s="147"/>
      <c r="R19" s="148"/>
      <c r="S19" s="154"/>
      <c r="T19" s="145">
        <f>'Mapa final'!AE36</f>
        <v>0</v>
      </c>
      <c r="U19" s="150">
        <f>'Mapa final'!AG24</f>
        <v>0</v>
      </c>
      <c r="V19" s="153"/>
      <c r="W19" s="153"/>
      <c r="X19" s="154"/>
      <c r="Y19" s="154"/>
    </row>
    <row r="20" spans="1:25" hidden="1" x14ac:dyDescent="0.25">
      <c r="A20" s="296"/>
      <c r="B20" s="289"/>
      <c r="C20" s="289"/>
      <c r="D20" s="145">
        <f>'Mapa final'!P37</f>
        <v>0</v>
      </c>
      <c r="E20" s="176"/>
      <c r="F20" s="153"/>
      <c r="G20" s="146"/>
      <c r="H20" s="146"/>
      <c r="I20" s="146"/>
      <c r="J20" s="146"/>
      <c r="K20" s="146"/>
      <c r="L20" s="145"/>
      <c r="M20" s="146"/>
      <c r="N20" s="146"/>
      <c r="O20" s="147"/>
      <c r="P20" s="147"/>
      <c r="Q20" s="147"/>
      <c r="R20" s="148"/>
      <c r="S20" s="154"/>
      <c r="T20" s="145">
        <f>'Mapa final'!AE37</f>
        <v>0</v>
      </c>
      <c r="U20" s="150">
        <f>'Mapa final'!AG37</f>
        <v>0</v>
      </c>
      <c r="V20" s="153"/>
      <c r="W20" s="153"/>
      <c r="X20" s="154"/>
      <c r="Y20" s="154"/>
    </row>
    <row r="21" spans="1:25" hidden="1" x14ac:dyDescent="0.25">
      <c r="A21" s="296"/>
      <c r="B21" s="289"/>
      <c r="C21" s="289"/>
      <c r="D21" s="145">
        <f>'Mapa final'!P38</f>
        <v>0</v>
      </c>
      <c r="E21" s="176"/>
      <c r="F21" s="153"/>
      <c r="G21" s="146"/>
      <c r="H21" s="146"/>
      <c r="I21" s="146"/>
      <c r="J21" s="146"/>
      <c r="K21" s="146"/>
      <c r="L21" s="145"/>
      <c r="M21" s="146"/>
      <c r="N21" s="146"/>
      <c r="O21" s="147"/>
      <c r="P21" s="147"/>
      <c r="Q21" s="147"/>
      <c r="R21" s="148"/>
      <c r="S21" s="154"/>
      <c r="T21" s="145">
        <f>'Mapa final'!AE38</f>
        <v>0</v>
      </c>
      <c r="U21" s="150">
        <f>'Mapa final'!AG38</f>
        <v>0</v>
      </c>
      <c r="V21" s="153"/>
      <c r="W21" s="153"/>
      <c r="X21" s="154"/>
      <c r="Y21" s="154"/>
    </row>
    <row r="22" spans="1:25" hidden="1" x14ac:dyDescent="0.25">
      <c r="A22" s="296"/>
      <c r="B22" s="289"/>
      <c r="C22" s="289"/>
      <c r="D22" s="145">
        <f>'Mapa final'!P39</f>
        <v>0</v>
      </c>
      <c r="E22" s="176"/>
      <c r="F22" s="153"/>
      <c r="G22" s="146"/>
      <c r="H22" s="146"/>
      <c r="I22" s="146"/>
      <c r="J22" s="146"/>
      <c r="K22" s="146"/>
      <c r="L22" s="145"/>
      <c r="M22" s="146"/>
      <c r="N22" s="146"/>
      <c r="O22" s="147"/>
      <c r="P22" s="147"/>
      <c r="Q22" s="147"/>
      <c r="R22" s="148"/>
      <c r="S22" s="154"/>
      <c r="T22" s="145">
        <f>'Mapa final'!AE39</f>
        <v>0</v>
      </c>
      <c r="U22" s="150">
        <f>'Mapa final'!AG39</f>
        <v>0</v>
      </c>
      <c r="V22" s="153"/>
      <c r="W22" s="153"/>
      <c r="X22" s="154"/>
      <c r="Y22" s="154"/>
    </row>
    <row r="23" spans="1:25" hidden="1" x14ac:dyDescent="0.25">
      <c r="A23" s="296">
        <f>'Mapa final'!E40</f>
        <v>0</v>
      </c>
      <c r="B23" s="289" t="str">
        <f>'Mapa final'!N40</f>
        <v/>
      </c>
      <c r="C23" s="289" t="str">
        <f>'Mapa final'!AC40</f>
        <v/>
      </c>
      <c r="D23" s="145">
        <f>'Mapa final'!P40</f>
        <v>0</v>
      </c>
      <c r="E23" s="176"/>
      <c r="F23" s="153"/>
      <c r="G23" s="146"/>
      <c r="H23" s="146"/>
      <c r="I23" s="146"/>
      <c r="J23" s="146"/>
      <c r="K23" s="146"/>
      <c r="L23" s="145"/>
      <c r="M23" s="146"/>
      <c r="N23" s="146"/>
      <c r="O23" s="147"/>
      <c r="P23" s="147"/>
      <c r="Q23" s="147"/>
      <c r="R23" s="148"/>
      <c r="S23" s="154"/>
      <c r="T23" s="145">
        <f>'Mapa final'!AE40</f>
        <v>0</v>
      </c>
      <c r="U23" s="150">
        <f>'Mapa final'!AG40</f>
        <v>0</v>
      </c>
      <c r="V23" s="153"/>
      <c r="W23" s="153"/>
      <c r="X23" s="154"/>
      <c r="Y23" s="154"/>
    </row>
    <row r="24" spans="1:25" hidden="1" x14ac:dyDescent="0.25">
      <c r="A24" s="296"/>
      <c r="B24" s="289"/>
      <c r="C24" s="289"/>
      <c r="D24" s="145">
        <f>'Mapa final'!P41</f>
        <v>0</v>
      </c>
      <c r="E24" s="176"/>
      <c r="F24" s="153"/>
      <c r="G24" s="146"/>
      <c r="H24" s="146"/>
      <c r="I24" s="146"/>
      <c r="J24" s="146"/>
      <c r="K24" s="146"/>
      <c r="L24" s="145"/>
      <c r="M24" s="146"/>
      <c r="N24" s="146"/>
      <c r="O24" s="147"/>
      <c r="P24" s="147"/>
      <c r="Q24" s="147"/>
      <c r="R24" s="148"/>
      <c r="S24" s="154"/>
      <c r="T24" s="145">
        <f>'Mapa final'!AE41</f>
        <v>0</v>
      </c>
      <c r="U24" s="150">
        <f>'Mapa final'!AG41</f>
        <v>0</v>
      </c>
      <c r="V24" s="153"/>
      <c r="W24" s="153"/>
      <c r="X24" s="154"/>
      <c r="Y24" s="154"/>
    </row>
    <row r="25" spans="1:25" hidden="1" x14ac:dyDescent="0.25">
      <c r="A25" s="296"/>
      <c r="B25" s="289"/>
      <c r="C25" s="289"/>
      <c r="D25" s="145">
        <f>'Mapa final'!P42</f>
        <v>0</v>
      </c>
      <c r="E25" s="176"/>
      <c r="F25" s="153"/>
      <c r="G25" s="146"/>
      <c r="H25" s="146"/>
      <c r="I25" s="146"/>
      <c r="J25" s="146"/>
      <c r="K25" s="146"/>
      <c r="L25" s="145"/>
      <c r="M25" s="146"/>
      <c r="N25" s="146"/>
      <c r="O25" s="147"/>
      <c r="P25" s="147"/>
      <c r="Q25" s="147"/>
      <c r="R25" s="148"/>
      <c r="S25" s="154"/>
      <c r="T25" s="145">
        <f>'Mapa final'!AE42</f>
        <v>0</v>
      </c>
      <c r="U25" s="150">
        <f>'Mapa final'!AG42</f>
        <v>0</v>
      </c>
      <c r="V25" s="153"/>
      <c r="W25" s="153"/>
      <c r="X25" s="154"/>
      <c r="Y25" s="154"/>
    </row>
    <row r="26" spans="1:25" hidden="1" x14ac:dyDescent="0.25">
      <c r="A26" s="296"/>
      <c r="B26" s="289"/>
      <c r="C26" s="289"/>
      <c r="D26" s="145">
        <f>'Mapa final'!P43</f>
        <v>0</v>
      </c>
      <c r="E26" s="176"/>
      <c r="F26" s="153"/>
      <c r="G26" s="146"/>
      <c r="H26" s="146"/>
      <c r="I26" s="146"/>
      <c r="J26" s="146"/>
      <c r="K26" s="146"/>
      <c r="L26" s="145"/>
      <c r="M26" s="146"/>
      <c r="N26" s="146"/>
      <c r="O26" s="147"/>
      <c r="P26" s="147"/>
      <c r="Q26" s="147"/>
      <c r="R26" s="148"/>
      <c r="S26" s="154"/>
      <c r="T26" s="145">
        <f>'Mapa final'!AE43</f>
        <v>0</v>
      </c>
      <c r="U26" s="150">
        <f>'Mapa final'!AG43</f>
        <v>0</v>
      </c>
      <c r="V26" s="153"/>
      <c r="W26" s="153"/>
      <c r="X26" s="154"/>
      <c r="Y26" s="154"/>
    </row>
    <row r="27" spans="1:25" hidden="1" x14ac:dyDescent="0.25">
      <c r="A27" s="296"/>
      <c r="B27" s="289"/>
      <c r="C27" s="289"/>
      <c r="D27" s="145">
        <f>'Mapa final'!P44</f>
        <v>0</v>
      </c>
      <c r="E27" s="176"/>
      <c r="F27" s="153"/>
      <c r="G27" s="146"/>
      <c r="H27" s="146"/>
      <c r="I27" s="146"/>
      <c r="J27" s="146"/>
      <c r="K27" s="146"/>
      <c r="L27" s="145"/>
      <c r="M27" s="146"/>
      <c r="N27" s="146"/>
      <c r="O27" s="147"/>
      <c r="P27" s="147"/>
      <c r="Q27" s="147"/>
      <c r="R27" s="148"/>
      <c r="S27" s="154"/>
      <c r="T27" s="145">
        <f>'Mapa final'!AE44</f>
        <v>0</v>
      </c>
      <c r="U27" s="150">
        <f>'Mapa final'!AG44</f>
        <v>0</v>
      </c>
      <c r="V27" s="153"/>
      <c r="W27" s="153"/>
      <c r="X27" s="154"/>
      <c r="Y27" s="154"/>
    </row>
    <row r="28" spans="1:25" hidden="1" x14ac:dyDescent="0.25">
      <c r="A28" s="296"/>
      <c r="B28" s="289"/>
      <c r="C28" s="289"/>
      <c r="D28" s="145">
        <f>'Mapa final'!P45</f>
        <v>0</v>
      </c>
      <c r="E28" s="176"/>
      <c r="F28" s="153"/>
      <c r="G28" s="146"/>
      <c r="H28" s="146"/>
      <c r="I28" s="146"/>
      <c r="J28" s="146"/>
      <c r="K28" s="146"/>
      <c r="L28" s="145"/>
      <c r="M28" s="146"/>
      <c r="N28" s="146"/>
      <c r="O28" s="147"/>
      <c r="P28" s="147"/>
      <c r="Q28" s="147"/>
      <c r="R28" s="148"/>
      <c r="S28" s="154"/>
      <c r="T28" s="145">
        <f>'Mapa final'!AE45</f>
        <v>0</v>
      </c>
      <c r="U28" s="150">
        <f>'Mapa final'!AG45</f>
        <v>0</v>
      </c>
      <c r="V28" s="153"/>
      <c r="W28" s="153"/>
      <c r="X28" s="154"/>
      <c r="Y28" s="154"/>
    </row>
    <row r="29" spans="1:25" hidden="1" x14ac:dyDescent="0.25">
      <c r="A29" s="296">
        <f>'Mapa final'!E46</f>
        <v>0</v>
      </c>
      <c r="B29" s="289" t="str">
        <f>'Mapa final'!N46</f>
        <v/>
      </c>
      <c r="C29" s="289" t="str">
        <f>'Mapa final'!AC46</f>
        <v/>
      </c>
      <c r="D29" s="145">
        <f>'Mapa final'!P46</f>
        <v>0</v>
      </c>
      <c r="E29" s="176"/>
      <c r="F29" s="153"/>
      <c r="G29" s="146"/>
      <c r="H29" s="146"/>
      <c r="I29" s="146"/>
      <c r="J29" s="146"/>
      <c r="K29" s="146"/>
      <c r="L29" s="145"/>
      <c r="M29" s="146"/>
      <c r="N29" s="146"/>
      <c r="O29" s="147"/>
      <c r="P29" s="147"/>
      <c r="Q29" s="147"/>
      <c r="R29" s="148"/>
      <c r="S29" s="154"/>
      <c r="T29" s="145">
        <f>'Mapa final'!AE46</f>
        <v>0</v>
      </c>
      <c r="U29" s="150">
        <f>'Mapa final'!AG46</f>
        <v>0</v>
      </c>
      <c r="V29" s="153"/>
      <c r="W29" s="153"/>
      <c r="X29" s="154"/>
      <c r="Y29" s="154"/>
    </row>
    <row r="30" spans="1:25" hidden="1" x14ac:dyDescent="0.25">
      <c r="A30" s="296"/>
      <c r="B30" s="289"/>
      <c r="C30" s="289"/>
      <c r="D30" s="145">
        <f>'Mapa final'!P47</f>
        <v>0</v>
      </c>
      <c r="E30" s="176"/>
      <c r="F30" s="153"/>
      <c r="G30" s="146"/>
      <c r="H30" s="146"/>
      <c r="I30" s="146"/>
      <c r="J30" s="146"/>
      <c r="K30" s="146"/>
      <c r="L30" s="145"/>
      <c r="M30" s="146"/>
      <c r="N30" s="146"/>
      <c r="O30" s="147"/>
      <c r="P30" s="147"/>
      <c r="Q30" s="147"/>
      <c r="R30" s="148"/>
      <c r="S30" s="154"/>
      <c r="T30" s="145">
        <f>'Mapa final'!AE47</f>
        <v>0</v>
      </c>
      <c r="U30" s="150">
        <f>'Mapa final'!AG47</f>
        <v>0</v>
      </c>
      <c r="V30" s="153"/>
      <c r="W30" s="153"/>
      <c r="X30" s="154"/>
      <c r="Y30" s="154"/>
    </row>
    <row r="31" spans="1:25" hidden="1" x14ac:dyDescent="0.25">
      <c r="A31" s="296"/>
      <c r="B31" s="289"/>
      <c r="C31" s="289"/>
      <c r="D31" s="145">
        <f>'Mapa final'!P48</f>
        <v>0</v>
      </c>
      <c r="E31" s="176"/>
      <c r="F31" s="153"/>
      <c r="G31" s="146"/>
      <c r="H31" s="146"/>
      <c r="I31" s="146"/>
      <c r="J31" s="146"/>
      <c r="K31" s="146"/>
      <c r="L31" s="145"/>
      <c r="M31" s="146"/>
      <c r="N31" s="146"/>
      <c r="O31" s="147"/>
      <c r="P31" s="147"/>
      <c r="Q31" s="147"/>
      <c r="R31" s="148"/>
      <c r="S31" s="154"/>
      <c r="T31" s="145">
        <f>'Mapa final'!AE48</f>
        <v>0</v>
      </c>
      <c r="U31" s="150">
        <f>'Mapa final'!AG48</f>
        <v>0</v>
      </c>
      <c r="V31" s="153"/>
      <c r="W31" s="153"/>
      <c r="X31" s="154"/>
      <c r="Y31" s="154"/>
    </row>
    <row r="32" spans="1:25" hidden="1" x14ac:dyDescent="0.25">
      <c r="A32" s="296"/>
      <c r="B32" s="289"/>
      <c r="C32" s="289"/>
      <c r="D32" s="145">
        <f>'Mapa final'!P49</f>
        <v>0</v>
      </c>
      <c r="E32" s="176"/>
      <c r="F32" s="153"/>
      <c r="G32" s="146"/>
      <c r="H32" s="146"/>
      <c r="I32" s="146"/>
      <c r="J32" s="146"/>
      <c r="K32" s="146"/>
      <c r="L32" s="145"/>
      <c r="M32" s="146"/>
      <c r="N32" s="146"/>
      <c r="O32" s="147"/>
      <c r="P32" s="147"/>
      <c r="Q32" s="147"/>
      <c r="R32" s="148"/>
      <c r="S32" s="154"/>
      <c r="T32" s="145">
        <f>'Mapa final'!AE49</f>
        <v>0</v>
      </c>
      <c r="U32" s="150">
        <f>'Mapa final'!AG49</f>
        <v>0</v>
      </c>
      <c r="V32" s="153"/>
      <c r="W32" s="153"/>
      <c r="X32" s="154"/>
      <c r="Y32" s="154"/>
    </row>
    <row r="33" spans="1:25" hidden="1" x14ac:dyDescent="0.25">
      <c r="A33" s="296"/>
      <c r="B33" s="289"/>
      <c r="C33" s="289"/>
      <c r="D33" s="145">
        <f>'Mapa final'!P50</f>
        <v>0</v>
      </c>
      <c r="E33" s="176"/>
      <c r="F33" s="153"/>
      <c r="G33" s="146"/>
      <c r="H33" s="146"/>
      <c r="I33" s="146"/>
      <c r="J33" s="146"/>
      <c r="K33" s="146"/>
      <c r="L33" s="145"/>
      <c r="M33" s="146"/>
      <c r="N33" s="146"/>
      <c r="O33" s="147"/>
      <c r="P33" s="147"/>
      <c r="Q33" s="147"/>
      <c r="R33" s="148"/>
      <c r="S33" s="154"/>
      <c r="T33" s="145">
        <f>'Mapa final'!AE50</f>
        <v>0</v>
      </c>
      <c r="U33" s="150">
        <f>'Mapa final'!AG50</f>
        <v>0</v>
      </c>
      <c r="V33" s="153"/>
      <c r="W33" s="153"/>
      <c r="X33" s="154"/>
      <c r="Y33" s="154"/>
    </row>
    <row r="34" spans="1:25" hidden="1" x14ac:dyDescent="0.25">
      <c r="A34" s="296"/>
      <c r="B34" s="289"/>
      <c r="C34" s="289"/>
      <c r="D34" s="145">
        <f>'Mapa final'!P51</f>
        <v>0</v>
      </c>
      <c r="E34" s="176"/>
      <c r="F34" s="153"/>
      <c r="G34" s="146"/>
      <c r="H34" s="146"/>
      <c r="I34" s="146"/>
      <c r="J34" s="146"/>
      <c r="K34" s="146"/>
      <c r="L34" s="145"/>
      <c r="M34" s="146"/>
      <c r="N34" s="146"/>
      <c r="O34" s="147"/>
      <c r="P34" s="147"/>
      <c r="Q34" s="147"/>
      <c r="R34" s="148"/>
      <c r="S34" s="154"/>
      <c r="T34" s="145">
        <f>'Mapa final'!AE51</f>
        <v>0</v>
      </c>
      <c r="U34" s="150">
        <f>'Mapa final'!AG51</f>
        <v>0</v>
      </c>
      <c r="V34" s="153"/>
      <c r="W34" s="153"/>
      <c r="X34" s="154"/>
      <c r="Y34" s="154"/>
    </row>
    <row r="35" spans="1:25" hidden="1" x14ac:dyDescent="0.25">
      <c r="A35" s="296">
        <f>'Mapa final'!E52</f>
        <v>0</v>
      </c>
      <c r="B35" s="289" t="str">
        <f>'Mapa final'!N52</f>
        <v/>
      </c>
      <c r="C35" s="289" t="str">
        <f>'Mapa final'!AC52</f>
        <v/>
      </c>
      <c r="D35" s="145">
        <f>'Mapa final'!P52</f>
        <v>0</v>
      </c>
      <c r="E35" s="176"/>
      <c r="F35" s="153"/>
      <c r="G35" s="146"/>
      <c r="H35" s="146"/>
      <c r="I35" s="146"/>
      <c r="J35" s="146"/>
      <c r="K35" s="146"/>
      <c r="L35" s="145"/>
      <c r="M35" s="146"/>
      <c r="N35" s="146"/>
      <c r="O35" s="147"/>
      <c r="P35" s="147"/>
      <c r="Q35" s="147"/>
      <c r="R35" s="148"/>
      <c r="S35" s="154"/>
      <c r="T35" s="145">
        <f>'Mapa final'!AE52</f>
        <v>0</v>
      </c>
      <c r="U35" s="150">
        <f>'Mapa final'!AG52</f>
        <v>0</v>
      </c>
      <c r="V35" s="153"/>
      <c r="W35" s="153"/>
      <c r="X35" s="154"/>
      <c r="Y35" s="154"/>
    </row>
    <row r="36" spans="1:25" hidden="1" x14ac:dyDescent="0.25">
      <c r="A36" s="296"/>
      <c r="B36" s="289"/>
      <c r="C36" s="289"/>
      <c r="D36" s="145">
        <f>'Mapa final'!P53</f>
        <v>0</v>
      </c>
      <c r="E36" s="176"/>
      <c r="F36" s="153"/>
      <c r="G36" s="146"/>
      <c r="H36" s="146"/>
      <c r="I36" s="146"/>
      <c r="J36" s="146"/>
      <c r="K36" s="146"/>
      <c r="L36" s="145"/>
      <c r="M36" s="146"/>
      <c r="N36" s="146"/>
      <c r="O36" s="147"/>
      <c r="P36" s="147"/>
      <c r="Q36" s="147"/>
      <c r="R36" s="148"/>
      <c r="S36" s="154"/>
      <c r="T36" s="145">
        <f>'Mapa final'!AE53</f>
        <v>0</v>
      </c>
      <c r="U36" s="150">
        <f>'Mapa final'!AG53</f>
        <v>0</v>
      </c>
      <c r="V36" s="153"/>
      <c r="W36" s="153"/>
      <c r="X36" s="154"/>
      <c r="Y36" s="154"/>
    </row>
    <row r="37" spans="1:25" hidden="1" x14ac:dyDescent="0.25">
      <c r="A37" s="296"/>
      <c r="B37" s="289"/>
      <c r="C37" s="289"/>
      <c r="D37" s="145">
        <f>'Mapa final'!P54</f>
        <v>0</v>
      </c>
      <c r="E37" s="176"/>
      <c r="F37" s="153"/>
      <c r="G37" s="146"/>
      <c r="H37" s="146"/>
      <c r="I37" s="146"/>
      <c r="J37" s="146"/>
      <c r="K37" s="146"/>
      <c r="L37" s="145"/>
      <c r="M37" s="146"/>
      <c r="N37" s="146"/>
      <c r="O37" s="147"/>
      <c r="P37" s="147"/>
      <c r="Q37" s="147"/>
      <c r="R37" s="148"/>
      <c r="S37" s="154"/>
      <c r="T37" s="145">
        <f>'Mapa final'!AE54</f>
        <v>0</v>
      </c>
      <c r="U37" s="150">
        <f>'Mapa final'!AG54</f>
        <v>0</v>
      </c>
      <c r="V37" s="153"/>
      <c r="W37" s="153"/>
      <c r="X37" s="154"/>
      <c r="Y37" s="154"/>
    </row>
    <row r="38" spans="1:25" hidden="1" x14ac:dyDescent="0.25">
      <c r="A38" s="296"/>
      <c r="B38" s="289"/>
      <c r="C38" s="289"/>
      <c r="D38" s="145">
        <f>'Mapa final'!P55</f>
        <v>0</v>
      </c>
      <c r="E38" s="176"/>
      <c r="F38" s="153"/>
      <c r="G38" s="146"/>
      <c r="H38" s="146"/>
      <c r="I38" s="146"/>
      <c r="J38" s="146"/>
      <c r="K38" s="146"/>
      <c r="L38" s="145"/>
      <c r="M38" s="146"/>
      <c r="N38" s="146"/>
      <c r="O38" s="147"/>
      <c r="P38" s="147"/>
      <c r="Q38" s="147"/>
      <c r="R38" s="148"/>
      <c r="S38" s="154"/>
      <c r="T38" s="145">
        <f>'Mapa final'!AE55</f>
        <v>0</v>
      </c>
      <c r="U38" s="150">
        <f>'Mapa final'!AG55</f>
        <v>0</v>
      </c>
      <c r="V38" s="153"/>
      <c r="W38" s="153"/>
      <c r="X38" s="154"/>
      <c r="Y38" s="154"/>
    </row>
    <row r="39" spans="1:25" hidden="1" x14ac:dyDescent="0.25">
      <c r="A39" s="296"/>
      <c r="B39" s="289"/>
      <c r="C39" s="289"/>
      <c r="D39" s="145">
        <f>'Mapa final'!P56</f>
        <v>0</v>
      </c>
      <c r="E39" s="176"/>
      <c r="F39" s="153"/>
      <c r="G39" s="146"/>
      <c r="H39" s="146"/>
      <c r="I39" s="146"/>
      <c r="J39" s="146"/>
      <c r="K39" s="146"/>
      <c r="L39" s="145"/>
      <c r="M39" s="146"/>
      <c r="N39" s="146"/>
      <c r="O39" s="147"/>
      <c r="P39" s="147"/>
      <c r="Q39" s="147"/>
      <c r="R39" s="148"/>
      <c r="S39" s="154"/>
      <c r="T39" s="145">
        <f>'Mapa final'!AE56</f>
        <v>0</v>
      </c>
      <c r="U39" s="150">
        <f>'Mapa final'!AG56</f>
        <v>0</v>
      </c>
      <c r="V39" s="153"/>
      <c r="W39" s="153"/>
      <c r="X39" s="154"/>
      <c r="Y39" s="154"/>
    </row>
    <row r="40" spans="1:25" hidden="1" x14ac:dyDescent="0.25">
      <c r="A40" s="296"/>
      <c r="B40" s="289"/>
      <c r="C40" s="289"/>
      <c r="D40" s="145">
        <f>'Mapa final'!P57</f>
        <v>0</v>
      </c>
      <c r="E40" s="176"/>
      <c r="F40" s="153"/>
      <c r="G40" s="146"/>
      <c r="H40" s="146"/>
      <c r="I40" s="146"/>
      <c r="J40" s="146"/>
      <c r="K40" s="146"/>
      <c r="L40" s="145"/>
      <c r="M40" s="146"/>
      <c r="N40" s="146"/>
      <c r="O40" s="147"/>
      <c r="P40" s="147"/>
      <c r="Q40" s="147"/>
      <c r="R40" s="148"/>
      <c r="S40" s="154"/>
      <c r="T40" s="145">
        <f>'Mapa final'!AE57</f>
        <v>0</v>
      </c>
      <c r="U40" s="150">
        <f>'Mapa final'!AG57</f>
        <v>0</v>
      </c>
      <c r="V40" s="153"/>
      <c r="W40" s="153"/>
      <c r="X40" s="154"/>
      <c r="Y40" s="154"/>
    </row>
    <row r="41" spans="1:25" hidden="1" x14ac:dyDescent="0.25">
      <c r="A41" s="296">
        <f>'Mapa final'!E58</f>
        <v>0</v>
      </c>
      <c r="B41" s="289" t="str">
        <f>'Mapa final'!N58</f>
        <v/>
      </c>
      <c r="C41" s="289" t="str">
        <f>'Mapa final'!AC58</f>
        <v/>
      </c>
      <c r="D41" s="145">
        <f>'Mapa final'!P58</f>
        <v>0</v>
      </c>
      <c r="E41" s="176"/>
      <c r="F41" s="153"/>
      <c r="G41" s="146"/>
      <c r="H41" s="146"/>
      <c r="I41" s="146"/>
      <c r="J41" s="146"/>
      <c r="K41" s="146"/>
      <c r="L41" s="145"/>
      <c r="M41" s="146"/>
      <c r="N41" s="146"/>
      <c r="O41" s="147"/>
      <c r="P41" s="147"/>
      <c r="Q41" s="147"/>
      <c r="R41" s="148"/>
      <c r="S41" s="154"/>
      <c r="T41" s="145">
        <f>'Mapa final'!AE58</f>
        <v>0</v>
      </c>
      <c r="U41" s="150">
        <f>'Mapa final'!AG58</f>
        <v>0</v>
      </c>
      <c r="V41" s="153"/>
      <c r="W41" s="153"/>
      <c r="X41" s="154"/>
      <c r="Y41" s="154"/>
    </row>
    <row r="42" spans="1:25" hidden="1" x14ac:dyDescent="0.25">
      <c r="A42" s="296"/>
      <c r="B42" s="289"/>
      <c r="C42" s="289"/>
      <c r="D42" s="145">
        <f>'Mapa final'!P59</f>
        <v>0</v>
      </c>
      <c r="E42" s="176"/>
      <c r="F42" s="153"/>
      <c r="G42" s="146"/>
      <c r="H42" s="146"/>
      <c r="I42" s="146"/>
      <c r="J42" s="146"/>
      <c r="K42" s="146"/>
      <c r="L42" s="145"/>
      <c r="M42" s="146"/>
      <c r="N42" s="146"/>
      <c r="O42" s="147"/>
      <c r="P42" s="147"/>
      <c r="Q42" s="147"/>
      <c r="R42" s="148"/>
      <c r="S42" s="154"/>
      <c r="T42" s="145">
        <f>'Mapa final'!AE59</f>
        <v>0</v>
      </c>
      <c r="U42" s="150">
        <f>'Mapa final'!AG59</f>
        <v>0</v>
      </c>
      <c r="V42" s="153"/>
      <c r="W42" s="153"/>
      <c r="X42" s="154"/>
      <c r="Y42" s="154"/>
    </row>
    <row r="43" spans="1:25" hidden="1" x14ac:dyDescent="0.25">
      <c r="A43" s="296"/>
      <c r="B43" s="289"/>
      <c r="C43" s="289"/>
      <c r="D43" s="145">
        <f>'Mapa final'!P60</f>
        <v>0</v>
      </c>
      <c r="E43" s="176"/>
      <c r="F43" s="153"/>
      <c r="G43" s="146"/>
      <c r="H43" s="146"/>
      <c r="I43" s="146"/>
      <c r="J43" s="146"/>
      <c r="K43" s="146"/>
      <c r="L43" s="145"/>
      <c r="M43" s="146"/>
      <c r="N43" s="146"/>
      <c r="O43" s="147"/>
      <c r="P43" s="147"/>
      <c r="Q43" s="147"/>
      <c r="R43" s="148"/>
      <c r="S43" s="154"/>
      <c r="T43" s="145">
        <f>'Mapa final'!AE60</f>
        <v>0</v>
      </c>
      <c r="U43" s="150">
        <f>'Mapa final'!AG60</f>
        <v>0</v>
      </c>
      <c r="V43" s="153"/>
      <c r="W43" s="153"/>
      <c r="X43" s="154"/>
      <c r="Y43" s="154"/>
    </row>
    <row r="44" spans="1:25" hidden="1" x14ac:dyDescent="0.25">
      <c r="A44" s="296"/>
      <c r="B44" s="289"/>
      <c r="C44" s="289"/>
      <c r="D44" s="145">
        <f>'Mapa final'!P61</f>
        <v>0</v>
      </c>
      <c r="E44" s="176"/>
      <c r="F44" s="153"/>
      <c r="G44" s="146"/>
      <c r="H44" s="146"/>
      <c r="I44" s="146"/>
      <c r="J44" s="146"/>
      <c r="K44" s="146"/>
      <c r="L44" s="145"/>
      <c r="M44" s="146"/>
      <c r="N44" s="146"/>
      <c r="O44" s="147"/>
      <c r="P44" s="147"/>
      <c r="Q44" s="147"/>
      <c r="R44" s="148"/>
      <c r="S44" s="154"/>
      <c r="T44" s="145">
        <f>'Mapa final'!AE61</f>
        <v>0</v>
      </c>
      <c r="U44" s="150">
        <f>'Mapa final'!AG61</f>
        <v>0</v>
      </c>
      <c r="V44" s="153"/>
      <c r="W44" s="153"/>
      <c r="X44" s="154"/>
      <c r="Y44" s="154"/>
    </row>
    <row r="45" spans="1:25" hidden="1" x14ac:dyDescent="0.25">
      <c r="A45" s="296"/>
      <c r="B45" s="289"/>
      <c r="C45" s="289"/>
      <c r="D45" s="145">
        <f>'Mapa final'!P62</f>
        <v>0</v>
      </c>
      <c r="E45" s="176"/>
      <c r="F45" s="153"/>
      <c r="G45" s="146"/>
      <c r="H45" s="146"/>
      <c r="I45" s="146"/>
      <c r="J45" s="146"/>
      <c r="K45" s="146"/>
      <c r="L45" s="145"/>
      <c r="M45" s="146"/>
      <c r="N45" s="146"/>
      <c r="O45" s="147"/>
      <c r="P45" s="147"/>
      <c r="Q45" s="147"/>
      <c r="R45" s="148"/>
      <c r="S45" s="154"/>
      <c r="T45" s="145">
        <f>'Mapa final'!AE62</f>
        <v>0</v>
      </c>
      <c r="U45" s="150">
        <f>'Mapa final'!AG62</f>
        <v>0</v>
      </c>
      <c r="V45" s="153"/>
      <c r="W45" s="153"/>
      <c r="X45" s="154"/>
      <c r="Y45" s="154"/>
    </row>
    <row r="46" spans="1:25" hidden="1" x14ac:dyDescent="0.25">
      <c r="A46" s="296"/>
      <c r="B46" s="289"/>
      <c r="C46" s="289"/>
      <c r="D46" s="145">
        <f>'Mapa final'!P63</f>
        <v>0</v>
      </c>
      <c r="E46" s="176"/>
      <c r="F46" s="153"/>
      <c r="G46" s="146"/>
      <c r="H46" s="146"/>
      <c r="I46" s="146"/>
      <c r="J46" s="146"/>
      <c r="K46" s="146"/>
      <c r="L46" s="145"/>
      <c r="M46" s="146"/>
      <c r="N46" s="146"/>
      <c r="O46" s="147"/>
      <c r="P46" s="147"/>
      <c r="Q46" s="147"/>
      <c r="R46" s="148"/>
      <c r="S46" s="154"/>
      <c r="T46" s="145">
        <f>'Mapa final'!AE63</f>
        <v>0</v>
      </c>
      <c r="U46" s="150">
        <f>'Mapa final'!AG63</f>
        <v>0</v>
      </c>
      <c r="V46" s="153"/>
      <c r="W46" s="153"/>
      <c r="X46" s="154"/>
      <c r="Y46" s="154"/>
    </row>
    <row r="55" ht="25.5" customHeight="1" x14ac:dyDescent="0.25"/>
    <row r="56" ht="22.5" customHeight="1" x14ac:dyDescent="0.25"/>
  </sheetData>
  <mergeCells count="30">
    <mergeCell ref="A41:A46"/>
    <mergeCell ref="B41:B46"/>
    <mergeCell ref="C41:C46"/>
    <mergeCell ref="A29:A34"/>
    <mergeCell ref="B29:B34"/>
    <mergeCell ref="C29:C34"/>
    <mergeCell ref="A35:A40"/>
    <mergeCell ref="B35:B40"/>
    <mergeCell ref="C35:C40"/>
    <mergeCell ref="A17:A22"/>
    <mergeCell ref="B17:B22"/>
    <mergeCell ref="C17:C22"/>
    <mergeCell ref="A23:A28"/>
    <mergeCell ref="B23:B28"/>
    <mergeCell ref="C23:C28"/>
    <mergeCell ref="A6:A10"/>
    <mergeCell ref="B6:B10"/>
    <mergeCell ref="C6:C10"/>
    <mergeCell ref="A11:A16"/>
    <mergeCell ref="B11:B16"/>
    <mergeCell ref="C11:C16"/>
    <mergeCell ref="A3:A4"/>
    <mergeCell ref="B3:B4"/>
    <mergeCell ref="C3:C4"/>
    <mergeCell ref="X1:Y1"/>
    <mergeCell ref="A1:C1"/>
    <mergeCell ref="E1:F1"/>
    <mergeCell ref="G1:S1"/>
    <mergeCell ref="T1:U1"/>
    <mergeCell ref="V1:W1"/>
  </mergeCells>
  <conditionalFormatting sqref="C6:C46 B3:B46">
    <cfRule type="containsText" dxfId="27" priority="81" operator="containsText" text="Bajo">
      <formula>NOT(ISERROR(SEARCH("Bajo",B3)))</formula>
    </cfRule>
    <cfRule type="containsText" dxfId="26" priority="82" operator="containsText" text="Moderado">
      <formula>NOT(ISERROR(SEARCH("Moderado",B3)))</formula>
    </cfRule>
    <cfRule type="containsText" dxfId="25" priority="83" operator="containsText" text="Alto">
      <formula>NOT(ISERROR(SEARCH("Alto",B3)))</formula>
    </cfRule>
    <cfRule type="containsText" dxfId="24" priority="84" operator="containsText" text="Extremo">
      <formula>NOT(ISERROR(SEARCH("Extremo",B3)))</formula>
    </cfRule>
  </conditionalFormatting>
  <conditionalFormatting sqref="C3:C4">
    <cfRule type="containsText" dxfId="23" priority="77" operator="containsText" text="Bajo">
      <formula>NOT(ISERROR(SEARCH("Bajo",C3)))</formula>
    </cfRule>
    <cfRule type="containsText" dxfId="22" priority="78" operator="containsText" text="Moderado">
      <formula>NOT(ISERROR(SEARCH("Moderado",C3)))</formula>
    </cfRule>
    <cfRule type="containsText" dxfId="21" priority="79" operator="containsText" text="Alto">
      <formula>NOT(ISERROR(SEARCH("Alto",C3)))</formula>
    </cfRule>
    <cfRule type="containsText" dxfId="20" priority="80" operator="containsText" text="Extremo">
      <formula>NOT(ISERROR(SEARCH("Extremo",C3)))</formula>
    </cfRule>
  </conditionalFormatting>
  <conditionalFormatting sqref="C5">
    <cfRule type="containsText" dxfId="19" priority="1" operator="containsText" text="Bajo">
      <formula>NOT(ISERROR(SEARCH("Bajo",C5)))</formula>
    </cfRule>
    <cfRule type="containsText" dxfId="18" priority="2" operator="containsText" text="Moderado">
      <formula>NOT(ISERROR(SEARCH("Moderado",C5)))</formula>
    </cfRule>
    <cfRule type="containsText" dxfId="17" priority="3" operator="containsText" text="Alto">
      <formula>NOT(ISERROR(SEARCH("Alto",C5)))</formula>
    </cfRule>
    <cfRule type="containsText" dxfId="16" priority="4" operator="containsText" text="Extremo">
      <formula>NOT(ISERROR(SEARCH("Extremo",C5)))</formula>
    </cfRule>
  </conditionalFormatting>
  <dataValidations count="8">
    <dataValidation type="list" allowBlank="1" showInputMessage="1" showErrorMessage="1" sqref="M3:M46" xr:uid="{78FD3A97-AD52-49F3-BB2F-B1C7D9053050}">
      <formula1>"Completa, Incompleta, No existe"</formula1>
    </dataValidation>
    <dataValidation type="list" allowBlank="1" showInputMessage="1" showErrorMessage="1" sqref="L3:L46" xr:uid="{838DF883-943A-4868-BCB0-DEA787557ABE}">
      <formula1>"Se investigan y resuelven oportunamente, No se investigan y resuelven oportunamente"</formula1>
    </dataValidation>
    <dataValidation type="list" allowBlank="1" showInputMessage="1" showErrorMessage="1" sqref="K3:K46" xr:uid="{CECE7418-A6E1-4298-8712-36D36C4609E9}">
      <formula1>"Confiable, No Confiable"</formula1>
    </dataValidation>
    <dataValidation type="list" allowBlank="1" showInputMessage="1" showErrorMessage="1" sqref="J3:J46" xr:uid="{080B61F0-B0FD-4B55-A926-046303CFE655}">
      <formula1>"Prevenir, Detectar, Corregir, No es un control"</formula1>
    </dataValidation>
    <dataValidation type="list" allowBlank="1" showInputMessage="1" showErrorMessage="1" sqref="I3:I46" xr:uid="{AE366508-8746-4A55-AF3F-3ADF2F4544D8}">
      <formula1>"Oportuna, Inoportuna"</formula1>
    </dataValidation>
    <dataValidation type="list" allowBlank="1" showInputMessage="1" showErrorMessage="1" sqref="H3:H46" xr:uid="{6A3B27CE-CDC0-4BA8-A4AB-A3BDAFA57263}">
      <formula1>"Adecuado, Inadecuado"</formula1>
    </dataValidation>
    <dataValidation type="list" allowBlank="1" showInputMessage="1" showErrorMessage="1" sqref="G3:G46" xr:uid="{E6DA43CD-6CCB-4EE9-8A7E-BB54A91745A2}">
      <formula1>"Asignado,No Asignado"</formula1>
    </dataValidation>
    <dataValidation type="list" showInputMessage="1" showErrorMessage="1" sqref="P3:P46" xr:uid="{982EA452-3186-459F-93F8-DD3D6CB8C5B2}">
      <formula1>"Fuerte, Moderado, Débil"</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Recuerde que las acciones se generan bajo la medida de mitigar el riesgo" xr:uid="{3E532D1D-1407-4268-8BB9-5B90FF9E6F49}">
          <x14:formula1>
            <xm:f>IF(OR(D3='Opciones Tratamiento'!$B$2,D3='Opciones Tratamiento'!$B$3,D3='Opciones Tratamiento'!$B$4),ISBLANK(D3),ISTEXT(D3))</xm:f>
          </x14:formula1>
          <xm:sqref>E3:E4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19" zoomScale="50" zoomScaleNormal="50" workbookViewId="0">
      <selection activeCell="U72" sqref="U72"/>
    </sheetView>
  </sheetViews>
  <sheetFormatPr baseColWidth="10" defaultRowHeight="15" x14ac:dyDescent="0.25"/>
  <cols>
    <col min="2" max="39" width="5.7109375" customWidth="1"/>
    <col min="41" max="46" width="5.7109375" customWidth="1"/>
  </cols>
  <sheetData>
    <row r="1" spans="1:99"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99" ht="18" customHeight="1" x14ac:dyDescent="0.25">
      <c r="A2" s="97"/>
      <c r="B2" s="382" t="s">
        <v>161</v>
      </c>
      <c r="C2" s="382"/>
      <c r="D2" s="382"/>
      <c r="E2" s="382"/>
      <c r="F2" s="382"/>
      <c r="G2" s="382"/>
      <c r="H2" s="382"/>
      <c r="I2" s="382"/>
      <c r="J2" s="350" t="s">
        <v>2</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ht="18.75" customHeight="1" x14ac:dyDescent="0.25">
      <c r="A3" s="97"/>
      <c r="B3" s="382"/>
      <c r="C3" s="382"/>
      <c r="D3" s="382"/>
      <c r="E3" s="382"/>
      <c r="F3" s="382"/>
      <c r="G3" s="382"/>
      <c r="H3" s="382"/>
      <c r="I3" s="382"/>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ht="15" customHeight="1" x14ac:dyDescent="0.25">
      <c r="A4" s="97"/>
      <c r="B4" s="382"/>
      <c r="C4" s="382"/>
      <c r="D4" s="382"/>
      <c r="E4" s="382"/>
      <c r="F4" s="382"/>
      <c r="G4" s="382"/>
      <c r="H4" s="382"/>
      <c r="I4" s="382"/>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ht="15" customHeight="1" x14ac:dyDescent="0.25">
      <c r="A6" s="97"/>
      <c r="B6" s="297" t="s">
        <v>4</v>
      </c>
      <c r="C6" s="297"/>
      <c r="D6" s="298"/>
      <c r="E6" s="335" t="s">
        <v>116</v>
      </c>
      <c r="F6" s="336"/>
      <c r="G6" s="336"/>
      <c r="H6" s="336"/>
      <c r="I6" s="337"/>
      <c r="J6" s="346" t="str">
        <f>IF(AND('Mapa final'!$H$10="Muy Alta",'Mapa final'!$L$10="Leve"),CONCATENATE("R",'Mapa final'!$A$10),"")</f>
        <v/>
      </c>
      <c r="K6" s="347"/>
      <c r="L6" s="347" t="str">
        <f>IF(AND('Mapa final'!$H$16="Muy Alta",'Mapa final'!$L$16="Leve"),CONCATENATE("R",'Mapa final'!$A$16),"")</f>
        <v/>
      </c>
      <c r="M6" s="347"/>
      <c r="N6" s="347" t="str">
        <f>IF(AND('Mapa final'!$H$22="Muy Alta",'Mapa final'!$L$22="Leve"),CONCATENATE("R",'Mapa final'!$A$22),"")</f>
        <v/>
      </c>
      <c r="O6" s="349"/>
      <c r="P6" s="346" t="str">
        <f>IF(AND('Mapa final'!$H$10="Muy Alta",'Mapa final'!$L$10="Menor"),CONCATENATE("R",'Mapa final'!$A$10),"")</f>
        <v/>
      </c>
      <c r="Q6" s="347"/>
      <c r="R6" s="347" t="str">
        <f>IF(AND('Mapa final'!$H$16="Muy Alta",'Mapa final'!$L$16="Menor"),CONCATENATE("R",'Mapa final'!$A$16),"")</f>
        <v/>
      </c>
      <c r="S6" s="347"/>
      <c r="T6" s="347" t="str">
        <f>IF(AND('Mapa final'!$H$22="Muy Alta",'Mapa final'!$L$22="Menor"),CONCATENATE("R",'Mapa final'!$A$22),"")</f>
        <v/>
      </c>
      <c r="U6" s="349"/>
      <c r="V6" s="346" t="str">
        <f>IF(AND('Mapa final'!$H$10="Muy Alta",'Mapa final'!$L$10="Moderado"),CONCATENATE("R",'Mapa final'!$A$10),"")</f>
        <v/>
      </c>
      <c r="W6" s="347"/>
      <c r="X6" s="347" t="str">
        <f>IF(AND('Mapa final'!$H$16="Muy Alta",'Mapa final'!$L$16="Moderado"),CONCATENATE("R",'Mapa final'!$A$16),"")</f>
        <v/>
      </c>
      <c r="Y6" s="347"/>
      <c r="Z6" s="347" t="str">
        <f>IF(AND('Mapa final'!$H$22="Muy Alta",'Mapa final'!$L$22="Moderado"),CONCATENATE("R",'Mapa final'!$A$22),"")</f>
        <v/>
      </c>
      <c r="AA6" s="349"/>
      <c r="AB6" s="346" t="str">
        <f>IF(AND('Mapa final'!$H$10="Muy Alta",'Mapa final'!$L$10="Mayor"),CONCATENATE("R",'Mapa final'!$A$10),"")</f>
        <v/>
      </c>
      <c r="AC6" s="347"/>
      <c r="AD6" s="347" t="str">
        <f>IF(AND('Mapa final'!$H$16="Muy Alta",'Mapa final'!$L$16="Mayor"),CONCATENATE("R",'Mapa final'!$A$16),"")</f>
        <v/>
      </c>
      <c r="AE6" s="347"/>
      <c r="AF6" s="347" t="str">
        <f>IF(AND('Mapa final'!$H$22="Muy Alta",'Mapa final'!$L$22="Mayor"),CONCATENATE("R",'Mapa final'!$A$22),"")</f>
        <v/>
      </c>
      <c r="AG6" s="349"/>
      <c r="AH6" s="361" t="str">
        <f>IF(AND('Mapa final'!$H$10="Muy Alta",'Mapa final'!$L$10="Catastrófico"),CONCATENATE("R",'Mapa final'!$A$10),"")</f>
        <v/>
      </c>
      <c r="AI6" s="362"/>
      <c r="AJ6" s="362" t="str">
        <f>IF(AND('Mapa final'!$H$16="Muy Alta",'Mapa final'!$L$16="Catastrófico"),CONCATENATE("R",'Mapa final'!$A$16),"")</f>
        <v/>
      </c>
      <c r="AK6" s="362"/>
      <c r="AL6" s="362" t="str">
        <f>IF(AND('Mapa final'!$H$22="Muy Alta",'Mapa final'!$L$22="Catastrófico"),CONCATENATE("R",'Mapa final'!$A$22),"")</f>
        <v/>
      </c>
      <c r="AM6" s="363"/>
      <c r="AO6" s="299" t="s">
        <v>79</v>
      </c>
      <c r="AP6" s="300"/>
      <c r="AQ6" s="300"/>
      <c r="AR6" s="300"/>
      <c r="AS6" s="300"/>
      <c r="AT6" s="301"/>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99" ht="15" customHeight="1" x14ac:dyDescent="0.25">
      <c r="A7" s="97"/>
      <c r="B7" s="297"/>
      <c r="C7" s="297"/>
      <c r="D7" s="298"/>
      <c r="E7" s="338"/>
      <c r="F7" s="339"/>
      <c r="G7" s="339"/>
      <c r="H7" s="339"/>
      <c r="I7" s="340"/>
      <c r="J7" s="348"/>
      <c r="K7" s="344"/>
      <c r="L7" s="344"/>
      <c r="M7" s="344"/>
      <c r="N7" s="344"/>
      <c r="O7" s="345"/>
      <c r="P7" s="348"/>
      <c r="Q7" s="344"/>
      <c r="R7" s="344"/>
      <c r="S7" s="344"/>
      <c r="T7" s="344"/>
      <c r="U7" s="345"/>
      <c r="V7" s="348"/>
      <c r="W7" s="344"/>
      <c r="X7" s="344"/>
      <c r="Y7" s="344"/>
      <c r="Z7" s="344"/>
      <c r="AA7" s="345"/>
      <c r="AB7" s="348"/>
      <c r="AC7" s="344"/>
      <c r="AD7" s="344"/>
      <c r="AE7" s="344"/>
      <c r="AF7" s="344"/>
      <c r="AG7" s="345"/>
      <c r="AH7" s="355"/>
      <c r="AI7" s="356"/>
      <c r="AJ7" s="356"/>
      <c r="AK7" s="356"/>
      <c r="AL7" s="356"/>
      <c r="AM7" s="357"/>
      <c r="AN7" s="97"/>
      <c r="AO7" s="302"/>
      <c r="AP7" s="303"/>
      <c r="AQ7" s="303"/>
      <c r="AR7" s="303"/>
      <c r="AS7" s="303"/>
      <c r="AT7" s="304"/>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99" ht="15" customHeight="1" x14ac:dyDescent="0.25">
      <c r="A8" s="97"/>
      <c r="B8" s="297"/>
      <c r="C8" s="297"/>
      <c r="D8" s="298"/>
      <c r="E8" s="338"/>
      <c r="F8" s="339"/>
      <c r="G8" s="339"/>
      <c r="H8" s="339"/>
      <c r="I8" s="340"/>
      <c r="J8" s="348" t="str">
        <f>IF(AND('Mapa final'!$H$28="Muy Alta",'Mapa final'!$L$28="Leve"),CONCATENATE("R",'Mapa final'!$A$28),"")</f>
        <v/>
      </c>
      <c r="K8" s="344"/>
      <c r="L8" s="344" t="str">
        <f>IF(AND('Mapa final'!$H$34="Muy Alta",'Mapa final'!$L$34="Leve"),CONCATENATE("R",'Mapa final'!$A$34),"")</f>
        <v/>
      </c>
      <c r="M8" s="344"/>
      <c r="N8" s="344" t="str">
        <f>IF(AND('Mapa final'!$H$40="Muy Alta",'Mapa final'!$L$40="Leve"),CONCATENATE("R",'Mapa final'!$A$40),"")</f>
        <v/>
      </c>
      <c r="O8" s="345"/>
      <c r="P8" s="348" t="str">
        <f>IF(AND('Mapa final'!$H$28="Muy Alta",'Mapa final'!$L$28="Menor"),CONCATENATE("R",'Mapa final'!$A$28),"")</f>
        <v/>
      </c>
      <c r="Q8" s="344"/>
      <c r="R8" s="344" t="str">
        <f>IF(AND('Mapa final'!$H$34="Muy Alta",'Mapa final'!$L$34="Menor"),CONCATENATE("R",'Mapa final'!$A$34),"")</f>
        <v/>
      </c>
      <c r="S8" s="344"/>
      <c r="T8" s="344" t="str">
        <f>IF(AND('Mapa final'!$H$40="Muy Alta",'Mapa final'!$L$40="Menor"),CONCATENATE("R",'Mapa final'!$A$40),"")</f>
        <v/>
      </c>
      <c r="U8" s="345"/>
      <c r="V8" s="348" t="str">
        <f>IF(AND('Mapa final'!$H$28="Muy Alta",'Mapa final'!$L$28="Moderado"),CONCATENATE("R",'Mapa final'!$A$28),"")</f>
        <v/>
      </c>
      <c r="W8" s="344"/>
      <c r="X8" s="344" t="str">
        <f>IF(AND('Mapa final'!$H$34="Muy Alta",'Mapa final'!$L$34="Moderado"),CONCATENATE("R",'Mapa final'!$A$34),"")</f>
        <v/>
      </c>
      <c r="Y8" s="344"/>
      <c r="Z8" s="344" t="str">
        <f>IF(AND('Mapa final'!$H$40="Muy Alta",'Mapa final'!$L$40="Moderado"),CONCATENATE("R",'Mapa final'!$A$40),"")</f>
        <v/>
      </c>
      <c r="AA8" s="345"/>
      <c r="AB8" s="348" t="str">
        <f>IF(AND('Mapa final'!$H$28="Muy Alta",'Mapa final'!$L$28="Mayor"),CONCATENATE("R",'Mapa final'!$A$28),"")</f>
        <v/>
      </c>
      <c r="AC8" s="344"/>
      <c r="AD8" s="344" t="str">
        <f>IF(AND('Mapa final'!$H$34="Muy Alta",'Mapa final'!$L$34="Mayor"),CONCATENATE("R",'Mapa final'!$A$34),"")</f>
        <v/>
      </c>
      <c r="AE8" s="344"/>
      <c r="AF8" s="344" t="str">
        <f>IF(AND('Mapa final'!$H$40="Muy Alta",'Mapa final'!$L$40="Mayor"),CONCATENATE("R",'Mapa final'!$A$40),"")</f>
        <v/>
      </c>
      <c r="AG8" s="345"/>
      <c r="AH8" s="355" t="str">
        <f>IF(AND('Mapa final'!$H$28="Muy Alta",'Mapa final'!$L$28="Catastrófico"),CONCATENATE("R",'Mapa final'!$A$28),"")</f>
        <v/>
      </c>
      <c r="AI8" s="356"/>
      <c r="AJ8" s="356" t="str">
        <f>IF(AND('Mapa final'!$H$34="Muy Alta",'Mapa final'!$L$34="Catastrófico"),CONCATENATE("R",'Mapa final'!$A$34),"")</f>
        <v/>
      </c>
      <c r="AK8" s="356"/>
      <c r="AL8" s="356" t="str">
        <f>IF(AND('Mapa final'!$H$40="Muy Alta",'Mapa final'!$L$40="Catastrófico"),CONCATENATE("R",'Mapa final'!$A$40),"")</f>
        <v/>
      </c>
      <c r="AM8" s="357"/>
      <c r="AN8" s="97"/>
      <c r="AO8" s="302"/>
      <c r="AP8" s="303"/>
      <c r="AQ8" s="303"/>
      <c r="AR8" s="303"/>
      <c r="AS8" s="303"/>
      <c r="AT8" s="304"/>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row>
    <row r="9" spans="1:99" ht="15" customHeight="1" x14ac:dyDescent="0.25">
      <c r="A9" s="97"/>
      <c r="B9" s="297"/>
      <c r="C9" s="297"/>
      <c r="D9" s="298"/>
      <c r="E9" s="338"/>
      <c r="F9" s="339"/>
      <c r="G9" s="339"/>
      <c r="H9" s="339"/>
      <c r="I9" s="340"/>
      <c r="J9" s="348"/>
      <c r="K9" s="344"/>
      <c r="L9" s="344"/>
      <c r="M9" s="344"/>
      <c r="N9" s="344"/>
      <c r="O9" s="345"/>
      <c r="P9" s="348"/>
      <c r="Q9" s="344"/>
      <c r="R9" s="344"/>
      <c r="S9" s="344"/>
      <c r="T9" s="344"/>
      <c r="U9" s="345"/>
      <c r="V9" s="348"/>
      <c r="W9" s="344"/>
      <c r="X9" s="344"/>
      <c r="Y9" s="344"/>
      <c r="Z9" s="344"/>
      <c r="AA9" s="345"/>
      <c r="AB9" s="348"/>
      <c r="AC9" s="344"/>
      <c r="AD9" s="344"/>
      <c r="AE9" s="344"/>
      <c r="AF9" s="344"/>
      <c r="AG9" s="345"/>
      <c r="AH9" s="355"/>
      <c r="AI9" s="356"/>
      <c r="AJ9" s="356"/>
      <c r="AK9" s="356"/>
      <c r="AL9" s="356"/>
      <c r="AM9" s="357"/>
      <c r="AN9" s="97"/>
      <c r="AO9" s="302"/>
      <c r="AP9" s="303"/>
      <c r="AQ9" s="303"/>
      <c r="AR9" s="303"/>
      <c r="AS9" s="303"/>
      <c r="AT9" s="304"/>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row>
    <row r="10" spans="1:99" ht="15" customHeight="1" x14ac:dyDescent="0.25">
      <c r="A10" s="97"/>
      <c r="B10" s="297"/>
      <c r="C10" s="297"/>
      <c r="D10" s="298"/>
      <c r="E10" s="338"/>
      <c r="F10" s="339"/>
      <c r="G10" s="339"/>
      <c r="H10" s="339"/>
      <c r="I10" s="340"/>
      <c r="J10" s="348" t="str">
        <f>IF(AND('Mapa final'!$H$46="Muy Alta",'Mapa final'!$L$46="Leve"),CONCATENATE("R",'Mapa final'!$A$46),"")</f>
        <v/>
      </c>
      <c r="K10" s="344"/>
      <c r="L10" s="344" t="str">
        <f>IF(AND('Mapa final'!$H$52="Muy Alta",'Mapa final'!$L$52="Leve"),CONCATENATE("R",'Mapa final'!$A$52),"")</f>
        <v/>
      </c>
      <c r="M10" s="344"/>
      <c r="N10" s="344" t="str">
        <f>IF(AND('Mapa final'!$H$58="Muy Alta",'Mapa final'!$L$58="Leve"),CONCATENATE("R",'Mapa final'!$A$58),"")</f>
        <v/>
      </c>
      <c r="O10" s="345"/>
      <c r="P10" s="348" t="str">
        <f>IF(AND('Mapa final'!$H$46="Muy Alta",'Mapa final'!$L$46="Menor"),CONCATENATE("R",'Mapa final'!$A$46),"")</f>
        <v/>
      </c>
      <c r="Q10" s="344"/>
      <c r="R10" s="344" t="str">
        <f>IF(AND('Mapa final'!$H$52="Muy Alta",'Mapa final'!$L$52="Menor"),CONCATENATE("R",'Mapa final'!$A$52),"")</f>
        <v/>
      </c>
      <c r="S10" s="344"/>
      <c r="T10" s="344" t="str">
        <f>IF(AND('Mapa final'!$H$58="Muy Alta",'Mapa final'!$L$58="Menor"),CONCATENATE("R",'Mapa final'!$A$58),"")</f>
        <v/>
      </c>
      <c r="U10" s="345"/>
      <c r="V10" s="348" t="str">
        <f>IF(AND('Mapa final'!$H$46="Muy Alta",'Mapa final'!$L$46="Moderado"),CONCATENATE("R",'Mapa final'!$A$46),"")</f>
        <v/>
      </c>
      <c r="W10" s="344"/>
      <c r="X10" s="344" t="str">
        <f>IF(AND('Mapa final'!$H$52="Muy Alta",'Mapa final'!$L$52="Moderado"),CONCATENATE("R",'Mapa final'!$A$52),"")</f>
        <v/>
      </c>
      <c r="Y10" s="344"/>
      <c r="Z10" s="344" t="str">
        <f>IF(AND('Mapa final'!$H$58="Muy Alta",'Mapa final'!$L$58="Moderado"),CONCATENATE("R",'Mapa final'!$A$58),"")</f>
        <v/>
      </c>
      <c r="AA10" s="345"/>
      <c r="AB10" s="348" t="str">
        <f>IF(AND('Mapa final'!$H$46="Muy Alta",'Mapa final'!$L$46="Mayor"),CONCATENATE("R",'Mapa final'!$A$46),"")</f>
        <v/>
      </c>
      <c r="AC10" s="344"/>
      <c r="AD10" s="344" t="str">
        <f>IF(AND('Mapa final'!$H$52="Muy Alta",'Mapa final'!$L$52="Mayor"),CONCATENATE("R",'Mapa final'!$A$52),"")</f>
        <v/>
      </c>
      <c r="AE10" s="344"/>
      <c r="AF10" s="344" t="str">
        <f>IF(AND('Mapa final'!$H$58="Muy Alta",'Mapa final'!$L$58="Mayor"),CONCATENATE("R",'Mapa final'!$A$58),"")</f>
        <v/>
      </c>
      <c r="AG10" s="345"/>
      <c r="AH10" s="355" t="str">
        <f>IF(AND('Mapa final'!$H$46="Muy Alta",'Mapa final'!$L$46="Catastrófico"),CONCATENATE("R",'Mapa final'!$A$46),"")</f>
        <v/>
      </c>
      <c r="AI10" s="356"/>
      <c r="AJ10" s="356" t="str">
        <f>IF(AND('Mapa final'!$H$52="Muy Alta",'Mapa final'!$L$52="Catastrófico"),CONCATENATE("R",'Mapa final'!$A$52),"")</f>
        <v/>
      </c>
      <c r="AK10" s="356"/>
      <c r="AL10" s="356" t="str">
        <f>IF(AND('Mapa final'!$H$58="Muy Alta",'Mapa final'!$L$58="Catastrófico"),CONCATENATE("R",'Mapa final'!$A$58),"")</f>
        <v/>
      </c>
      <c r="AM10" s="357"/>
      <c r="AN10" s="97"/>
      <c r="AO10" s="302"/>
      <c r="AP10" s="303"/>
      <c r="AQ10" s="303"/>
      <c r="AR10" s="303"/>
      <c r="AS10" s="303"/>
      <c r="AT10" s="304"/>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row>
    <row r="11" spans="1:99" ht="15" customHeight="1" x14ac:dyDescent="0.25">
      <c r="A11" s="97"/>
      <c r="B11" s="297"/>
      <c r="C11" s="297"/>
      <c r="D11" s="298"/>
      <c r="E11" s="338"/>
      <c r="F11" s="339"/>
      <c r="G11" s="339"/>
      <c r="H11" s="339"/>
      <c r="I11" s="340"/>
      <c r="J11" s="348"/>
      <c r="K11" s="344"/>
      <c r="L11" s="344"/>
      <c r="M11" s="344"/>
      <c r="N11" s="344"/>
      <c r="O11" s="345"/>
      <c r="P11" s="348"/>
      <c r="Q11" s="344"/>
      <c r="R11" s="344"/>
      <c r="S11" s="344"/>
      <c r="T11" s="344"/>
      <c r="U11" s="345"/>
      <c r="V11" s="348"/>
      <c r="W11" s="344"/>
      <c r="X11" s="344"/>
      <c r="Y11" s="344"/>
      <c r="Z11" s="344"/>
      <c r="AA11" s="345"/>
      <c r="AB11" s="348"/>
      <c r="AC11" s="344"/>
      <c r="AD11" s="344"/>
      <c r="AE11" s="344"/>
      <c r="AF11" s="344"/>
      <c r="AG11" s="345"/>
      <c r="AH11" s="355"/>
      <c r="AI11" s="356"/>
      <c r="AJ11" s="356"/>
      <c r="AK11" s="356"/>
      <c r="AL11" s="356"/>
      <c r="AM11" s="357"/>
      <c r="AN11" s="97"/>
      <c r="AO11" s="302"/>
      <c r="AP11" s="303"/>
      <c r="AQ11" s="303"/>
      <c r="AR11" s="303"/>
      <c r="AS11" s="303"/>
      <c r="AT11" s="304"/>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row>
    <row r="12" spans="1:99" ht="15" customHeight="1" x14ac:dyDescent="0.25">
      <c r="A12" s="97"/>
      <c r="B12" s="297"/>
      <c r="C12" s="297"/>
      <c r="D12" s="298"/>
      <c r="E12" s="338"/>
      <c r="F12" s="339"/>
      <c r="G12" s="339"/>
      <c r="H12" s="339"/>
      <c r="I12" s="340"/>
      <c r="J12" s="348" t="str">
        <f>IF(AND('Mapa final'!$H$64="Muy Alta",'Mapa final'!$L$64="Leve"),CONCATENATE("R",'Mapa final'!$A$64),"")</f>
        <v/>
      </c>
      <c r="K12" s="344"/>
      <c r="L12" s="344" t="str">
        <f>IF(AND('Mapa final'!$H$70="Muy Alta",'Mapa final'!$L$70="Leve"),CONCATENATE("R",'Mapa final'!$A$70),"")</f>
        <v/>
      </c>
      <c r="M12" s="344"/>
      <c r="N12" s="344" t="str">
        <f>IF(AND('Mapa final'!$H$76="Muy Alta",'Mapa final'!$L$76="Leve"),CONCATENATE("R",'Mapa final'!$A$76),"")</f>
        <v/>
      </c>
      <c r="O12" s="345"/>
      <c r="P12" s="348" t="str">
        <f>IF(AND('Mapa final'!$H$64="Muy Alta",'Mapa final'!$L$64="Menor"),CONCATENATE("R",'Mapa final'!$A$64),"")</f>
        <v/>
      </c>
      <c r="Q12" s="344"/>
      <c r="R12" s="344" t="str">
        <f>IF(AND('Mapa final'!$H$70="Muy Alta",'Mapa final'!$L$70="Menor"),CONCATENATE("R",'Mapa final'!$A$70),"")</f>
        <v/>
      </c>
      <c r="S12" s="344"/>
      <c r="T12" s="344" t="str">
        <f>IF(AND('Mapa final'!$H$76="Muy Alta",'Mapa final'!$L$76="Menor"),CONCATENATE("R",'Mapa final'!$A$76),"")</f>
        <v/>
      </c>
      <c r="U12" s="345"/>
      <c r="V12" s="348" t="str">
        <f>IF(AND('Mapa final'!$H$64="Muy Alta",'Mapa final'!$L$64="Moderado"),CONCATENATE("R",'Mapa final'!$A$64),"")</f>
        <v/>
      </c>
      <c r="W12" s="344"/>
      <c r="X12" s="344" t="str">
        <f>IF(AND('Mapa final'!$H$70="Muy Alta",'Mapa final'!$L$70="Moderado"),CONCATENATE("R",'Mapa final'!$A$70),"")</f>
        <v/>
      </c>
      <c r="Y12" s="344"/>
      <c r="Z12" s="344" t="str">
        <f>IF(AND('Mapa final'!$H$76="Muy Alta",'Mapa final'!$L$76="Moderado"),CONCATENATE("R",'Mapa final'!$A$76),"")</f>
        <v/>
      </c>
      <c r="AA12" s="345"/>
      <c r="AB12" s="348" t="str">
        <f>IF(AND('Mapa final'!$H$64="Muy Alta",'Mapa final'!$L$64="Mayor"),CONCATENATE("R",'Mapa final'!$A$64),"")</f>
        <v/>
      </c>
      <c r="AC12" s="344"/>
      <c r="AD12" s="344" t="str">
        <f>IF(AND('Mapa final'!$H$70="Muy Alta",'Mapa final'!$L$70="Mayor"),CONCATENATE("R",'Mapa final'!$A$70),"")</f>
        <v/>
      </c>
      <c r="AE12" s="344"/>
      <c r="AF12" s="344" t="str">
        <f>IF(AND('Mapa final'!$H$76="Muy Alta",'Mapa final'!$L$76="Mayor"),CONCATENATE("R",'Mapa final'!$A$76),"")</f>
        <v/>
      </c>
      <c r="AG12" s="345"/>
      <c r="AH12" s="355" t="str">
        <f>IF(AND('Mapa final'!$H$64="Muy Alta",'Mapa final'!$L$64="Catastrófico"),CONCATENATE("R",'Mapa final'!$A$64),"")</f>
        <v/>
      </c>
      <c r="AI12" s="356"/>
      <c r="AJ12" s="356" t="str">
        <f>IF(AND('Mapa final'!$H$70="Muy Alta",'Mapa final'!$L$70="Catastrófico"),CONCATENATE("R",'Mapa final'!$A$70),"")</f>
        <v/>
      </c>
      <c r="AK12" s="356"/>
      <c r="AL12" s="356" t="str">
        <f>IF(AND('Mapa final'!$H$76="Muy Alta",'Mapa final'!$L$76="Catastrófico"),CONCATENATE("R",'Mapa final'!$A$76),"")</f>
        <v/>
      </c>
      <c r="AM12" s="357"/>
      <c r="AN12" s="97"/>
      <c r="AO12" s="302"/>
      <c r="AP12" s="303"/>
      <c r="AQ12" s="303"/>
      <c r="AR12" s="303"/>
      <c r="AS12" s="303"/>
      <c r="AT12" s="304"/>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row>
    <row r="13" spans="1:99" ht="15.75" customHeight="1" thickBot="1" x14ac:dyDescent="0.3">
      <c r="A13" s="97"/>
      <c r="B13" s="297"/>
      <c r="C13" s="297"/>
      <c r="D13" s="298"/>
      <c r="E13" s="341"/>
      <c r="F13" s="342"/>
      <c r="G13" s="342"/>
      <c r="H13" s="342"/>
      <c r="I13" s="343"/>
      <c r="J13" s="348"/>
      <c r="K13" s="344"/>
      <c r="L13" s="344"/>
      <c r="M13" s="344"/>
      <c r="N13" s="344"/>
      <c r="O13" s="345"/>
      <c r="P13" s="348"/>
      <c r="Q13" s="344"/>
      <c r="R13" s="344"/>
      <c r="S13" s="344"/>
      <c r="T13" s="344"/>
      <c r="U13" s="345"/>
      <c r="V13" s="348"/>
      <c r="W13" s="344"/>
      <c r="X13" s="344"/>
      <c r="Y13" s="344"/>
      <c r="Z13" s="344"/>
      <c r="AA13" s="345"/>
      <c r="AB13" s="348"/>
      <c r="AC13" s="344"/>
      <c r="AD13" s="344"/>
      <c r="AE13" s="344"/>
      <c r="AF13" s="344"/>
      <c r="AG13" s="345"/>
      <c r="AH13" s="358"/>
      <c r="AI13" s="359"/>
      <c r="AJ13" s="359"/>
      <c r="AK13" s="359"/>
      <c r="AL13" s="359"/>
      <c r="AM13" s="360"/>
      <c r="AN13" s="97"/>
      <c r="AO13" s="305"/>
      <c r="AP13" s="306"/>
      <c r="AQ13" s="306"/>
      <c r="AR13" s="306"/>
      <c r="AS13" s="306"/>
      <c r="AT13" s="30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row>
    <row r="14" spans="1:99" ht="15" customHeight="1" x14ac:dyDescent="0.25">
      <c r="A14" s="97"/>
      <c r="B14" s="297"/>
      <c r="C14" s="297"/>
      <c r="D14" s="298"/>
      <c r="E14" s="335" t="s">
        <v>115</v>
      </c>
      <c r="F14" s="336"/>
      <c r="G14" s="336"/>
      <c r="H14" s="336"/>
      <c r="I14" s="336"/>
      <c r="J14" s="370" t="str">
        <f>IF(AND('Mapa final'!$H$10="Alta",'Mapa final'!$L$10="Leve"),CONCATENATE("R",'Mapa final'!$A$10),"")</f>
        <v/>
      </c>
      <c r="K14" s="371"/>
      <c r="L14" s="371" t="str">
        <f>IF(AND('Mapa final'!$H$16="Alta",'Mapa final'!$L$16="Leve"),CONCATENATE("R",'Mapa final'!$A$16),"")</f>
        <v/>
      </c>
      <c r="M14" s="371"/>
      <c r="N14" s="371" t="str">
        <f>IF(AND('Mapa final'!$H$22="Alta",'Mapa final'!$L$22="Leve"),CONCATENATE("R",'Mapa final'!$A$22),"")</f>
        <v/>
      </c>
      <c r="O14" s="372"/>
      <c r="P14" s="370" t="str">
        <f>IF(AND('Mapa final'!$H$10="Alta",'Mapa final'!$L$10="Menor"),CONCATENATE("R",'Mapa final'!$A$10),"")</f>
        <v/>
      </c>
      <c r="Q14" s="371"/>
      <c r="R14" s="371" t="str">
        <f>IF(AND('Mapa final'!$H$16="Alta",'Mapa final'!$L$16="Menor"),CONCATENATE("R",'Mapa final'!$A$16),"")</f>
        <v/>
      </c>
      <c r="S14" s="371"/>
      <c r="T14" s="371" t="str">
        <f>IF(AND('Mapa final'!$H$22="Alta",'Mapa final'!$L$22="Menor"),CONCATENATE("R",'Mapa final'!$A$22),"")</f>
        <v/>
      </c>
      <c r="U14" s="372"/>
      <c r="V14" s="346" t="str">
        <f>IF(AND('Mapa final'!$H$10="Alta",'Mapa final'!$L$10="Moderado"),CONCATENATE("R",'Mapa final'!$A$10),"")</f>
        <v/>
      </c>
      <c r="W14" s="347"/>
      <c r="X14" s="347" t="str">
        <f>IF(AND('Mapa final'!$H$16="Alta",'Mapa final'!$L$16="Moderado"),CONCATENATE("R",'Mapa final'!$A$16),"")</f>
        <v/>
      </c>
      <c r="Y14" s="347"/>
      <c r="Z14" s="347" t="str">
        <f>IF(AND('Mapa final'!$H$22="Alta",'Mapa final'!$L$22="Moderado"),CONCATENATE("R",'Mapa final'!$A$22),"")</f>
        <v/>
      </c>
      <c r="AA14" s="349"/>
      <c r="AB14" s="346" t="str">
        <f>IF(AND('Mapa final'!$H$10="Alta",'Mapa final'!$L$10="Mayor"),CONCATENATE("R",'Mapa final'!$A$10),"")</f>
        <v/>
      </c>
      <c r="AC14" s="347"/>
      <c r="AD14" s="347" t="str">
        <f>IF(AND('Mapa final'!$H$16="Alta",'Mapa final'!$L$16="Mayor"),CONCATENATE("R",'Mapa final'!$A$16),"")</f>
        <v/>
      </c>
      <c r="AE14" s="347"/>
      <c r="AF14" s="347" t="str">
        <f>IF(AND('Mapa final'!$H$22="Alta",'Mapa final'!$L$22="Mayor"),CONCATENATE("R",'Mapa final'!$A$22),"")</f>
        <v/>
      </c>
      <c r="AG14" s="349"/>
      <c r="AH14" s="361" t="str">
        <f>IF(AND('Mapa final'!$H$10="Alta",'Mapa final'!$L$10="Catastrófico"),CONCATENATE("R",'Mapa final'!$A$10),"")</f>
        <v/>
      </c>
      <c r="AI14" s="362"/>
      <c r="AJ14" s="362" t="str">
        <f>IF(AND('Mapa final'!$H$16="Alta",'Mapa final'!$L$16="Catastrófico"),CONCATENATE("R",'Mapa final'!$A$16),"")</f>
        <v/>
      </c>
      <c r="AK14" s="362"/>
      <c r="AL14" s="362" t="str">
        <f>IF(AND('Mapa final'!$H$22="Alta",'Mapa final'!$L$22="Catastrófico"),CONCATENATE("R",'Mapa final'!$A$22),"")</f>
        <v/>
      </c>
      <c r="AM14" s="363"/>
      <c r="AN14" s="97"/>
      <c r="AO14" s="308" t="s">
        <v>80</v>
      </c>
      <c r="AP14" s="309"/>
      <c r="AQ14" s="309"/>
      <c r="AR14" s="309"/>
      <c r="AS14" s="309"/>
      <c r="AT14" s="310"/>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row>
    <row r="15" spans="1:99" ht="15" customHeight="1" x14ac:dyDescent="0.25">
      <c r="A15" s="97"/>
      <c r="B15" s="297"/>
      <c r="C15" s="297"/>
      <c r="D15" s="298"/>
      <c r="E15" s="338"/>
      <c r="F15" s="339"/>
      <c r="G15" s="339"/>
      <c r="H15" s="339"/>
      <c r="I15" s="339"/>
      <c r="J15" s="364"/>
      <c r="K15" s="365"/>
      <c r="L15" s="365"/>
      <c r="M15" s="365"/>
      <c r="N15" s="365"/>
      <c r="O15" s="366"/>
      <c r="P15" s="364"/>
      <c r="Q15" s="365"/>
      <c r="R15" s="365"/>
      <c r="S15" s="365"/>
      <c r="T15" s="365"/>
      <c r="U15" s="366"/>
      <c r="V15" s="348"/>
      <c r="W15" s="344"/>
      <c r="X15" s="344"/>
      <c r="Y15" s="344"/>
      <c r="Z15" s="344"/>
      <c r="AA15" s="345"/>
      <c r="AB15" s="348"/>
      <c r="AC15" s="344"/>
      <c r="AD15" s="344"/>
      <c r="AE15" s="344"/>
      <c r="AF15" s="344"/>
      <c r="AG15" s="345"/>
      <c r="AH15" s="355"/>
      <c r="AI15" s="356"/>
      <c r="AJ15" s="356"/>
      <c r="AK15" s="356"/>
      <c r="AL15" s="356"/>
      <c r="AM15" s="357"/>
      <c r="AN15" s="97"/>
      <c r="AO15" s="311"/>
      <c r="AP15" s="312"/>
      <c r="AQ15" s="312"/>
      <c r="AR15" s="312"/>
      <c r="AS15" s="312"/>
      <c r="AT15" s="313"/>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row>
    <row r="16" spans="1:99" ht="15" customHeight="1" x14ac:dyDescent="0.25">
      <c r="A16" s="97"/>
      <c r="B16" s="297"/>
      <c r="C16" s="297"/>
      <c r="D16" s="298"/>
      <c r="E16" s="338"/>
      <c r="F16" s="339"/>
      <c r="G16" s="339"/>
      <c r="H16" s="339"/>
      <c r="I16" s="339"/>
      <c r="J16" s="364" t="str">
        <f>IF(AND('Mapa final'!$H$28="Alta",'Mapa final'!$L$28="Leve"),CONCATENATE("R",'Mapa final'!$A$28),"")</f>
        <v/>
      </c>
      <c r="K16" s="365"/>
      <c r="L16" s="365" t="str">
        <f>IF(AND('Mapa final'!$H$34="Alta",'Mapa final'!$L$34="Leve"),CONCATENATE("R",'Mapa final'!$A$34),"")</f>
        <v/>
      </c>
      <c r="M16" s="365"/>
      <c r="N16" s="365" t="str">
        <f>IF(AND('Mapa final'!$H$40="Alta",'Mapa final'!$L$40="Leve"),CONCATENATE("R",'Mapa final'!$A$40),"")</f>
        <v/>
      </c>
      <c r="O16" s="366"/>
      <c r="P16" s="364" t="str">
        <f>IF(AND('Mapa final'!$H$28="Alta",'Mapa final'!$L$28="Menor"),CONCATENATE("R",'Mapa final'!$A$28),"")</f>
        <v/>
      </c>
      <c r="Q16" s="365"/>
      <c r="R16" s="365" t="str">
        <f>IF(AND('Mapa final'!$H$34="Alta",'Mapa final'!$L$34="Menor"),CONCATENATE("R",'Mapa final'!$A$34),"")</f>
        <v/>
      </c>
      <c r="S16" s="365"/>
      <c r="T16" s="365" t="str">
        <f>IF(AND('Mapa final'!$H$40="Alta",'Mapa final'!$L$40="Menor"),CONCATENATE("R",'Mapa final'!$A$40),"")</f>
        <v/>
      </c>
      <c r="U16" s="366"/>
      <c r="V16" s="348" t="str">
        <f>IF(AND('Mapa final'!$H$28="Alta",'Mapa final'!$L$28="Moderado"),CONCATENATE("R",'Mapa final'!$A$28),"")</f>
        <v/>
      </c>
      <c r="W16" s="344"/>
      <c r="X16" s="344" t="str">
        <f>IF(AND('Mapa final'!$H$34="Alta",'Mapa final'!$L$34="Moderado"),CONCATENATE("R",'Mapa final'!$A$34),"")</f>
        <v/>
      </c>
      <c r="Y16" s="344"/>
      <c r="Z16" s="344" t="str">
        <f>IF(AND('Mapa final'!$H$40="Alta",'Mapa final'!$L$40="Moderado"),CONCATENATE("R",'Mapa final'!$A$40),"")</f>
        <v/>
      </c>
      <c r="AA16" s="345"/>
      <c r="AB16" s="348" t="str">
        <f>IF(AND('Mapa final'!$H$28="Alta",'Mapa final'!$L$28="Mayor"),CONCATENATE("R",'Mapa final'!$A$28),"")</f>
        <v/>
      </c>
      <c r="AC16" s="344"/>
      <c r="AD16" s="344" t="str">
        <f>IF(AND('Mapa final'!$H$34="Alta",'Mapa final'!$L$34="Mayor"),CONCATENATE("R",'Mapa final'!$A$34),"")</f>
        <v/>
      </c>
      <c r="AE16" s="344"/>
      <c r="AF16" s="344" t="str">
        <f>IF(AND('Mapa final'!$H$40="Alta",'Mapa final'!$L$40="Mayor"),CONCATENATE("R",'Mapa final'!$A$40),"")</f>
        <v/>
      </c>
      <c r="AG16" s="345"/>
      <c r="AH16" s="355" t="str">
        <f>IF(AND('Mapa final'!$H$28="Alta",'Mapa final'!$L$28="Catastrófico"),CONCATENATE("R",'Mapa final'!$A$28),"")</f>
        <v/>
      </c>
      <c r="AI16" s="356"/>
      <c r="AJ16" s="356" t="str">
        <f>IF(AND('Mapa final'!$H$34="Alta",'Mapa final'!$L$34="Catastrófico"),CONCATENATE("R",'Mapa final'!$A$34),"")</f>
        <v/>
      </c>
      <c r="AK16" s="356"/>
      <c r="AL16" s="356" t="str">
        <f>IF(AND('Mapa final'!$H$40="Alta",'Mapa final'!$L$40="Catastrófico"),CONCATENATE("R",'Mapa final'!$A$40),"")</f>
        <v/>
      </c>
      <c r="AM16" s="357"/>
      <c r="AN16" s="97"/>
      <c r="AO16" s="311"/>
      <c r="AP16" s="312"/>
      <c r="AQ16" s="312"/>
      <c r="AR16" s="312"/>
      <c r="AS16" s="312"/>
      <c r="AT16" s="313"/>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row>
    <row r="17" spans="1:80" ht="15" customHeight="1" x14ac:dyDescent="0.25">
      <c r="A17" s="97"/>
      <c r="B17" s="297"/>
      <c r="C17" s="297"/>
      <c r="D17" s="298"/>
      <c r="E17" s="338"/>
      <c r="F17" s="339"/>
      <c r="G17" s="339"/>
      <c r="H17" s="339"/>
      <c r="I17" s="339"/>
      <c r="J17" s="364"/>
      <c r="K17" s="365"/>
      <c r="L17" s="365"/>
      <c r="M17" s="365"/>
      <c r="N17" s="365"/>
      <c r="O17" s="366"/>
      <c r="P17" s="364"/>
      <c r="Q17" s="365"/>
      <c r="R17" s="365"/>
      <c r="S17" s="365"/>
      <c r="T17" s="365"/>
      <c r="U17" s="366"/>
      <c r="V17" s="348"/>
      <c r="W17" s="344"/>
      <c r="X17" s="344"/>
      <c r="Y17" s="344"/>
      <c r="Z17" s="344"/>
      <c r="AA17" s="345"/>
      <c r="AB17" s="348"/>
      <c r="AC17" s="344"/>
      <c r="AD17" s="344"/>
      <c r="AE17" s="344"/>
      <c r="AF17" s="344"/>
      <c r="AG17" s="345"/>
      <c r="AH17" s="355"/>
      <c r="AI17" s="356"/>
      <c r="AJ17" s="356"/>
      <c r="AK17" s="356"/>
      <c r="AL17" s="356"/>
      <c r="AM17" s="357"/>
      <c r="AN17" s="97"/>
      <c r="AO17" s="311"/>
      <c r="AP17" s="312"/>
      <c r="AQ17" s="312"/>
      <c r="AR17" s="312"/>
      <c r="AS17" s="312"/>
      <c r="AT17" s="313"/>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row>
    <row r="18" spans="1:80" ht="15" customHeight="1" x14ac:dyDescent="0.25">
      <c r="A18" s="97"/>
      <c r="B18" s="297"/>
      <c r="C18" s="297"/>
      <c r="D18" s="298"/>
      <c r="E18" s="338"/>
      <c r="F18" s="339"/>
      <c r="G18" s="339"/>
      <c r="H18" s="339"/>
      <c r="I18" s="339"/>
      <c r="J18" s="364" t="str">
        <f>IF(AND('Mapa final'!$H$46="Alta",'Mapa final'!$L$46="Leve"),CONCATENATE("R",'Mapa final'!$A$46),"")</f>
        <v/>
      </c>
      <c r="K18" s="365"/>
      <c r="L18" s="365" t="str">
        <f>IF(AND('Mapa final'!$H$52="Alta",'Mapa final'!$L$52="Leve"),CONCATENATE("R",'Mapa final'!$A$52),"")</f>
        <v/>
      </c>
      <c r="M18" s="365"/>
      <c r="N18" s="365" t="str">
        <f>IF(AND('Mapa final'!$H$58="Alta",'Mapa final'!$L$58="Leve"),CONCATENATE("R",'Mapa final'!$A$58),"")</f>
        <v/>
      </c>
      <c r="O18" s="366"/>
      <c r="P18" s="364" t="str">
        <f>IF(AND('Mapa final'!$H$46="Alta",'Mapa final'!$L$46="Menor"),CONCATENATE("R",'Mapa final'!$A$46),"")</f>
        <v/>
      </c>
      <c r="Q18" s="365"/>
      <c r="R18" s="365" t="str">
        <f>IF(AND('Mapa final'!$H$52="Alta",'Mapa final'!$L$52="Menor"),CONCATENATE("R",'Mapa final'!$A$52),"")</f>
        <v/>
      </c>
      <c r="S18" s="365"/>
      <c r="T18" s="365" t="str">
        <f>IF(AND('Mapa final'!$H$58="Alta",'Mapa final'!$L$58="Menor"),CONCATENATE("R",'Mapa final'!$A$58),"")</f>
        <v/>
      </c>
      <c r="U18" s="366"/>
      <c r="V18" s="348" t="str">
        <f>IF(AND('Mapa final'!$H$46="Alta",'Mapa final'!$L$46="Moderado"),CONCATENATE("R",'Mapa final'!$A$46),"")</f>
        <v/>
      </c>
      <c r="W18" s="344"/>
      <c r="X18" s="344" t="str">
        <f>IF(AND('Mapa final'!$H$52="Alta",'Mapa final'!$L$52="Moderado"),CONCATENATE("R",'Mapa final'!$A$52),"")</f>
        <v/>
      </c>
      <c r="Y18" s="344"/>
      <c r="Z18" s="344" t="str">
        <f>IF(AND('Mapa final'!$H$58="Alta",'Mapa final'!$L$58="Moderado"),CONCATENATE("R",'Mapa final'!$A$58),"")</f>
        <v/>
      </c>
      <c r="AA18" s="345"/>
      <c r="AB18" s="348" t="str">
        <f>IF(AND('Mapa final'!$H$46="Alta",'Mapa final'!$L$46="Mayor"),CONCATENATE("R",'Mapa final'!$A$46),"")</f>
        <v/>
      </c>
      <c r="AC18" s="344"/>
      <c r="AD18" s="344" t="str">
        <f>IF(AND('Mapa final'!$H$52="Alta",'Mapa final'!$L$52="Mayor"),CONCATENATE("R",'Mapa final'!$A$52),"")</f>
        <v/>
      </c>
      <c r="AE18" s="344"/>
      <c r="AF18" s="344" t="str">
        <f>IF(AND('Mapa final'!$H$58="Alta",'Mapa final'!$L$58="Mayor"),CONCATENATE("R",'Mapa final'!$A$58),"")</f>
        <v/>
      </c>
      <c r="AG18" s="345"/>
      <c r="AH18" s="355" t="str">
        <f>IF(AND('Mapa final'!$H$46="Alta",'Mapa final'!$L$46="Catastrófico"),CONCATENATE("R",'Mapa final'!$A$46),"")</f>
        <v/>
      </c>
      <c r="AI18" s="356"/>
      <c r="AJ18" s="356" t="str">
        <f>IF(AND('Mapa final'!$H$52="Alta",'Mapa final'!$L$52="Catastrófico"),CONCATENATE("R",'Mapa final'!$A$52),"")</f>
        <v/>
      </c>
      <c r="AK18" s="356"/>
      <c r="AL18" s="356" t="str">
        <f>IF(AND('Mapa final'!$H$58="Alta",'Mapa final'!$L$58="Catastrófico"),CONCATENATE("R",'Mapa final'!$A$58),"")</f>
        <v/>
      </c>
      <c r="AM18" s="357"/>
      <c r="AN18" s="97"/>
      <c r="AO18" s="311"/>
      <c r="AP18" s="312"/>
      <c r="AQ18" s="312"/>
      <c r="AR18" s="312"/>
      <c r="AS18" s="312"/>
      <c r="AT18" s="313"/>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row>
    <row r="19" spans="1:80" ht="15" customHeight="1" x14ac:dyDescent="0.25">
      <c r="A19" s="97"/>
      <c r="B19" s="297"/>
      <c r="C19" s="297"/>
      <c r="D19" s="298"/>
      <c r="E19" s="338"/>
      <c r="F19" s="339"/>
      <c r="G19" s="339"/>
      <c r="H19" s="339"/>
      <c r="I19" s="339"/>
      <c r="J19" s="364"/>
      <c r="K19" s="365"/>
      <c r="L19" s="365"/>
      <c r="M19" s="365"/>
      <c r="N19" s="365"/>
      <c r="O19" s="366"/>
      <c r="P19" s="364"/>
      <c r="Q19" s="365"/>
      <c r="R19" s="365"/>
      <c r="S19" s="365"/>
      <c r="T19" s="365"/>
      <c r="U19" s="366"/>
      <c r="V19" s="348"/>
      <c r="W19" s="344"/>
      <c r="X19" s="344"/>
      <c r="Y19" s="344"/>
      <c r="Z19" s="344"/>
      <c r="AA19" s="345"/>
      <c r="AB19" s="348"/>
      <c r="AC19" s="344"/>
      <c r="AD19" s="344"/>
      <c r="AE19" s="344"/>
      <c r="AF19" s="344"/>
      <c r="AG19" s="345"/>
      <c r="AH19" s="355"/>
      <c r="AI19" s="356"/>
      <c r="AJ19" s="356"/>
      <c r="AK19" s="356"/>
      <c r="AL19" s="356"/>
      <c r="AM19" s="357"/>
      <c r="AN19" s="97"/>
      <c r="AO19" s="311"/>
      <c r="AP19" s="312"/>
      <c r="AQ19" s="312"/>
      <c r="AR19" s="312"/>
      <c r="AS19" s="312"/>
      <c r="AT19" s="313"/>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row>
    <row r="20" spans="1:80" ht="15" customHeight="1" x14ac:dyDescent="0.25">
      <c r="A20" s="97"/>
      <c r="B20" s="297"/>
      <c r="C20" s="297"/>
      <c r="D20" s="298"/>
      <c r="E20" s="338"/>
      <c r="F20" s="339"/>
      <c r="G20" s="339"/>
      <c r="H20" s="339"/>
      <c r="I20" s="339"/>
      <c r="J20" s="364" t="str">
        <f>IF(AND('Mapa final'!$H$64="Alta",'Mapa final'!$L$64="Leve"),CONCATENATE("R",'Mapa final'!$A$64),"")</f>
        <v/>
      </c>
      <c r="K20" s="365"/>
      <c r="L20" s="365" t="str">
        <f>IF(AND('Mapa final'!$H$70="Alta",'Mapa final'!$L$70="Leve"),CONCATENATE("R",'Mapa final'!$A$70),"")</f>
        <v/>
      </c>
      <c r="M20" s="365"/>
      <c r="N20" s="365" t="str">
        <f>IF(AND('Mapa final'!$H$76="Alta",'Mapa final'!$L$76="Leve"),CONCATENATE("R",'Mapa final'!$A$76),"")</f>
        <v/>
      </c>
      <c r="O20" s="366"/>
      <c r="P20" s="364" t="str">
        <f>IF(AND('Mapa final'!$H$64="Alta",'Mapa final'!$L$64="Menor"),CONCATENATE("R",'Mapa final'!$A$64),"")</f>
        <v/>
      </c>
      <c r="Q20" s="365"/>
      <c r="R20" s="365" t="str">
        <f>IF(AND('Mapa final'!$H$70="Alta",'Mapa final'!$L$70="Menor"),CONCATENATE("R",'Mapa final'!$A$70),"")</f>
        <v/>
      </c>
      <c r="S20" s="365"/>
      <c r="T20" s="365" t="str">
        <f>IF(AND('Mapa final'!$H$76="Alta",'Mapa final'!$L$76="Menor"),CONCATENATE("R",'Mapa final'!$A$76),"")</f>
        <v/>
      </c>
      <c r="U20" s="366"/>
      <c r="V20" s="348" t="str">
        <f>IF(AND('Mapa final'!$H$64="Alta",'Mapa final'!$L$64="Moderado"),CONCATENATE("R",'Mapa final'!$A$64),"")</f>
        <v/>
      </c>
      <c r="W20" s="344"/>
      <c r="X20" s="344" t="str">
        <f>IF(AND('Mapa final'!$H$70="Alta",'Mapa final'!$L$70="Moderado"),CONCATENATE("R",'Mapa final'!$A$70),"")</f>
        <v/>
      </c>
      <c r="Y20" s="344"/>
      <c r="Z20" s="344" t="str">
        <f>IF(AND('Mapa final'!$H$76="Alta",'Mapa final'!$L$76="Moderado"),CONCATENATE("R",'Mapa final'!$A$76),"")</f>
        <v/>
      </c>
      <c r="AA20" s="345"/>
      <c r="AB20" s="348" t="str">
        <f>IF(AND('Mapa final'!$H$64="Alta",'Mapa final'!$L$64="Mayor"),CONCATENATE("R",'Mapa final'!$A$64),"")</f>
        <v/>
      </c>
      <c r="AC20" s="344"/>
      <c r="AD20" s="344" t="str">
        <f>IF(AND('Mapa final'!$H$70="Alta",'Mapa final'!$L$70="Mayor"),CONCATENATE("R",'Mapa final'!$A$70),"")</f>
        <v/>
      </c>
      <c r="AE20" s="344"/>
      <c r="AF20" s="344" t="str">
        <f>IF(AND('Mapa final'!$H$76="Alta",'Mapa final'!$L$76="Mayor"),CONCATENATE("R",'Mapa final'!$A$76),"")</f>
        <v/>
      </c>
      <c r="AG20" s="345"/>
      <c r="AH20" s="355" t="str">
        <f>IF(AND('Mapa final'!$H$64="Alta",'Mapa final'!$L$64="Catastrófico"),CONCATENATE("R",'Mapa final'!$A$64),"")</f>
        <v/>
      </c>
      <c r="AI20" s="356"/>
      <c r="AJ20" s="356" t="str">
        <f>IF(AND('Mapa final'!$H$70="Alta",'Mapa final'!$L$70="Catastrófico"),CONCATENATE("R",'Mapa final'!$A$70),"")</f>
        <v/>
      </c>
      <c r="AK20" s="356"/>
      <c r="AL20" s="356" t="str">
        <f>IF(AND('Mapa final'!$H$76="Alta",'Mapa final'!$L$76="Catastrófico"),CONCATENATE("R",'Mapa final'!$A$76),"")</f>
        <v/>
      </c>
      <c r="AM20" s="357"/>
      <c r="AN20" s="97"/>
      <c r="AO20" s="311"/>
      <c r="AP20" s="312"/>
      <c r="AQ20" s="312"/>
      <c r="AR20" s="312"/>
      <c r="AS20" s="312"/>
      <c r="AT20" s="313"/>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row>
    <row r="21" spans="1:80" ht="15.75" customHeight="1" thickBot="1" x14ac:dyDescent="0.3">
      <c r="A21" s="97"/>
      <c r="B21" s="297"/>
      <c r="C21" s="297"/>
      <c r="D21" s="298"/>
      <c r="E21" s="341"/>
      <c r="F21" s="342"/>
      <c r="G21" s="342"/>
      <c r="H21" s="342"/>
      <c r="I21" s="342"/>
      <c r="J21" s="367"/>
      <c r="K21" s="368"/>
      <c r="L21" s="368"/>
      <c r="M21" s="368"/>
      <c r="N21" s="368"/>
      <c r="O21" s="369"/>
      <c r="P21" s="367"/>
      <c r="Q21" s="368"/>
      <c r="R21" s="368"/>
      <c r="S21" s="368"/>
      <c r="T21" s="368"/>
      <c r="U21" s="369"/>
      <c r="V21" s="352"/>
      <c r="W21" s="353"/>
      <c r="X21" s="353"/>
      <c r="Y21" s="353"/>
      <c r="Z21" s="353"/>
      <c r="AA21" s="354"/>
      <c r="AB21" s="352"/>
      <c r="AC21" s="353"/>
      <c r="AD21" s="353"/>
      <c r="AE21" s="353"/>
      <c r="AF21" s="353"/>
      <c r="AG21" s="354"/>
      <c r="AH21" s="358"/>
      <c r="AI21" s="359"/>
      <c r="AJ21" s="359"/>
      <c r="AK21" s="359"/>
      <c r="AL21" s="359"/>
      <c r="AM21" s="360"/>
      <c r="AN21" s="97"/>
      <c r="AO21" s="314"/>
      <c r="AP21" s="315"/>
      <c r="AQ21" s="315"/>
      <c r="AR21" s="315"/>
      <c r="AS21" s="315"/>
      <c r="AT21" s="316"/>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row>
    <row r="22" spans="1:80" x14ac:dyDescent="0.25">
      <c r="A22" s="97"/>
      <c r="B22" s="297"/>
      <c r="C22" s="297"/>
      <c r="D22" s="298"/>
      <c r="E22" s="335" t="s">
        <v>117</v>
      </c>
      <c r="F22" s="336"/>
      <c r="G22" s="336"/>
      <c r="H22" s="336"/>
      <c r="I22" s="337"/>
      <c r="J22" s="370" t="str">
        <f>IF(AND('Mapa final'!$H$10="Media",'Mapa final'!$L$10="Leve"),CONCATENATE("R",'Mapa final'!$A$10),"")</f>
        <v/>
      </c>
      <c r="K22" s="371"/>
      <c r="L22" s="371" t="str">
        <f>IF(AND('Mapa final'!$H$16="Media",'Mapa final'!$L$16="Leve"),CONCATENATE("R",'Mapa final'!$A$16),"")</f>
        <v/>
      </c>
      <c r="M22" s="371"/>
      <c r="N22" s="371" t="str">
        <f>IF(AND('Mapa final'!$H$22="Media",'Mapa final'!$L$22="Leve"),CONCATENATE("R",'Mapa final'!$A$22),"")</f>
        <v/>
      </c>
      <c r="O22" s="372"/>
      <c r="P22" s="370" t="str">
        <f>IF(AND('Mapa final'!$H$10="Media",'Mapa final'!$L$10="Menor"),CONCATENATE("R",'Mapa final'!$A$10),"")</f>
        <v/>
      </c>
      <c r="Q22" s="371"/>
      <c r="R22" s="371" t="str">
        <f>IF(AND('Mapa final'!$H$16="Media",'Mapa final'!$L$16="Menor"),CONCATENATE("R",'Mapa final'!$A$16),"")</f>
        <v/>
      </c>
      <c r="S22" s="371"/>
      <c r="T22" s="371" t="str">
        <f>IF(AND('Mapa final'!$H$22="Media",'Mapa final'!$L$22="Menor"),CONCATENATE("R",'Mapa final'!$A$22),"")</f>
        <v/>
      </c>
      <c r="U22" s="372"/>
      <c r="V22" s="370" t="str">
        <f>IF(AND('Mapa final'!$H$10="Media",'Mapa final'!$L$10="Moderado"),CONCATENATE("R",'Mapa final'!$A$10),"")</f>
        <v/>
      </c>
      <c r="W22" s="371"/>
      <c r="X22" s="371" t="str">
        <f>IF(AND('Mapa final'!$H$16="Media",'Mapa final'!$L$16="Moderado"),CONCATENATE("R",'Mapa final'!$A$16),"")</f>
        <v/>
      </c>
      <c r="Y22" s="371"/>
      <c r="Z22" s="371" t="str">
        <f>IF(AND('Mapa final'!$H$22="Media",'Mapa final'!$L$22="Moderado"),CONCATENATE("R",'Mapa final'!$A$22),"")</f>
        <v/>
      </c>
      <c r="AA22" s="372"/>
      <c r="AB22" s="346" t="str">
        <f>IF(AND('Mapa final'!$H$10="Media",'Mapa final'!$L$10="Mayor"),CONCATENATE("R",'Mapa final'!$A$10),"")</f>
        <v/>
      </c>
      <c r="AC22" s="347"/>
      <c r="AD22" s="347" t="str">
        <f>IF(AND('Mapa final'!$H$16="Media",'Mapa final'!$L$16="Mayor"),CONCATENATE("R",'Mapa final'!$A$16),"")</f>
        <v/>
      </c>
      <c r="AE22" s="347"/>
      <c r="AF22" s="347" t="str">
        <f>IF(AND('Mapa final'!$H$22="Media",'Mapa final'!$L$22="Mayor"),CONCATENATE("R",'Mapa final'!$A$22),"")</f>
        <v/>
      </c>
      <c r="AG22" s="349"/>
      <c r="AH22" s="361" t="str">
        <f>IF(AND('Mapa final'!$H$10="Media",'Mapa final'!$L$10="Catastrófico"),CONCATENATE("R",'Mapa final'!$A$10),"")</f>
        <v>R1</v>
      </c>
      <c r="AI22" s="362"/>
      <c r="AJ22" s="362" t="str">
        <f>IF(AND('Mapa final'!$H$16="Media",'Mapa final'!$L$16="Catastrófico"),CONCATENATE("R",'Mapa final'!$A$16),"")</f>
        <v>R2</v>
      </c>
      <c r="AK22" s="362"/>
      <c r="AL22" s="362" t="str">
        <f>IF(AND('Mapa final'!$H$22="Media",'Mapa final'!$L$22="Catastrófico"),CONCATENATE("R",'Mapa final'!$A$22),"")</f>
        <v>R3</v>
      </c>
      <c r="AM22" s="363"/>
      <c r="AN22" s="97"/>
      <c r="AO22" s="317" t="s">
        <v>81</v>
      </c>
      <c r="AP22" s="318"/>
      <c r="AQ22" s="318"/>
      <c r="AR22" s="318"/>
      <c r="AS22" s="318"/>
      <c r="AT22" s="319"/>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row>
    <row r="23" spans="1:80" x14ac:dyDescent="0.25">
      <c r="A23" s="97"/>
      <c r="B23" s="297"/>
      <c r="C23" s="297"/>
      <c r="D23" s="298"/>
      <c r="E23" s="338"/>
      <c r="F23" s="339"/>
      <c r="G23" s="339"/>
      <c r="H23" s="339"/>
      <c r="I23" s="340"/>
      <c r="J23" s="364"/>
      <c r="K23" s="365"/>
      <c r="L23" s="365"/>
      <c r="M23" s="365"/>
      <c r="N23" s="365"/>
      <c r="O23" s="366"/>
      <c r="P23" s="364"/>
      <c r="Q23" s="365"/>
      <c r="R23" s="365"/>
      <c r="S23" s="365"/>
      <c r="T23" s="365"/>
      <c r="U23" s="366"/>
      <c r="V23" s="364"/>
      <c r="W23" s="365"/>
      <c r="X23" s="365"/>
      <c r="Y23" s="365"/>
      <c r="Z23" s="365"/>
      <c r="AA23" s="366"/>
      <c r="AB23" s="348"/>
      <c r="AC23" s="344"/>
      <c r="AD23" s="344"/>
      <c r="AE23" s="344"/>
      <c r="AF23" s="344"/>
      <c r="AG23" s="345"/>
      <c r="AH23" s="355"/>
      <c r="AI23" s="356"/>
      <c r="AJ23" s="356"/>
      <c r="AK23" s="356"/>
      <c r="AL23" s="356"/>
      <c r="AM23" s="357"/>
      <c r="AN23" s="97"/>
      <c r="AO23" s="320"/>
      <c r="AP23" s="321"/>
      <c r="AQ23" s="321"/>
      <c r="AR23" s="321"/>
      <c r="AS23" s="321"/>
      <c r="AT23" s="322"/>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80" x14ac:dyDescent="0.25">
      <c r="A24" s="97"/>
      <c r="B24" s="297"/>
      <c r="C24" s="297"/>
      <c r="D24" s="298"/>
      <c r="E24" s="338"/>
      <c r="F24" s="339"/>
      <c r="G24" s="339"/>
      <c r="H24" s="339"/>
      <c r="I24" s="340"/>
      <c r="J24" s="364" t="str">
        <f>IF(AND('Mapa final'!$H$28="Media",'Mapa final'!$L$28="Leve"),CONCATENATE("R",'Mapa final'!$A$28),"")</f>
        <v/>
      </c>
      <c r="K24" s="365"/>
      <c r="L24" s="365" t="str">
        <f>IF(AND('Mapa final'!$H$34="Media",'Mapa final'!$L$34="Leve"),CONCATENATE("R",'Mapa final'!$A$34),"")</f>
        <v/>
      </c>
      <c r="M24" s="365"/>
      <c r="N24" s="365" t="str">
        <f>IF(AND('Mapa final'!$H$40="Media",'Mapa final'!$L$40="Leve"),CONCATENATE("R",'Mapa final'!$A$40),"")</f>
        <v/>
      </c>
      <c r="O24" s="366"/>
      <c r="P24" s="364" t="str">
        <f>IF(AND('Mapa final'!$H$28="Media",'Mapa final'!$L$28="Menor"),CONCATENATE("R",'Mapa final'!$A$28),"")</f>
        <v/>
      </c>
      <c r="Q24" s="365"/>
      <c r="R24" s="365" t="str">
        <f>IF(AND('Mapa final'!$H$34="Media",'Mapa final'!$L$34="Menor"),CONCATENATE("R",'Mapa final'!$A$34),"")</f>
        <v/>
      </c>
      <c r="S24" s="365"/>
      <c r="T24" s="365" t="str">
        <f>IF(AND('Mapa final'!$H$40="Media",'Mapa final'!$L$40="Menor"),CONCATENATE("R",'Mapa final'!$A$40),"")</f>
        <v/>
      </c>
      <c r="U24" s="366"/>
      <c r="V24" s="364" t="str">
        <f>IF(AND('Mapa final'!$H$28="Media",'Mapa final'!$L$28="Moderado"),CONCATENATE("R",'Mapa final'!$A$28),"")</f>
        <v/>
      </c>
      <c r="W24" s="365"/>
      <c r="X24" s="365" t="str">
        <f>IF(AND('Mapa final'!$H$34="Media",'Mapa final'!$L$34="Moderado"),CONCATENATE("R",'Mapa final'!$A$34),"")</f>
        <v/>
      </c>
      <c r="Y24" s="365"/>
      <c r="Z24" s="365" t="str">
        <f>IF(AND('Mapa final'!$H$40="Media",'Mapa final'!$L$40="Moderado"),CONCATENATE("R",'Mapa final'!$A$40),"")</f>
        <v/>
      </c>
      <c r="AA24" s="366"/>
      <c r="AB24" s="348" t="str">
        <f>IF(AND('Mapa final'!$H$28="Media",'Mapa final'!$L$28="Mayor"),CONCATENATE("R",'Mapa final'!$A$28),"")</f>
        <v/>
      </c>
      <c r="AC24" s="344"/>
      <c r="AD24" s="344" t="str">
        <f>IF(AND('Mapa final'!$H$34="Media",'Mapa final'!$L$34="Mayor"),CONCATENATE("R",'Mapa final'!$A$34),"")</f>
        <v/>
      </c>
      <c r="AE24" s="344"/>
      <c r="AF24" s="344" t="str">
        <f>IF(AND('Mapa final'!$H$40="Media",'Mapa final'!$L$40="Mayor"),CONCATENATE("R",'Mapa final'!$A$40),"")</f>
        <v/>
      </c>
      <c r="AG24" s="345"/>
      <c r="AH24" s="355" t="str">
        <f>IF(AND('Mapa final'!$H$28="Media",'Mapa final'!$L$28="Catastrófico"),CONCATENATE("R",'Mapa final'!$A$28),"")</f>
        <v/>
      </c>
      <c r="AI24" s="356"/>
      <c r="AJ24" s="356" t="str">
        <f>IF(AND('Mapa final'!$H$34="Media",'Mapa final'!$L$34="Catastrófico"),CONCATENATE("R",'Mapa final'!$A$34),"")</f>
        <v/>
      </c>
      <c r="AK24" s="356"/>
      <c r="AL24" s="356" t="str">
        <f>IF(AND('Mapa final'!$H$40="Media",'Mapa final'!$L$40="Catastrófico"),CONCATENATE("R",'Mapa final'!$A$40),"")</f>
        <v/>
      </c>
      <c r="AM24" s="357"/>
      <c r="AN24" s="97"/>
      <c r="AO24" s="320"/>
      <c r="AP24" s="321"/>
      <c r="AQ24" s="321"/>
      <c r="AR24" s="321"/>
      <c r="AS24" s="321"/>
      <c r="AT24" s="322"/>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row>
    <row r="25" spans="1:80" x14ac:dyDescent="0.25">
      <c r="A25" s="97"/>
      <c r="B25" s="297"/>
      <c r="C25" s="297"/>
      <c r="D25" s="298"/>
      <c r="E25" s="338"/>
      <c r="F25" s="339"/>
      <c r="G25" s="339"/>
      <c r="H25" s="339"/>
      <c r="I25" s="340"/>
      <c r="J25" s="364"/>
      <c r="K25" s="365"/>
      <c r="L25" s="365"/>
      <c r="M25" s="365"/>
      <c r="N25" s="365"/>
      <c r="O25" s="366"/>
      <c r="P25" s="364"/>
      <c r="Q25" s="365"/>
      <c r="R25" s="365"/>
      <c r="S25" s="365"/>
      <c r="T25" s="365"/>
      <c r="U25" s="366"/>
      <c r="V25" s="364"/>
      <c r="W25" s="365"/>
      <c r="X25" s="365"/>
      <c r="Y25" s="365"/>
      <c r="Z25" s="365"/>
      <c r="AA25" s="366"/>
      <c r="AB25" s="348"/>
      <c r="AC25" s="344"/>
      <c r="AD25" s="344"/>
      <c r="AE25" s="344"/>
      <c r="AF25" s="344"/>
      <c r="AG25" s="345"/>
      <c r="AH25" s="355"/>
      <c r="AI25" s="356"/>
      <c r="AJ25" s="356"/>
      <c r="AK25" s="356"/>
      <c r="AL25" s="356"/>
      <c r="AM25" s="357"/>
      <c r="AN25" s="97"/>
      <c r="AO25" s="320"/>
      <c r="AP25" s="321"/>
      <c r="AQ25" s="321"/>
      <c r="AR25" s="321"/>
      <c r="AS25" s="321"/>
      <c r="AT25" s="322"/>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row>
    <row r="26" spans="1:80" x14ac:dyDescent="0.25">
      <c r="A26" s="97"/>
      <c r="B26" s="297"/>
      <c r="C26" s="297"/>
      <c r="D26" s="298"/>
      <c r="E26" s="338"/>
      <c r="F26" s="339"/>
      <c r="G26" s="339"/>
      <c r="H26" s="339"/>
      <c r="I26" s="340"/>
      <c r="J26" s="364" t="str">
        <f>IF(AND('Mapa final'!$H$46="Media",'Mapa final'!$L$46="Leve"),CONCATENATE("R",'Mapa final'!$A$46),"")</f>
        <v/>
      </c>
      <c r="K26" s="365"/>
      <c r="L26" s="365" t="str">
        <f>IF(AND('Mapa final'!$H$52="Media",'Mapa final'!$L$52="Leve"),CONCATENATE("R",'Mapa final'!$A$52),"")</f>
        <v/>
      </c>
      <c r="M26" s="365"/>
      <c r="N26" s="365" t="str">
        <f>IF(AND('Mapa final'!$H$58="Media",'Mapa final'!$L$58="Leve"),CONCATENATE("R",'Mapa final'!$A$58),"")</f>
        <v/>
      </c>
      <c r="O26" s="366"/>
      <c r="P26" s="364" t="str">
        <f>IF(AND('Mapa final'!$H$46="Media",'Mapa final'!$L$46="Menor"),CONCATENATE("R",'Mapa final'!$A$46),"")</f>
        <v/>
      </c>
      <c r="Q26" s="365"/>
      <c r="R26" s="365" t="str">
        <f>IF(AND('Mapa final'!$H$52="Media",'Mapa final'!$L$52="Menor"),CONCATENATE("R",'Mapa final'!$A$52),"")</f>
        <v/>
      </c>
      <c r="S26" s="365"/>
      <c r="T26" s="365" t="str">
        <f>IF(AND('Mapa final'!$H$58="Media",'Mapa final'!$L$58="Menor"),CONCATENATE("R",'Mapa final'!$A$58),"")</f>
        <v/>
      </c>
      <c r="U26" s="366"/>
      <c r="V26" s="364" t="str">
        <f>IF(AND('Mapa final'!$H$46="Media",'Mapa final'!$L$46="Moderado"),CONCATENATE("R",'Mapa final'!$A$46),"")</f>
        <v/>
      </c>
      <c r="W26" s="365"/>
      <c r="X26" s="365" t="str">
        <f>IF(AND('Mapa final'!$H$52="Media",'Mapa final'!$L$52="Moderado"),CONCATENATE("R",'Mapa final'!$A$52),"")</f>
        <v/>
      </c>
      <c r="Y26" s="365"/>
      <c r="Z26" s="365" t="str">
        <f>IF(AND('Mapa final'!$H$58="Media",'Mapa final'!$L$58="Moderado"),CONCATENATE("R",'Mapa final'!$A$58),"")</f>
        <v/>
      </c>
      <c r="AA26" s="366"/>
      <c r="AB26" s="348" t="str">
        <f>IF(AND('Mapa final'!$H$46="Media",'Mapa final'!$L$46="Mayor"),CONCATENATE("R",'Mapa final'!$A$46),"")</f>
        <v/>
      </c>
      <c r="AC26" s="344"/>
      <c r="AD26" s="344" t="str">
        <f>IF(AND('Mapa final'!$H$52="Media",'Mapa final'!$L$52="Mayor"),CONCATENATE("R",'Mapa final'!$A$52),"")</f>
        <v/>
      </c>
      <c r="AE26" s="344"/>
      <c r="AF26" s="344" t="str">
        <f>IF(AND('Mapa final'!$H$58="Media",'Mapa final'!$L$58="Mayor"),CONCATENATE("R",'Mapa final'!$A$58),"")</f>
        <v/>
      </c>
      <c r="AG26" s="345"/>
      <c r="AH26" s="355" t="str">
        <f>IF(AND('Mapa final'!$H$46="Media",'Mapa final'!$L$46="Catastrófico"),CONCATENATE("R",'Mapa final'!$A$46),"")</f>
        <v/>
      </c>
      <c r="AI26" s="356"/>
      <c r="AJ26" s="356" t="str">
        <f>IF(AND('Mapa final'!$H$52="Media",'Mapa final'!$L$52="Catastrófico"),CONCATENATE("R",'Mapa final'!$A$52),"")</f>
        <v/>
      </c>
      <c r="AK26" s="356"/>
      <c r="AL26" s="356" t="str">
        <f>IF(AND('Mapa final'!$H$58="Media",'Mapa final'!$L$58="Catastrófico"),CONCATENATE("R",'Mapa final'!$A$58),"")</f>
        <v/>
      </c>
      <c r="AM26" s="357"/>
      <c r="AN26" s="97"/>
      <c r="AO26" s="320"/>
      <c r="AP26" s="321"/>
      <c r="AQ26" s="321"/>
      <c r="AR26" s="321"/>
      <c r="AS26" s="321"/>
      <c r="AT26" s="322"/>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row>
    <row r="27" spans="1:80" x14ac:dyDescent="0.25">
      <c r="A27" s="97"/>
      <c r="B27" s="297"/>
      <c r="C27" s="297"/>
      <c r="D27" s="298"/>
      <c r="E27" s="338"/>
      <c r="F27" s="339"/>
      <c r="G27" s="339"/>
      <c r="H27" s="339"/>
      <c r="I27" s="340"/>
      <c r="J27" s="364"/>
      <c r="K27" s="365"/>
      <c r="L27" s="365"/>
      <c r="M27" s="365"/>
      <c r="N27" s="365"/>
      <c r="O27" s="366"/>
      <c r="P27" s="364"/>
      <c r="Q27" s="365"/>
      <c r="R27" s="365"/>
      <c r="S27" s="365"/>
      <c r="T27" s="365"/>
      <c r="U27" s="366"/>
      <c r="V27" s="364"/>
      <c r="W27" s="365"/>
      <c r="X27" s="365"/>
      <c r="Y27" s="365"/>
      <c r="Z27" s="365"/>
      <c r="AA27" s="366"/>
      <c r="AB27" s="348"/>
      <c r="AC27" s="344"/>
      <c r="AD27" s="344"/>
      <c r="AE27" s="344"/>
      <c r="AF27" s="344"/>
      <c r="AG27" s="345"/>
      <c r="AH27" s="355"/>
      <c r="AI27" s="356"/>
      <c r="AJ27" s="356"/>
      <c r="AK27" s="356"/>
      <c r="AL27" s="356"/>
      <c r="AM27" s="357"/>
      <c r="AN27" s="97"/>
      <c r="AO27" s="320"/>
      <c r="AP27" s="321"/>
      <c r="AQ27" s="321"/>
      <c r="AR27" s="321"/>
      <c r="AS27" s="321"/>
      <c r="AT27" s="322"/>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row>
    <row r="28" spans="1:80" x14ac:dyDescent="0.25">
      <c r="A28" s="97"/>
      <c r="B28" s="297"/>
      <c r="C28" s="297"/>
      <c r="D28" s="298"/>
      <c r="E28" s="338"/>
      <c r="F28" s="339"/>
      <c r="G28" s="339"/>
      <c r="H28" s="339"/>
      <c r="I28" s="340"/>
      <c r="J28" s="364" t="str">
        <f>IF(AND('Mapa final'!$H$64="Media",'Mapa final'!$L$64="Leve"),CONCATENATE("R",'Mapa final'!$A$64),"")</f>
        <v/>
      </c>
      <c r="K28" s="365"/>
      <c r="L28" s="365" t="str">
        <f>IF(AND('Mapa final'!$H$70="Media",'Mapa final'!$L$70="Leve"),CONCATENATE("R",'Mapa final'!$A$70),"")</f>
        <v/>
      </c>
      <c r="M28" s="365"/>
      <c r="N28" s="365" t="str">
        <f>IF(AND('Mapa final'!$H$76="Media",'Mapa final'!$L$76="Leve"),CONCATENATE("R",'Mapa final'!$A$76),"")</f>
        <v/>
      </c>
      <c r="O28" s="366"/>
      <c r="P28" s="364" t="str">
        <f>IF(AND('Mapa final'!$H$64="Media",'Mapa final'!$L$64="Menor"),CONCATENATE("R",'Mapa final'!$A$64),"")</f>
        <v/>
      </c>
      <c r="Q28" s="365"/>
      <c r="R28" s="365" t="str">
        <f>IF(AND('Mapa final'!$H$70="Media",'Mapa final'!$L$70="Menor"),CONCATENATE("R",'Mapa final'!$A$70),"")</f>
        <v/>
      </c>
      <c r="S28" s="365"/>
      <c r="T28" s="365" t="str">
        <f>IF(AND('Mapa final'!$H$76="Media",'Mapa final'!$L$76="Menor"),CONCATENATE("R",'Mapa final'!$A$76),"")</f>
        <v/>
      </c>
      <c r="U28" s="366"/>
      <c r="V28" s="364" t="str">
        <f>IF(AND('Mapa final'!$H$64="Media",'Mapa final'!$L$64="Moderado"),CONCATENATE("R",'Mapa final'!$A$64),"")</f>
        <v/>
      </c>
      <c r="W28" s="365"/>
      <c r="X28" s="365" t="str">
        <f>IF(AND('Mapa final'!$H$70="Media",'Mapa final'!$L$70="Moderado"),CONCATENATE("R",'Mapa final'!$A$70),"")</f>
        <v/>
      </c>
      <c r="Y28" s="365"/>
      <c r="Z28" s="365" t="str">
        <f>IF(AND('Mapa final'!$H$76="Media",'Mapa final'!$L$76="Moderado"),CONCATENATE("R",'Mapa final'!$A$76),"")</f>
        <v/>
      </c>
      <c r="AA28" s="366"/>
      <c r="AB28" s="348" t="str">
        <f>IF(AND('Mapa final'!$H$64="Media",'Mapa final'!$L$64="Mayor"),CONCATENATE("R",'Mapa final'!$A$64),"")</f>
        <v/>
      </c>
      <c r="AC28" s="344"/>
      <c r="AD28" s="344" t="str">
        <f>IF(AND('Mapa final'!$H$70="Media",'Mapa final'!$L$70="Mayor"),CONCATENATE("R",'Mapa final'!$A$70),"")</f>
        <v/>
      </c>
      <c r="AE28" s="344"/>
      <c r="AF28" s="344" t="str">
        <f>IF(AND('Mapa final'!$H$76="Media",'Mapa final'!$L$76="Mayor"),CONCATENATE("R",'Mapa final'!$A$76),"")</f>
        <v/>
      </c>
      <c r="AG28" s="345"/>
      <c r="AH28" s="355" t="str">
        <f>IF(AND('Mapa final'!$H$64="Media",'Mapa final'!$L$64="Catastrófico"),CONCATENATE("R",'Mapa final'!$A$64),"")</f>
        <v/>
      </c>
      <c r="AI28" s="356"/>
      <c r="AJ28" s="356" t="str">
        <f>IF(AND('Mapa final'!$H$70="Media",'Mapa final'!$L$70="Catastrófico"),CONCATENATE("R",'Mapa final'!$A$70),"")</f>
        <v/>
      </c>
      <c r="AK28" s="356"/>
      <c r="AL28" s="356" t="str">
        <f>IF(AND('Mapa final'!$H$76="Media",'Mapa final'!$L$76="Catastrófico"),CONCATENATE("R",'Mapa final'!$A$76),"")</f>
        <v/>
      </c>
      <c r="AM28" s="357"/>
      <c r="AN28" s="97"/>
      <c r="AO28" s="320"/>
      <c r="AP28" s="321"/>
      <c r="AQ28" s="321"/>
      <c r="AR28" s="321"/>
      <c r="AS28" s="321"/>
      <c r="AT28" s="322"/>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row>
    <row r="29" spans="1:80" ht="15.75" thickBot="1" x14ac:dyDescent="0.3">
      <c r="A29" s="97"/>
      <c r="B29" s="297"/>
      <c r="C29" s="297"/>
      <c r="D29" s="298"/>
      <c r="E29" s="341"/>
      <c r="F29" s="342"/>
      <c r="G29" s="342"/>
      <c r="H29" s="342"/>
      <c r="I29" s="343"/>
      <c r="J29" s="364"/>
      <c r="K29" s="365"/>
      <c r="L29" s="365"/>
      <c r="M29" s="365"/>
      <c r="N29" s="365"/>
      <c r="O29" s="366"/>
      <c r="P29" s="367"/>
      <c r="Q29" s="368"/>
      <c r="R29" s="368"/>
      <c r="S29" s="368"/>
      <c r="T29" s="368"/>
      <c r="U29" s="369"/>
      <c r="V29" s="367"/>
      <c r="W29" s="368"/>
      <c r="X29" s="368"/>
      <c r="Y29" s="368"/>
      <c r="Z29" s="368"/>
      <c r="AA29" s="369"/>
      <c r="AB29" s="352"/>
      <c r="AC29" s="353"/>
      <c r="AD29" s="353"/>
      <c r="AE29" s="353"/>
      <c r="AF29" s="353"/>
      <c r="AG29" s="354"/>
      <c r="AH29" s="358"/>
      <c r="AI29" s="359"/>
      <c r="AJ29" s="359"/>
      <c r="AK29" s="359"/>
      <c r="AL29" s="359"/>
      <c r="AM29" s="360"/>
      <c r="AN29" s="97"/>
      <c r="AO29" s="323"/>
      <c r="AP29" s="324"/>
      <c r="AQ29" s="324"/>
      <c r="AR29" s="324"/>
      <c r="AS29" s="324"/>
      <c r="AT29" s="325"/>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row>
    <row r="30" spans="1:80" x14ac:dyDescent="0.25">
      <c r="A30" s="97"/>
      <c r="B30" s="297"/>
      <c r="C30" s="297"/>
      <c r="D30" s="298"/>
      <c r="E30" s="335" t="s">
        <v>114</v>
      </c>
      <c r="F30" s="336"/>
      <c r="G30" s="336"/>
      <c r="H30" s="336"/>
      <c r="I30" s="336"/>
      <c r="J30" s="379" t="str">
        <f>IF(AND('Mapa final'!$H$10="Baja",'Mapa final'!$L$10="Leve"),CONCATENATE("R",'Mapa final'!$A$10),"")</f>
        <v/>
      </c>
      <c r="K30" s="380"/>
      <c r="L30" s="380" t="str">
        <f>IF(AND('Mapa final'!$H$16="Baja",'Mapa final'!$L$16="Leve"),CONCATENATE("R",'Mapa final'!$A$16),"")</f>
        <v/>
      </c>
      <c r="M30" s="380"/>
      <c r="N30" s="380" t="str">
        <f>IF(AND('Mapa final'!$H$22="Baja",'Mapa final'!$L$22="Leve"),CONCATENATE("R",'Mapa final'!$A$22),"")</f>
        <v/>
      </c>
      <c r="O30" s="381"/>
      <c r="P30" s="371" t="str">
        <f>IF(AND('Mapa final'!$H$10="Baja",'Mapa final'!$L$10="Menor"),CONCATENATE("R",'Mapa final'!$A$10),"")</f>
        <v/>
      </c>
      <c r="Q30" s="371"/>
      <c r="R30" s="371" t="str">
        <f>IF(AND('Mapa final'!$H$16="Baja",'Mapa final'!$L$16="Menor"),CONCATENATE("R",'Mapa final'!$A$16),"")</f>
        <v/>
      </c>
      <c r="S30" s="371"/>
      <c r="T30" s="371" t="str">
        <f>IF(AND('Mapa final'!$H$22="Baja",'Mapa final'!$L$22="Menor"),CONCATENATE("R",'Mapa final'!$A$22),"")</f>
        <v/>
      </c>
      <c r="U30" s="372"/>
      <c r="V30" s="370" t="str">
        <f>IF(AND('Mapa final'!$H$10="Baja",'Mapa final'!$L$10="Moderado"),CONCATENATE("R",'Mapa final'!$A$10),"")</f>
        <v/>
      </c>
      <c r="W30" s="371"/>
      <c r="X30" s="371" t="str">
        <f>IF(AND('Mapa final'!$H$16="Baja",'Mapa final'!$L$16="Moderado"),CONCATENATE("R",'Mapa final'!$A$16),"")</f>
        <v/>
      </c>
      <c r="Y30" s="371"/>
      <c r="Z30" s="371" t="str">
        <f>IF(AND('Mapa final'!$H$22="Baja",'Mapa final'!$L$22="Moderado"),CONCATENATE("R",'Mapa final'!$A$22),"")</f>
        <v/>
      </c>
      <c r="AA30" s="372"/>
      <c r="AB30" s="346" t="str">
        <f>IF(AND('Mapa final'!$H$10="Baja",'Mapa final'!$L$10="Mayor"),CONCATENATE("R",'Mapa final'!$A$10),"")</f>
        <v/>
      </c>
      <c r="AC30" s="347"/>
      <c r="AD30" s="347" t="str">
        <f>IF(AND('Mapa final'!$H$16="Baja",'Mapa final'!$L$16="Mayor"),CONCATENATE("R",'Mapa final'!$A$16),"")</f>
        <v/>
      </c>
      <c r="AE30" s="347"/>
      <c r="AF30" s="347" t="str">
        <f>IF(AND('Mapa final'!$H$22="Baja",'Mapa final'!$L$22="Mayor"),CONCATENATE("R",'Mapa final'!$A$22),"")</f>
        <v/>
      </c>
      <c r="AG30" s="349"/>
      <c r="AH30" s="361" t="str">
        <f>IF(AND('Mapa final'!$H$10="Baja",'Mapa final'!$L$10="Catastrófico"),CONCATENATE("R",'Mapa final'!$A$10),"")</f>
        <v/>
      </c>
      <c r="AI30" s="362"/>
      <c r="AJ30" s="362" t="str">
        <f>IF(AND('Mapa final'!$H$16="Baja",'Mapa final'!$L$16="Catastrófico"),CONCATENATE("R",'Mapa final'!$A$16),"")</f>
        <v/>
      </c>
      <c r="AK30" s="362"/>
      <c r="AL30" s="362" t="str">
        <f>IF(AND('Mapa final'!$H$22="Baja",'Mapa final'!$L$22="Catastrófico"),CONCATENATE("R",'Mapa final'!$A$22),"")</f>
        <v/>
      </c>
      <c r="AM30" s="363"/>
      <c r="AN30" s="97"/>
      <c r="AO30" s="326" t="s">
        <v>82</v>
      </c>
      <c r="AP30" s="327"/>
      <c r="AQ30" s="327"/>
      <c r="AR30" s="327"/>
      <c r="AS30" s="327"/>
      <c r="AT30" s="328"/>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80" x14ac:dyDescent="0.25">
      <c r="A31" s="97"/>
      <c r="B31" s="297"/>
      <c r="C31" s="297"/>
      <c r="D31" s="298"/>
      <c r="E31" s="338"/>
      <c r="F31" s="339"/>
      <c r="G31" s="339"/>
      <c r="H31" s="339"/>
      <c r="I31" s="339"/>
      <c r="J31" s="375"/>
      <c r="K31" s="373"/>
      <c r="L31" s="373"/>
      <c r="M31" s="373"/>
      <c r="N31" s="373"/>
      <c r="O31" s="374"/>
      <c r="P31" s="365"/>
      <c r="Q31" s="365"/>
      <c r="R31" s="365"/>
      <c r="S31" s="365"/>
      <c r="T31" s="365"/>
      <c r="U31" s="366"/>
      <c r="V31" s="364"/>
      <c r="W31" s="365"/>
      <c r="X31" s="365"/>
      <c r="Y31" s="365"/>
      <c r="Z31" s="365"/>
      <c r="AA31" s="366"/>
      <c r="AB31" s="348"/>
      <c r="AC31" s="344"/>
      <c r="AD31" s="344"/>
      <c r="AE31" s="344"/>
      <c r="AF31" s="344"/>
      <c r="AG31" s="345"/>
      <c r="AH31" s="355"/>
      <c r="AI31" s="356"/>
      <c r="AJ31" s="356"/>
      <c r="AK31" s="356"/>
      <c r="AL31" s="356"/>
      <c r="AM31" s="357"/>
      <c r="AN31" s="97"/>
      <c r="AO31" s="329"/>
      <c r="AP31" s="330"/>
      <c r="AQ31" s="330"/>
      <c r="AR31" s="330"/>
      <c r="AS31" s="330"/>
      <c r="AT31" s="331"/>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row>
    <row r="32" spans="1:80" x14ac:dyDescent="0.25">
      <c r="A32" s="97"/>
      <c r="B32" s="297"/>
      <c r="C32" s="297"/>
      <c r="D32" s="298"/>
      <c r="E32" s="338"/>
      <c r="F32" s="339"/>
      <c r="G32" s="339"/>
      <c r="H32" s="339"/>
      <c r="I32" s="339"/>
      <c r="J32" s="375" t="str">
        <f>IF(AND('Mapa final'!$H$28="Baja",'Mapa final'!$L$28="Leve"),CONCATENATE("R",'Mapa final'!$A$28),"")</f>
        <v/>
      </c>
      <c r="K32" s="373"/>
      <c r="L32" s="373" t="str">
        <f>IF(AND('Mapa final'!$H$34="Baja",'Mapa final'!$L$34="Leve"),CONCATENATE("R",'Mapa final'!$A$34),"")</f>
        <v/>
      </c>
      <c r="M32" s="373"/>
      <c r="N32" s="373" t="str">
        <f>IF(AND('Mapa final'!$H$40="Baja",'Mapa final'!$L$40="Leve"),CONCATENATE("R",'Mapa final'!$A$40),"")</f>
        <v/>
      </c>
      <c r="O32" s="374"/>
      <c r="P32" s="365" t="str">
        <f>IF(AND('Mapa final'!$H$28="Baja",'Mapa final'!$L$28="Menor"),CONCATENATE("R",'Mapa final'!$A$28),"")</f>
        <v/>
      </c>
      <c r="Q32" s="365"/>
      <c r="R32" s="365" t="str">
        <f>IF(AND('Mapa final'!$H$34="Baja",'Mapa final'!$L$34="Menor"),CONCATENATE("R",'Mapa final'!$A$34),"")</f>
        <v/>
      </c>
      <c r="S32" s="365"/>
      <c r="T32" s="365" t="str">
        <f>IF(AND('Mapa final'!$H$40="Baja",'Mapa final'!$L$40="Menor"),CONCATENATE("R",'Mapa final'!$A$40),"")</f>
        <v/>
      </c>
      <c r="U32" s="366"/>
      <c r="V32" s="364" t="str">
        <f>IF(AND('Mapa final'!$H$28="Baja",'Mapa final'!$L$28="Moderado"),CONCATENATE("R",'Mapa final'!$A$28),"")</f>
        <v/>
      </c>
      <c r="W32" s="365"/>
      <c r="X32" s="365" t="str">
        <f>IF(AND('Mapa final'!$H$34="Baja",'Mapa final'!$L$34="Moderado"),CONCATENATE("R",'Mapa final'!$A$34),"")</f>
        <v/>
      </c>
      <c r="Y32" s="365"/>
      <c r="Z32" s="365" t="str">
        <f>IF(AND('Mapa final'!$H$40="Baja",'Mapa final'!$L$40="Moderado"),CONCATENATE("R",'Mapa final'!$A$40),"")</f>
        <v/>
      </c>
      <c r="AA32" s="366"/>
      <c r="AB32" s="348" t="str">
        <f>IF(AND('Mapa final'!$H$28="Baja",'Mapa final'!$L$28="Mayor"),CONCATENATE("R",'Mapa final'!$A$28),"")</f>
        <v/>
      </c>
      <c r="AC32" s="344"/>
      <c r="AD32" s="344" t="str">
        <f>IF(AND('Mapa final'!$H$34="Baja",'Mapa final'!$L$34="Mayor"),CONCATENATE("R",'Mapa final'!$A$34),"")</f>
        <v/>
      </c>
      <c r="AE32" s="344"/>
      <c r="AF32" s="344" t="str">
        <f>IF(AND('Mapa final'!$H$40="Baja",'Mapa final'!$L$40="Mayor"),CONCATENATE("R",'Mapa final'!$A$40),"")</f>
        <v/>
      </c>
      <c r="AG32" s="345"/>
      <c r="AH32" s="355" t="str">
        <f>IF(AND('Mapa final'!$H$28="Baja",'Mapa final'!$L$28="Catastrófico"),CONCATENATE("R",'Mapa final'!$A$28),"")</f>
        <v/>
      </c>
      <c r="AI32" s="356"/>
      <c r="AJ32" s="356" t="str">
        <f>IF(AND('Mapa final'!$H$34="Baja",'Mapa final'!$L$34="Catastrófico"),CONCATENATE("R",'Mapa final'!$A$34),"")</f>
        <v/>
      </c>
      <c r="AK32" s="356"/>
      <c r="AL32" s="356" t="str">
        <f>IF(AND('Mapa final'!$H$40="Baja",'Mapa final'!$L$40="Catastrófico"),CONCATENATE("R",'Mapa final'!$A$40),"")</f>
        <v/>
      </c>
      <c r="AM32" s="357"/>
      <c r="AN32" s="97"/>
      <c r="AO32" s="329"/>
      <c r="AP32" s="330"/>
      <c r="AQ32" s="330"/>
      <c r="AR32" s="330"/>
      <c r="AS32" s="330"/>
      <c r="AT32" s="331"/>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row>
    <row r="33" spans="1:80" x14ac:dyDescent="0.25">
      <c r="A33" s="97"/>
      <c r="B33" s="297"/>
      <c r="C33" s="297"/>
      <c r="D33" s="298"/>
      <c r="E33" s="338"/>
      <c r="F33" s="339"/>
      <c r="G33" s="339"/>
      <c r="H33" s="339"/>
      <c r="I33" s="339"/>
      <c r="J33" s="375"/>
      <c r="K33" s="373"/>
      <c r="L33" s="373"/>
      <c r="M33" s="373"/>
      <c r="N33" s="373"/>
      <c r="O33" s="374"/>
      <c r="P33" s="365"/>
      <c r="Q33" s="365"/>
      <c r="R33" s="365"/>
      <c r="S33" s="365"/>
      <c r="T33" s="365"/>
      <c r="U33" s="366"/>
      <c r="V33" s="364"/>
      <c r="W33" s="365"/>
      <c r="X33" s="365"/>
      <c r="Y33" s="365"/>
      <c r="Z33" s="365"/>
      <c r="AA33" s="366"/>
      <c r="AB33" s="348"/>
      <c r="AC33" s="344"/>
      <c r="AD33" s="344"/>
      <c r="AE33" s="344"/>
      <c r="AF33" s="344"/>
      <c r="AG33" s="345"/>
      <c r="AH33" s="355"/>
      <c r="AI33" s="356"/>
      <c r="AJ33" s="356"/>
      <c r="AK33" s="356"/>
      <c r="AL33" s="356"/>
      <c r="AM33" s="357"/>
      <c r="AN33" s="97"/>
      <c r="AO33" s="329"/>
      <c r="AP33" s="330"/>
      <c r="AQ33" s="330"/>
      <c r="AR33" s="330"/>
      <c r="AS33" s="330"/>
      <c r="AT33" s="331"/>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row>
    <row r="34" spans="1:80" x14ac:dyDescent="0.25">
      <c r="A34" s="97"/>
      <c r="B34" s="297"/>
      <c r="C34" s="297"/>
      <c r="D34" s="298"/>
      <c r="E34" s="338"/>
      <c r="F34" s="339"/>
      <c r="G34" s="339"/>
      <c r="H34" s="339"/>
      <c r="I34" s="339"/>
      <c r="J34" s="375" t="str">
        <f>IF(AND('Mapa final'!$H$46="Baja",'Mapa final'!$L$46="Leve"),CONCATENATE("R",'Mapa final'!$A$46),"")</f>
        <v/>
      </c>
      <c r="K34" s="373"/>
      <c r="L34" s="373" t="str">
        <f>IF(AND('Mapa final'!$H$52="Baja",'Mapa final'!$L$52="Leve"),CONCATENATE("R",'Mapa final'!$A$52),"")</f>
        <v/>
      </c>
      <c r="M34" s="373"/>
      <c r="N34" s="373" t="str">
        <f>IF(AND('Mapa final'!$H$58="Baja",'Mapa final'!$L$58="Leve"),CONCATENATE("R",'Mapa final'!$A$58),"")</f>
        <v/>
      </c>
      <c r="O34" s="374"/>
      <c r="P34" s="365" t="str">
        <f>IF(AND('Mapa final'!$H$46="Baja",'Mapa final'!$L$46="Menor"),CONCATENATE("R",'Mapa final'!$A$46),"")</f>
        <v/>
      </c>
      <c r="Q34" s="365"/>
      <c r="R34" s="365" t="str">
        <f>IF(AND('Mapa final'!$H$52="Baja",'Mapa final'!$L$52="Menor"),CONCATENATE("R",'Mapa final'!$A$52),"")</f>
        <v/>
      </c>
      <c r="S34" s="365"/>
      <c r="T34" s="365" t="str">
        <f>IF(AND('Mapa final'!$H$58="Baja",'Mapa final'!$L$58="Menor"),CONCATENATE("R",'Mapa final'!$A$58),"")</f>
        <v/>
      </c>
      <c r="U34" s="366"/>
      <c r="V34" s="364" t="str">
        <f>IF(AND('Mapa final'!$H$46="Baja",'Mapa final'!$L$46="Moderado"),CONCATENATE("R",'Mapa final'!$A$46),"")</f>
        <v/>
      </c>
      <c r="W34" s="365"/>
      <c r="X34" s="365" t="str">
        <f>IF(AND('Mapa final'!$H$52="Baja",'Mapa final'!$L$52="Moderado"),CONCATENATE("R",'Mapa final'!$A$52),"")</f>
        <v/>
      </c>
      <c r="Y34" s="365"/>
      <c r="Z34" s="365" t="str">
        <f>IF(AND('Mapa final'!$H$58="Baja",'Mapa final'!$L$58="Moderado"),CONCATENATE("R",'Mapa final'!$A$58),"")</f>
        <v/>
      </c>
      <c r="AA34" s="366"/>
      <c r="AB34" s="348" t="str">
        <f>IF(AND('Mapa final'!$H$46="Baja",'Mapa final'!$L$46="Mayor"),CONCATENATE("R",'Mapa final'!$A$46),"")</f>
        <v/>
      </c>
      <c r="AC34" s="344"/>
      <c r="AD34" s="344" t="str">
        <f>IF(AND('Mapa final'!$H$52="Baja",'Mapa final'!$L$52="Mayor"),CONCATENATE("R",'Mapa final'!$A$52),"")</f>
        <v/>
      </c>
      <c r="AE34" s="344"/>
      <c r="AF34" s="344" t="str">
        <f>IF(AND('Mapa final'!$H$58="Baja",'Mapa final'!$L$58="Mayor"),CONCATENATE("R",'Mapa final'!$A$58),"")</f>
        <v/>
      </c>
      <c r="AG34" s="345"/>
      <c r="AH34" s="355" t="str">
        <f>IF(AND('Mapa final'!$H$46="Baja",'Mapa final'!$L$46="Catastrófico"),CONCATENATE("R",'Mapa final'!$A$46),"")</f>
        <v/>
      </c>
      <c r="AI34" s="356"/>
      <c r="AJ34" s="356" t="str">
        <f>IF(AND('Mapa final'!$H$52="Baja",'Mapa final'!$L$52="Catastrófico"),CONCATENATE("R",'Mapa final'!$A$52),"")</f>
        <v/>
      </c>
      <c r="AK34" s="356"/>
      <c r="AL34" s="356" t="str">
        <f>IF(AND('Mapa final'!$H$58="Baja",'Mapa final'!$L$58="Catastrófico"),CONCATENATE("R",'Mapa final'!$A$58),"")</f>
        <v/>
      </c>
      <c r="AM34" s="357"/>
      <c r="AN34" s="97"/>
      <c r="AO34" s="329"/>
      <c r="AP34" s="330"/>
      <c r="AQ34" s="330"/>
      <c r="AR34" s="330"/>
      <c r="AS34" s="330"/>
      <c r="AT34" s="331"/>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row>
    <row r="35" spans="1:80" x14ac:dyDescent="0.25">
      <c r="A35" s="97"/>
      <c r="B35" s="297"/>
      <c r="C35" s="297"/>
      <c r="D35" s="298"/>
      <c r="E35" s="338"/>
      <c r="F35" s="339"/>
      <c r="G35" s="339"/>
      <c r="H35" s="339"/>
      <c r="I35" s="339"/>
      <c r="J35" s="375"/>
      <c r="K35" s="373"/>
      <c r="L35" s="373"/>
      <c r="M35" s="373"/>
      <c r="N35" s="373"/>
      <c r="O35" s="374"/>
      <c r="P35" s="365"/>
      <c r="Q35" s="365"/>
      <c r="R35" s="365"/>
      <c r="S35" s="365"/>
      <c r="T35" s="365"/>
      <c r="U35" s="366"/>
      <c r="V35" s="364"/>
      <c r="W35" s="365"/>
      <c r="X35" s="365"/>
      <c r="Y35" s="365"/>
      <c r="Z35" s="365"/>
      <c r="AA35" s="366"/>
      <c r="AB35" s="348"/>
      <c r="AC35" s="344"/>
      <c r="AD35" s="344"/>
      <c r="AE35" s="344"/>
      <c r="AF35" s="344"/>
      <c r="AG35" s="345"/>
      <c r="AH35" s="355"/>
      <c r="AI35" s="356"/>
      <c r="AJ35" s="356"/>
      <c r="AK35" s="356"/>
      <c r="AL35" s="356"/>
      <c r="AM35" s="357"/>
      <c r="AN35" s="97"/>
      <c r="AO35" s="329"/>
      <c r="AP35" s="330"/>
      <c r="AQ35" s="330"/>
      <c r="AR35" s="330"/>
      <c r="AS35" s="330"/>
      <c r="AT35" s="331"/>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row>
    <row r="36" spans="1:80" x14ac:dyDescent="0.25">
      <c r="A36" s="97"/>
      <c r="B36" s="297"/>
      <c r="C36" s="297"/>
      <c r="D36" s="298"/>
      <c r="E36" s="338"/>
      <c r="F36" s="339"/>
      <c r="G36" s="339"/>
      <c r="H36" s="339"/>
      <c r="I36" s="339"/>
      <c r="J36" s="375" t="str">
        <f>IF(AND('Mapa final'!$H$64="Baja",'Mapa final'!$L$64="Leve"),CONCATENATE("R",'Mapa final'!$A$64),"")</f>
        <v/>
      </c>
      <c r="K36" s="373"/>
      <c r="L36" s="373" t="str">
        <f>IF(AND('Mapa final'!$H$70="Baja",'Mapa final'!$L$70="Leve"),CONCATENATE("R",'Mapa final'!$A$70),"")</f>
        <v/>
      </c>
      <c r="M36" s="373"/>
      <c r="N36" s="373" t="str">
        <f>IF(AND('Mapa final'!$H$76="Baja",'Mapa final'!$L$76="Leve"),CONCATENATE("R",'Mapa final'!$A$76),"")</f>
        <v/>
      </c>
      <c r="O36" s="374"/>
      <c r="P36" s="365" t="str">
        <f>IF(AND('Mapa final'!$H$64="Baja",'Mapa final'!$L$64="Menor"),CONCATENATE("R",'Mapa final'!$A$64),"")</f>
        <v/>
      </c>
      <c r="Q36" s="365"/>
      <c r="R36" s="365" t="str">
        <f>IF(AND('Mapa final'!$H$70="Baja",'Mapa final'!$L$70="Menor"),CONCATENATE("R",'Mapa final'!$A$70),"")</f>
        <v/>
      </c>
      <c r="S36" s="365"/>
      <c r="T36" s="365" t="str">
        <f>IF(AND('Mapa final'!$H$76="Baja",'Mapa final'!$L$76="Menor"),CONCATENATE("R",'Mapa final'!$A$76),"")</f>
        <v/>
      </c>
      <c r="U36" s="366"/>
      <c r="V36" s="364" t="str">
        <f>IF(AND('Mapa final'!$H$64="Baja",'Mapa final'!$L$64="Moderado"),CONCATENATE("R",'Mapa final'!$A$64),"")</f>
        <v/>
      </c>
      <c r="W36" s="365"/>
      <c r="X36" s="365" t="str">
        <f>IF(AND('Mapa final'!$H$70="Baja",'Mapa final'!$L$70="Moderado"),CONCATENATE("R",'Mapa final'!$A$70),"")</f>
        <v/>
      </c>
      <c r="Y36" s="365"/>
      <c r="Z36" s="365" t="str">
        <f>IF(AND('Mapa final'!$H$76="Baja",'Mapa final'!$L$76="Moderado"),CONCATENATE("R",'Mapa final'!$A$76),"")</f>
        <v/>
      </c>
      <c r="AA36" s="366"/>
      <c r="AB36" s="348" t="str">
        <f>IF(AND('Mapa final'!$H$64="Baja",'Mapa final'!$L$64="Mayor"),CONCATENATE("R",'Mapa final'!$A$64),"")</f>
        <v/>
      </c>
      <c r="AC36" s="344"/>
      <c r="AD36" s="344" t="str">
        <f>IF(AND('Mapa final'!$H$70="Baja",'Mapa final'!$L$70="Mayor"),CONCATENATE("R",'Mapa final'!$A$70),"")</f>
        <v/>
      </c>
      <c r="AE36" s="344"/>
      <c r="AF36" s="344" t="str">
        <f>IF(AND('Mapa final'!$H$76="Baja",'Mapa final'!$L$76="Mayor"),CONCATENATE("R",'Mapa final'!$A$76),"")</f>
        <v/>
      </c>
      <c r="AG36" s="345"/>
      <c r="AH36" s="355" t="str">
        <f>IF(AND('Mapa final'!$H$64="Baja",'Mapa final'!$L$64="Catastrófico"),CONCATENATE("R",'Mapa final'!$A$64),"")</f>
        <v/>
      </c>
      <c r="AI36" s="356"/>
      <c r="AJ36" s="356" t="str">
        <f>IF(AND('Mapa final'!$H$70="Baja",'Mapa final'!$L$70="Catastrófico"),CONCATENATE("R",'Mapa final'!$A$70),"")</f>
        <v/>
      </c>
      <c r="AK36" s="356"/>
      <c r="AL36" s="356" t="str">
        <f>IF(AND('Mapa final'!$H$76="Baja",'Mapa final'!$L$76="Catastrófico"),CONCATENATE("R",'Mapa final'!$A$76),"")</f>
        <v/>
      </c>
      <c r="AM36" s="357"/>
      <c r="AN36" s="97"/>
      <c r="AO36" s="329"/>
      <c r="AP36" s="330"/>
      <c r="AQ36" s="330"/>
      <c r="AR36" s="330"/>
      <c r="AS36" s="330"/>
      <c r="AT36" s="331"/>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row>
    <row r="37" spans="1:80" ht="15.75" thickBot="1" x14ac:dyDescent="0.3">
      <c r="A37" s="97"/>
      <c r="B37" s="297"/>
      <c r="C37" s="297"/>
      <c r="D37" s="298"/>
      <c r="E37" s="341"/>
      <c r="F37" s="342"/>
      <c r="G37" s="342"/>
      <c r="H37" s="342"/>
      <c r="I37" s="342"/>
      <c r="J37" s="376"/>
      <c r="K37" s="377"/>
      <c r="L37" s="377"/>
      <c r="M37" s="377"/>
      <c r="N37" s="377"/>
      <c r="O37" s="378"/>
      <c r="P37" s="368"/>
      <c r="Q37" s="368"/>
      <c r="R37" s="368"/>
      <c r="S37" s="368"/>
      <c r="T37" s="368"/>
      <c r="U37" s="369"/>
      <c r="V37" s="367"/>
      <c r="W37" s="368"/>
      <c r="X37" s="368"/>
      <c r="Y37" s="368"/>
      <c r="Z37" s="368"/>
      <c r="AA37" s="369"/>
      <c r="AB37" s="352"/>
      <c r="AC37" s="353"/>
      <c r="AD37" s="353"/>
      <c r="AE37" s="353"/>
      <c r="AF37" s="353"/>
      <c r="AG37" s="354"/>
      <c r="AH37" s="358"/>
      <c r="AI37" s="359"/>
      <c r="AJ37" s="359"/>
      <c r="AK37" s="359"/>
      <c r="AL37" s="359"/>
      <c r="AM37" s="360"/>
      <c r="AN37" s="97"/>
      <c r="AO37" s="332"/>
      <c r="AP37" s="333"/>
      <c r="AQ37" s="333"/>
      <c r="AR37" s="333"/>
      <c r="AS37" s="333"/>
      <c r="AT37" s="334"/>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row>
    <row r="38" spans="1:80" x14ac:dyDescent="0.25">
      <c r="A38" s="97"/>
      <c r="B38" s="297"/>
      <c r="C38" s="297"/>
      <c r="D38" s="298"/>
      <c r="E38" s="335" t="s">
        <v>113</v>
      </c>
      <c r="F38" s="336"/>
      <c r="G38" s="336"/>
      <c r="H38" s="336"/>
      <c r="I38" s="337"/>
      <c r="J38" s="379" t="str">
        <f>IF(AND('Mapa final'!$H$10="Muy Baja",'Mapa final'!$L$10="Leve"),CONCATENATE("R",'Mapa final'!$A$10),"")</f>
        <v/>
      </c>
      <c r="K38" s="380"/>
      <c r="L38" s="380" t="str">
        <f>IF(AND('Mapa final'!$H$16="Muy Baja",'Mapa final'!$L$16="Leve"),CONCATENATE("R",'Mapa final'!$A$16),"")</f>
        <v/>
      </c>
      <c r="M38" s="380"/>
      <c r="N38" s="380" t="str">
        <f>IF(AND('Mapa final'!$H$22="Muy Baja",'Mapa final'!$L$22="Leve"),CONCATENATE("R",'Mapa final'!$A$22),"")</f>
        <v/>
      </c>
      <c r="O38" s="381"/>
      <c r="P38" s="379" t="str">
        <f>IF(AND('Mapa final'!$H$10="Muy Baja",'Mapa final'!$L$10="Menor"),CONCATENATE("R",'Mapa final'!$A$10),"")</f>
        <v/>
      </c>
      <c r="Q38" s="380"/>
      <c r="R38" s="380" t="str">
        <f>IF(AND('Mapa final'!$H$16="Muy Baja",'Mapa final'!$L$16="Menor"),CONCATENATE("R",'Mapa final'!$A$16),"")</f>
        <v/>
      </c>
      <c r="S38" s="380"/>
      <c r="T38" s="380" t="str">
        <f>IF(AND('Mapa final'!$H$22="Muy Baja",'Mapa final'!$L$22="Menor"),CONCATENATE("R",'Mapa final'!$A$22),"")</f>
        <v/>
      </c>
      <c r="U38" s="381"/>
      <c r="V38" s="370" t="str">
        <f>IF(AND('Mapa final'!$H$10="Muy Baja",'Mapa final'!$L$10="Moderado"),CONCATENATE("R",'Mapa final'!$A$10),"")</f>
        <v/>
      </c>
      <c r="W38" s="371"/>
      <c r="X38" s="371" t="str">
        <f>IF(AND('Mapa final'!$H$16="Muy Baja",'Mapa final'!$L$16="Moderado"),CONCATENATE("R",'Mapa final'!$A$16),"")</f>
        <v/>
      </c>
      <c r="Y38" s="371"/>
      <c r="Z38" s="371" t="str">
        <f>IF(AND('Mapa final'!$H$22="Muy Baja",'Mapa final'!$L$22="Moderado"),CONCATENATE("R",'Mapa final'!$A$22),"")</f>
        <v/>
      </c>
      <c r="AA38" s="372"/>
      <c r="AB38" s="346" t="str">
        <f>IF(AND('Mapa final'!$H$10="Muy Baja",'Mapa final'!$L$10="Mayor"),CONCATENATE("R",'Mapa final'!$A$10),"")</f>
        <v/>
      </c>
      <c r="AC38" s="347"/>
      <c r="AD38" s="347" t="str">
        <f>IF(AND('Mapa final'!$H$16="Muy Baja",'Mapa final'!$L$16="Mayor"),CONCATENATE("R",'Mapa final'!$A$16),"")</f>
        <v/>
      </c>
      <c r="AE38" s="347"/>
      <c r="AF38" s="347" t="str">
        <f>IF(AND('Mapa final'!$H$22="Muy Baja",'Mapa final'!$L$22="Mayor"),CONCATENATE("R",'Mapa final'!$A$22),"")</f>
        <v/>
      </c>
      <c r="AG38" s="349"/>
      <c r="AH38" s="361" t="str">
        <f>IF(AND('Mapa final'!$H$10="Muy Baja",'Mapa final'!$L$10="Catastrófico"),CONCATENATE("R",'Mapa final'!$A$10),"")</f>
        <v/>
      </c>
      <c r="AI38" s="362"/>
      <c r="AJ38" s="362" t="str">
        <f>IF(AND('Mapa final'!$H$16="Muy Baja",'Mapa final'!$L$16="Catastrófico"),CONCATENATE("R",'Mapa final'!$A$16),"")</f>
        <v/>
      </c>
      <c r="AK38" s="362"/>
      <c r="AL38" s="362" t="str">
        <f>IF(AND('Mapa final'!$H$22="Muy Baja",'Mapa final'!$L$22="Catastrófico"),CONCATENATE("R",'Mapa final'!$A$22),"")</f>
        <v/>
      </c>
      <c r="AM38" s="363"/>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row>
    <row r="39" spans="1:80" x14ac:dyDescent="0.25">
      <c r="A39" s="97"/>
      <c r="B39" s="297"/>
      <c r="C39" s="297"/>
      <c r="D39" s="298"/>
      <c r="E39" s="338"/>
      <c r="F39" s="339"/>
      <c r="G39" s="339"/>
      <c r="H39" s="339"/>
      <c r="I39" s="340"/>
      <c r="J39" s="375"/>
      <c r="K39" s="373"/>
      <c r="L39" s="373"/>
      <c r="M39" s="373"/>
      <c r="N39" s="373"/>
      <c r="O39" s="374"/>
      <c r="P39" s="375"/>
      <c r="Q39" s="373"/>
      <c r="R39" s="373"/>
      <c r="S39" s="373"/>
      <c r="T39" s="373"/>
      <c r="U39" s="374"/>
      <c r="V39" s="364"/>
      <c r="W39" s="365"/>
      <c r="X39" s="365"/>
      <c r="Y39" s="365"/>
      <c r="Z39" s="365"/>
      <c r="AA39" s="366"/>
      <c r="AB39" s="348"/>
      <c r="AC39" s="344"/>
      <c r="AD39" s="344"/>
      <c r="AE39" s="344"/>
      <c r="AF39" s="344"/>
      <c r="AG39" s="345"/>
      <c r="AH39" s="355"/>
      <c r="AI39" s="356"/>
      <c r="AJ39" s="356"/>
      <c r="AK39" s="356"/>
      <c r="AL39" s="356"/>
      <c r="AM39" s="35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row>
    <row r="40" spans="1:80" x14ac:dyDescent="0.25">
      <c r="A40" s="97"/>
      <c r="B40" s="297"/>
      <c r="C40" s="297"/>
      <c r="D40" s="298"/>
      <c r="E40" s="338"/>
      <c r="F40" s="339"/>
      <c r="G40" s="339"/>
      <c r="H40" s="339"/>
      <c r="I40" s="340"/>
      <c r="J40" s="375" t="str">
        <f>IF(AND('Mapa final'!$H$28="Muy Baja",'Mapa final'!$L$28="Leve"),CONCATENATE("R",'Mapa final'!$A$28),"")</f>
        <v/>
      </c>
      <c r="K40" s="373"/>
      <c r="L40" s="373" t="str">
        <f>IF(AND('Mapa final'!$H$34="Muy Baja",'Mapa final'!$L$34="Leve"),CONCATENATE("R",'Mapa final'!$A$34),"")</f>
        <v/>
      </c>
      <c r="M40" s="373"/>
      <c r="N40" s="373" t="str">
        <f>IF(AND('Mapa final'!$H$40="Muy Baja",'Mapa final'!$L$40="Leve"),CONCATENATE("R",'Mapa final'!$A$40),"")</f>
        <v/>
      </c>
      <c r="O40" s="374"/>
      <c r="P40" s="375" t="str">
        <f>IF(AND('Mapa final'!$H$28="Muy Baja",'Mapa final'!$L$28="Menor"),CONCATENATE("R",'Mapa final'!$A$28),"")</f>
        <v/>
      </c>
      <c r="Q40" s="373"/>
      <c r="R40" s="373" t="str">
        <f>IF(AND('Mapa final'!$H$34="Muy Baja",'Mapa final'!$L$34="Menor"),CONCATENATE("R",'Mapa final'!$A$34),"")</f>
        <v/>
      </c>
      <c r="S40" s="373"/>
      <c r="T40" s="373" t="str">
        <f>IF(AND('Mapa final'!$H$40="Muy Baja",'Mapa final'!$L$40="Menor"),CONCATENATE("R",'Mapa final'!$A$40),"")</f>
        <v/>
      </c>
      <c r="U40" s="374"/>
      <c r="V40" s="364" t="str">
        <f>IF(AND('Mapa final'!$H$28="Muy Baja",'Mapa final'!$L$28="Moderado"),CONCATENATE("R",'Mapa final'!$A$28),"")</f>
        <v/>
      </c>
      <c r="W40" s="365"/>
      <c r="X40" s="365" t="str">
        <f>IF(AND('Mapa final'!$H$34="Muy Baja",'Mapa final'!$L$34="Moderado"),CONCATENATE("R",'Mapa final'!$A$34),"")</f>
        <v/>
      </c>
      <c r="Y40" s="365"/>
      <c r="Z40" s="365" t="str">
        <f>IF(AND('Mapa final'!$H$40="Muy Baja",'Mapa final'!$L$40="Moderado"),CONCATENATE("R",'Mapa final'!$A$40),"")</f>
        <v/>
      </c>
      <c r="AA40" s="366"/>
      <c r="AB40" s="348" t="str">
        <f>IF(AND('Mapa final'!$H$28="Muy Baja",'Mapa final'!$L$28="Mayor"),CONCATENATE("R",'Mapa final'!$A$28),"")</f>
        <v/>
      </c>
      <c r="AC40" s="344"/>
      <c r="AD40" s="344" t="str">
        <f>IF(AND('Mapa final'!$H$34="Muy Baja",'Mapa final'!$L$34="Mayor"),CONCATENATE("R",'Mapa final'!$A$34),"")</f>
        <v/>
      </c>
      <c r="AE40" s="344"/>
      <c r="AF40" s="344" t="str">
        <f>IF(AND('Mapa final'!$H$40="Muy Baja",'Mapa final'!$L$40="Mayor"),CONCATENATE("R",'Mapa final'!$A$40),"")</f>
        <v/>
      </c>
      <c r="AG40" s="345"/>
      <c r="AH40" s="355" t="str">
        <f>IF(AND('Mapa final'!$H$28="Muy Baja",'Mapa final'!$L$28="Catastrófico"),CONCATENATE("R",'Mapa final'!$A$28),"")</f>
        <v/>
      </c>
      <c r="AI40" s="356"/>
      <c r="AJ40" s="356" t="str">
        <f>IF(AND('Mapa final'!$H$34="Muy Baja",'Mapa final'!$L$34="Catastrófico"),CONCATENATE("R",'Mapa final'!$A$34),"")</f>
        <v/>
      </c>
      <c r="AK40" s="356"/>
      <c r="AL40" s="356" t="str">
        <f>IF(AND('Mapa final'!$H$40="Muy Baja",'Mapa final'!$L$40="Catastrófico"),CONCATENATE("R",'Mapa final'!$A$40),"")</f>
        <v/>
      </c>
      <c r="AM40" s="35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row>
    <row r="41" spans="1:80" x14ac:dyDescent="0.25">
      <c r="A41" s="97"/>
      <c r="B41" s="297"/>
      <c r="C41" s="297"/>
      <c r="D41" s="298"/>
      <c r="E41" s="338"/>
      <c r="F41" s="339"/>
      <c r="G41" s="339"/>
      <c r="H41" s="339"/>
      <c r="I41" s="340"/>
      <c r="J41" s="375"/>
      <c r="K41" s="373"/>
      <c r="L41" s="373"/>
      <c r="M41" s="373"/>
      <c r="N41" s="373"/>
      <c r="O41" s="374"/>
      <c r="P41" s="375"/>
      <c r="Q41" s="373"/>
      <c r="R41" s="373"/>
      <c r="S41" s="373"/>
      <c r="T41" s="373"/>
      <c r="U41" s="374"/>
      <c r="V41" s="364"/>
      <c r="W41" s="365"/>
      <c r="X41" s="365"/>
      <c r="Y41" s="365"/>
      <c r="Z41" s="365"/>
      <c r="AA41" s="366"/>
      <c r="AB41" s="348"/>
      <c r="AC41" s="344"/>
      <c r="AD41" s="344"/>
      <c r="AE41" s="344"/>
      <c r="AF41" s="344"/>
      <c r="AG41" s="345"/>
      <c r="AH41" s="355"/>
      <c r="AI41" s="356"/>
      <c r="AJ41" s="356"/>
      <c r="AK41" s="356"/>
      <c r="AL41" s="356"/>
      <c r="AM41" s="35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row>
    <row r="42" spans="1:80" x14ac:dyDescent="0.25">
      <c r="A42" s="97"/>
      <c r="B42" s="297"/>
      <c r="C42" s="297"/>
      <c r="D42" s="298"/>
      <c r="E42" s="338"/>
      <c r="F42" s="339"/>
      <c r="G42" s="339"/>
      <c r="H42" s="339"/>
      <c r="I42" s="340"/>
      <c r="J42" s="375" t="str">
        <f>IF(AND('Mapa final'!$H$46="Muy Baja",'Mapa final'!$L$46="Leve"),CONCATENATE("R",'Mapa final'!$A$46),"")</f>
        <v/>
      </c>
      <c r="K42" s="373"/>
      <c r="L42" s="373" t="str">
        <f>IF(AND('Mapa final'!$H$52="Muy Baja",'Mapa final'!$L$52="Leve"),CONCATENATE("R",'Mapa final'!$A$52),"")</f>
        <v/>
      </c>
      <c r="M42" s="373"/>
      <c r="N42" s="373" t="str">
        <f>IF(AND('Mapa final'!$H$58="Muy Baja",'Mapa final'!$L$58="Leve"),CONCATENATE("R",'Mapa final'!$A$58),"")</f>
        <v/>
      </c>
      <c r="O42" s="374"/>
      <c r="P42" s="375" t="str">
        <f>IF(AND('Mapa final'!$H$46="Muy Baja",'Mapa final'!$L$46="Menor"),CONCATENATE("R",'Mapa final'!$A$46),"")</f>
        <v/>
      </c>
      <c r="Q42" s="373"/>
      <c r="R42" s="373" t="str">
        <f>IF(AND('Mapa final'!$H$52="Muy Baja",'Mapa final'!$L$52="Menor"),CONCATENATE("R",'Mapa final'!$A$52),"")</f>
        <v/>
      </c>
      <c r="S42" s="373"/>
      <c r="T42" s="373" t="str">
        <f>IF(AND('Mapa final'!$H$58="Muy Baja",'Mapa final'!$L$58="Menor"),CONCATENATE("R",'Mapa final'!$A$58),"")</f>
        <v/>
      </c>
      <c r="U42" s="374"/>
      <c r="V42" s="364" t="str">
        <f>IF(AND('Mapa final'!$H$46="Muy Baja",'Mapa final'!$L$46="Moderado"),CONCATENATE("R",'Mapa final'!$A$46),"")</f>
        <v/>
      </c>
      <c r="W42" s="365"/>
      <c r="X42" s="365" t="str">
        <f>IF(AND('Mapa final'!$H$52="Muy Baja",'Mapa final'!$L$52="Moderado"),CONCATENATE("R",'Mapa final'!$A$52),"")</f>
        <v/>
      </c>
      <c r="Y42" s="365"/>
      <c r="Z42" s="365" t="str">
        <f>IF(AND('Mapa final'!$H$58="Muy Baja",'Mapa final'!$L$58="Moderado"),CONCATENATE("R",'Mapa final'!$A$58),"")</f>
        <v/>
      </c>
      <c r="AA42" s="366"/>
      <c r="AB42" s="348" t="str">
        <f>IF(AND('Mapa final'!$H$46="Muy Baja",'Mapa final'!$L$46="Mayor"),CONCATENATE("R",'Mapa final'!$A$46),"")</f>
        <v/>
      </c>
      <c r="AC42" s="344"/>
      <c r="AD42" s="344" t="str">
        <f>IF(AND('Mapa final'!$H$52="Muy Baja",'Mapa final'!$L$52="Mayor"),CONCATENATE("R",'Mapa final'!$A$52),"")</f>
        <v/>
      </c>
      <c r="AE42" s="344"/>
      <c r="AF42" s="344" t="str">
        <f>IF(AND('Mapa final'!$H$58="Muy Baja",'Mapa final'!$L$58="Mayor"),CONCATENATE("R",'Mapa final'!$A$58),"")</f>
        <v/>
      </c>
      <c r="AG42" s="345"/>
      <c r="AH42" s="355" t="str">
        <f>IF(AND('Mapa final'!$H$46="Muy Baja",'Mapa final'!$L$46="Catastrófico"),CONCATENATE("R",'Mapa final'!$A$46),"")</f>
        <v/>
      </c>
      <c r="AI42" s="356"/>
      <c r="AJ42" s="356" t="str">
        <f>IF(AND('Mapa final'!$H$52="Muy Baja",'Mapa final'!$L$52="Catastrófico"),CONCATENATE("R",'Mapa final'!$A$52),"")</f>
        <v/>
      </c>
      <c r="AK42" s="356"/>
      <c r="AL42" s="356" t="str">
        <f>IF(AND('Mapa final'!$H$58="Muy Baja",'Mapa final'!$L$58="Catastrófico"),CONCATENATE("R",'Mapa final'!$A$58),"")</f>
        <v/>
      </c>
      <c r="AM42" s="35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row>
    <row r="43" spans="1:80" x14ac:dyDescent="0.25">
      <c r="A43" s="97"/>
      <c r="B43" s="297"/>
      <c r="C43" s="297"/>
      <c r="D43" s="298"/>
      <c r="E43" s="338"/>
      <c r="F43" s="339"/>
      <c r="G43" s="339"/>
      <c r="H43" s="339"/>
      <c r="I43" s="340"/>
      <c r="J43" s="375"/>
      <c r="K43" s="373"/>
      <c r="L43" s="373"/>
      <c r="M43" s="373"/>
      <c r="N43" s="373"/>
      <c r="O43" s="374"/>
      <c r="P43" s="375"/>
      <c r="Q43" s="373"/>
      <c r="R43" s="373"/>
      <c r="S43" s="373"/>
      <c r="T43" s="373"/>
      <c r="U43" s="374"/>
      <c r="V43" s="364"/>
      <c r="W43" s="365"/>
      <c r="X43" s="365"/>
      <c r="Y43" s="365"/>
      <c r="Z43" s="365"/>
      <c r="AA43" s="366"/>
      <c r="AB43" s="348"/>
      <c r="AC43" s="344"/>
      <c r="AD43" s="344"/>
      <c r="AE43" s="344"/>
      <c r="AF43" s="344"/>
      <c r="AG43" s="345"/>
      <c r="AH43" s="355"/>
      <c r="AI43" s="356"/>
      <c r="AJ43" s="356"/>
      <c r="AK43" s="356"/>
      <c r="AL43" s="356"/>
      <c r="AM43" s="35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row>
    <row r="44" spans="1:80" x14ac:dyDescent="0.25">
      <c r="A44" s="97"/>
      <c r="B44" s="297"/>
      <c r="C44" s="297"/>
      <c r="D44" s="298"/>
      <c r="E44" s="338"/>
      <c r="F44" s="339"/>
      <c r="G44" s="339"/>
      <c r="H44" s="339"/>
      <c r="I44" s="340"/>
      <c r="J44" s="375" t="str">
        <f>IF(AND('Mapa final'!$H$64="Muy Baja",'Mapa final'!$L$64="Leve"),CONCATENATE("R",'Mapa final'!$A$64),"")</f>
        <v/>
      </c>
      <c r="K44" s="373"/>
      <c r="L44" s="373" t="str">
        <f>IF(AND('Mapa final'!$H$70="Muy Baja",'Mapa final'!$L$70="Leve"),CONCATENATE("R",'Mapa final'!$A$70),"")</f>
        <v/>
      </c>
      <c r="M44" s="373"/>
      <c r="N44" s="373" t="str">
        <f>IF(AND('Mapa final'!$H$76="Muy Baja",'Mapa final'!$L$76="Leve"),CONCATENATE("R",'Mapa final'!$A$76),"")</f>
        <v/>
      </c>
      <c r="O44" s="374"/>
      <c r="P44" s="375" t="str">
        <f>IF(AND('Mapa final'!$H$64="Muy Baja",'Mapa final'!$L$64="Menor"),CONCATENATE("R",'Mapa final'!$A$64),"")</f>
        <v/>
      </c>
      <c r="Q44" s="373"/>
      <c r="R44" s="373" t="str">
        <f>IF(AND('Mapa final'!$H$70="Muy Baja",'Mapa final'!$L$70="Menor"),CONCATENATE("R",'Mapa final'!$A$70),"")</f>
        <v/>
      </c>
      <c r="S44" s="373"/>
      <c r="T44" s="373" t="str">
        <f>IF(AND('Mapa final'!$H$76="Muy Baja",'Mapa final'!$L$76="Menor"),CONCATENATE("R",'Mapa final'!$A$76),"")</f>
        <v/>
      </c>
      <c r="U44" s="374"/>
      <c r="V44" s="364" t="str">
        <f>IF(AND('Mapa final'!$H$64="Muy Baja",'Mapa final'!$L$64="Moderado"),CONCATENATE("R",'Mapa final'!$A$64),"")</f>
        <v/>
      </c>
      <c r="W44" s="365"/>
      <c r="X44" s="365" t="str">
        <f>IF(AND('Mapa final'!$H$70="Muy Baja",'Mapa final'!$L$70="Moderado"),CONCATENATE("R",'Mapa final'!$A$70),"")</f>
        <v/>
      </c>
      <c r="Y44" s="365"/>
      <c r="Z44" s="365" t="str">
        <f>IF(AND('Mapa final'!$H$76="Muy Baja",'Mapa final'!$L$76="Moderado"),CONCATENATE("R",'Mapa final'!$A$76),"")</f>
        <v/>
      </c>
      <c r="AA44" s="366"/>
      <c r="AB44" s="348" t="str">
        <f>IF(AND('Mapa final'!$H$64="Muy Baja",'Mapa final'!$L$64="Mayor"),CONCATENATE("R",'Mapa final'!$A$64),"")</f>
        <v/>
      </c>
      <c r="AC44" s="344"/>
      <c r="AD44" s="344" t="str">
        <f>IF(AND('Mapa final'!$H$70="Muy Baja",'Mapa final'!$L$70="Mayor"),CONCATENATE("R",'Mapa final'!$A$70),"")</f>
        <v/>
      </c>
      <c r="AE44" s="344"/>
      <c r="AF44" s="344" t="str">
        <f>IF(AND('Mapa final'!$H$76="Muy Baja",'Mapa final'!$L$76="Mayor"),CONCATENATE("R",'Mapa final'!$A$76),"")</f>
        <v/>
      </c>
      <c r="AG44" s="345"/>
      <c r="AH44" s="355" t="str">
        <f>IF(AND('Mapa final'!$H$64="Muy Baja",'Mapa final'!$L$64="Catastrófico"),CONCATENATE("R",'Mapa final'!$A$64),"")</f>
        <v/>
      </c>
      <c r="AI44" s="356"/>
      <c r="AJ44" s="356" t="str">
        <f>IF(AND('Mapa final'!$H$70="Muy Baja",'Mapa final'!$L$70="Catastrófico"),CONCATENATE("R",'Mapa final'!$A$70),"")</f>
        <v/>
      </c>
      <c r="AK44" s="356"/>
      <c r="AL44" s="356" t="str">
        <f>IF(AND('Mapa final'!$H$76="Muy Baja",'Mapa final'!$L$76="Catastrófico"),CONCATENATE("R",'Mapa final'!$A$76),"")</f>
        <v/>
      </c>
      <c r="AM44" s="35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row>
    <row r="45" spans="1:80" ht="15.75" thickBot="1" x14ac:dyDescent="0.3">
      <c r="A45" s="97"/>
      <c r="B45" s="297"/>
      <c r="C45" s="297"/>
      <c r="D45" s="298"/>
      <c r="E45" s="341"/>
      <c r="F45" s="342"/>
      <c r="G45" s="342"/>
      <c r="H45" s="342"/>
      <c r="I45" s="343"/>
      <c r="J45" s="376"/>
      <c r="K45" s="377"/>
      <c r="L45" s="377"/>
      <c r="M45" s="377"/>
      <c r="N45" s="377"/>
      <c r="O45" s="378"/>
      <c r="P45" s="376"/>
      <c r="Q45" s="377"/>
      <c r="R45" s="377"/>
      <c r="S45" s="377"/>
      <c r="T45" s="377"/>
      <c r="U45" s="378"/>
      <c r="V45" s="367"/>
      <c r="W45" s="368"/>
      <c r="X45" s="368"/>
      <c r="Y45" s="368"/>
      <c r="Z45" s="368"/>
      <c r="AA45" s="369"/>
      <c r="AB45" s="352"/>
      <c r="AC45" s="353"/>
      <c r="AD45" s="353"/>
      <c r="AE45" s="353"/>
      <c r="AF45" s="353"/>
      <c r="AG45" s="354"/>
      <c r="AH45" s="358"/>
      <c r="AI45" s="359"/>
      <c r="AJ45" s="359"/>
      <c r="AK45" s="359"/>
      <c r="AL45" s="359"/>
      <c r="AM45" s="360"/>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row>
    <row r="46" spans="1:80" x14ac:dyDescent="0.25">
      <c r="A46" s="97"/>
      <c r="B46" s="97"/>
      <c r="C46" s="97"/>
      <c r="D46" s="97"/>
      <c r="E46" s="97"/>
      <c r="F46" s="97"/>
      <c r="G46" s="97"/>
      <c r="H46" s="97"/>
      <c r="I46" s="97"/>
      <c r="J46" s="335" t="s">
        <v>112</v>
      </c>
      <c r="K46" s="336"/>
      <c r="L46" s="336"/>
      <c r="M46" s="336"/>
      <c r="N46" s="336"/>
      <c r="O46" s="337"/>
      <c r="P46" s="335" t="s">
        <v>111</v>
      </c>
      <c r="Q46" s="336"/>
      <c r="R46" s="336"/>
      <c r="S46" s="336"/>
      <c r="T46" s="336"/>
      <c r="U46" s="337"/>
      <c r="V46" s="335" t="s">
        <v>110</v>
      </c>
      <c r="W46" s="336"/>
      <c r="X46" s="336"/>
      <c r="Y46" s="336"/>
      <c r="Z46" s="336"/>
      <c r="AA46" s="337"/>
      <c r="AB46" s="335" t="s">
        <v>109</v>
      </c>
      <c r="AC46" s="351"/>
      <c r="AD46" s="336"/>
      <c r="AE46" s="336"/>
      <c r="AF46" s="336"/>
      <c r="AG46" s="337"/>
      <c r="AH46" s="335" t="s">
        <v>108</v>
      </c>
      <c r="AI46" s="336"/>
      <c r="AJ46" s="336"/>
      <c r="AK46" s="336"/>
      <c r="AL46" s="336"/>
      <c r="AM46" s="33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x14ac:dyDescent="0.25">
      <c r="A47" s="97"/>
      <c r="B47" s="97"/>
      <c r="C47" s="97"/>
      <c r="D47" s="97"/>
      <c r="E47" s="97"/>
      <c r="F47" s="97"/>
      <c r="G47" s="97"/>
      <c r="H47" s="97"/>
      <c r="I47" s="97"/>
      <c r="J47" s="338"/>
      <c r="K47" s="339"/>
      <c r="L47" s="339"/>
      <c r="M47" s="339"/>
      <c r="N47" s="339"/>
      <c r="O47" s="340"/>
      <c r="P47" s="338"/>
      <c r="Q47" s="339"/>
      <c r="R47" s="339"/>
      <c r="S47" s="339"/>
      <c r="T47" s="339"/>
      <c r="U47" s="340"/>
      <c r="V47" s="338"/>
      <c r="W47" s="339"/>
      <c r="X47" s="339"/>
      <c r="Y47" s="339"/>
      <c r="Z47" s="339"/>
      <c r="AA47" s="340"/>
      <c r="AB47" s="338"/>
      <c r="AC47" s="339"/>
      <c r="AD47" s="339"/>
      <c r="AE47" s="339"/>
      <c r="AF47" s="339"/>
      <c r="AG47" s="340"/>
      <c r="AH47" s="338"/>
      <c r="AI47" s="339"/>
      <c r="AJ47" s="339"/>
      <c r="AK47" s="339"/>
      <c r="AL47" s="339"/>
      <c r="AM47" s="340"/>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x14ac:dyDescent="0.25">
      <c r="A48" s="97"/>
      <c r="B48" s="97"/>
      <c r="C48" s="97"/>
      <c r="D48" s="97"/>
      <c r="E48" s="97"/>
      <c r="F48" s="97"/>
      <c r="G48" s="97"/>
      <c r="H48" s="97"/>
      <c r="I48" s="97"/>
      <c r="J48" s="338"/>
      <c r="K48" s="339"/>
      <c r="L48" s="339"/>
      <c r="M48" s="339"/>
      <c r="N48" s="339"/>
      <c r="O48" s="340"/>
      <c r="P48" s="338"/>
      <c r="Q48" s="339"/>
      <c r="R48" s="339"/>
      <c r="S48" s="339"/>
      <c r="T48" s="339"/>
      <c r="U48" s="340"/>
      <c r="V48" s="338"/>
      <c r="W48" s="339"/>
      <c r="X48" s="339"/>
      <c r="Y48" s="339"/>
      <c r="Z48" s="339"/>
      <c r="AA48" s="340"/>
      <c r="AB48" s="338"/>
      <c r="AC48" s="339"/>
      <c r="AD48" s="339"/>
      <c r="AE48" s="339"/>
      <c r="AF48" s="339"/>
      <c r="AG48" s="340"/>
      <c r="AH48" s="338"/>
      <c r="AI48" s="339"/>
      <c r="AJ48" s="339"/>
      <c r="AK48" s="339"/>
      <c r="AL48" s="339"/>
      <c r="AM48" s="340"/>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x14ac:dyDescent="0.25">
      <c r="A49" s="97"/>
      <c r="B49" s="97"/>
      <c r="C49" s="97"/>
      <c r="D49" s="97"/>
      <c r="E49" s="97"/>
      <c r="F49" s="97"/>
      <c r="G49" s="97"/>
      <c r="H49" s="97"/>
      <c r="I49" s="97"/>
      <c r="J49" s="338"/>
      <c r="K49" s="339"/>
      <c r="L49" s="339"/>
      <c r="M49" s="339"/>
      <c r="N49" s="339"/>
      <c r="O49" s="340"/>
      <c r="P49" s="338"/>
      <c r="Q49" s="339"/>
      <c r="R49" s="339"/>
      <c r="S49" s="339"/>
      <c r="T49" s="339"/>
      <c r="U49" s="340"/>
      <c r="V49" s="338"/>
      <c r="W49" s="339"/>
      <c r="X49" s="339"/>
      <c r="Y49" s="339"/>
      <c r="Z49" s="339"/>
      <c r="AA49" s="340"/>
      <c r="AB49" s="338"/>
      <c r="AC49" s="339"/>
      <c r="AD49" s="339"/>
      <c r="AE49" s="339"/>
      <c r="AF49" s="339"/>
      <c r="AG49" s="340"/>
      <c r="AH49" s="338"/>
      <c r="AI49" s="339"/>
      <c r="AJ49" s="339"/>
      <c r="AK49" s="339"/>
      <c r="AL49" s="339"/>
      <c r="AM49" s="340"/>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x14ac:dyDescent="0.25">
      <c r="A50" s="97"/>
      <c r="B50" s="97"/>
      <c r="C50" s="97"/>
      <c r="D50" s="97"/>
      <c r="E50" s="97"/>
      <c r="F50" s="97"/>
      <c r="G50" s="97"/>
      <c r="H50" s="97"/>
      <c r="I50" s="97"/>
      <c r="J50" s="338"/>
      <c r="K50" s="339"/>
      <c r="L50" s="339"/>
      <c r="M50" s="339"/>
      <c r="N50" s="339"/>
      <c r="O50" s="340"/>
      <c r="P50" s="338"/>
      <c r="Q50" s="339"/>
      <c r="R50" s="339"/>
      <c r="S50" s="339"/>
      <c r="T50" s="339"/>
      <c r="U50" s="340"/>
      <c r="V50" s="338"/>
      <c r="W50" s="339"/>
      <c r="X50" s="339"/>
      <c r="Y50" s="339"/>
      <c r="Z50" s="339"/>
      <c r="AA50" s="340"/>
      <c r="AB50" s="338"/>
      <c r="AC50" s="339"/>
      <c r="AD50" s="339"/>
      <c r="AE50" s="339"/>
      <c r="AF50" s="339"/>
      <c r="AG50" s="340"/>
      <c r="AH50" s="338"/>
      <c r="AI50" s="339"/>
      <c r="AJ50" s="339"/>
      <c r="AK50" s="339"/>
      <c r="AL50" s="339"/>
      <c r="AM50" s="340"/>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75" thickBot="1" x14ac:dyDescent="0.3">
      <c r="A51" s="97"/>
      <c r="B51" s="97"/>
      <c r="C51" s="97"/>
      <c r="D51" s="97"/>
      <c r="E51" s="97"/>
      <c r="F51" s="97"/>
      <c r="G51" s="97"/>
      <c r="H51" s="97"/>
      <c r="I51" s="97"/>
      <c r="J51" s="341"/>
      <c r="K51" s="342"/>
      <c r="L51" s="342"/>
      <c r="M51" s="342"/>
      <c r="N51" s="342"/>
      <c r="O51" s="343"/>
      <c r="P51" s="341"/>
      <c r="Q51" s="342"/>
      <c r="R51" s="342"/>
      <c r="S51" s="342"/>
      <c r="T51" s="342"/>
      <c r="U51" s="343"/>
      <c r="V51" s="341"/>
      <c r="W51" s="342"/>
      <c r="X51" s="342"/>
      <c r="Y51" s="342"/>
      <c r="Z51" s="342"/>
      <c r="AA51" s="343"/>
      <c r="AB51" s="341"/>
      <c r="AC51" s="342"/>
      <c r="AD51" s="342"/>
      <c r="AE51" s="342"/>
      <c r="AF51" s="342"/>
      <c r="AG51" s="343"/>
      <c r="AH51" s="341"/>
      <c r="AI51" s="342"/>
      <c r="AJ51" s="342"/>
      <c r="AK51" s="342"/>
      <c r="AL51" s="342"/>
      <c r="AM51" s="343"/>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x14ac:dyDescent="0.2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x14ac:dyDescent="0.2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x14ac:dyDescent="0.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row>
    <row r="63" spans="1:80" x14ac:dyDescent="0.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row>
    <row r="64" spans="1:80" x14ac:dyDescent="0.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row>
    <row r="65" spans="1:8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row>
    <row r="66" spans="1:8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row>
    <row r="67" spans="1:8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row>
    <row r="68" spans="1:8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row>
    <row r="69" spans="1:8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row>
    <row r="70" spans="1:8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row>
    <row r="71" spans="1:8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row>
    <row r="72" spans="1:8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row>
    <row r="73" spans="1:8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row>
    <row r="74" spans="1:8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row>
    <row r="75" spans="1:8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row>
    <row r="76" spans="1:8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row>
    <row r="77" spans="1:8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row>
    <row r="78" spans="1:8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row>
    <row r="79" spans="1:8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row>
    <row r="80" spans="1:8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row>
    <row r="81" spans="1:63"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row>
    <row r="82" spans="1:63"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row>
    <row r="83" spans="1:63"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row>
    <row r="84" spans="1:63"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row>
    <row r="85" spans="1:63"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row>
    <row r="86" spans="1:63"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row>
    <row r="87" spans="1:63"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row>
    <row r="88" spans="1:63"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row>
    <row r="89" spans="1:63"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row>
    <row r="90" spans="1:63"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row>
    <row r="91" spans="1:63"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row>
    <row r="92" spans="1:63"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row>
    <row r="93" spans="1:63"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row>
    <row r="94" spans="1:63"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row>
    <row r="95" spans="1:63"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1:63"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row>
    <row r="97" spans="1:63"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row>
    <row r="98" spans="1:63"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row>
    <row r="99" spans="1:63"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row>
    <row r="100" spans="1:63"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row>
    <row r="101" spans="1:63"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row>
    <row r="102" spans="1:63"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row>
    <row r="103" spans="1:63"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row>
    <row r="104" spans="1:63"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row>
    <row r="105" spans="1:63"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row>
    <row r="106" spans="1:63"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row>
    <row r="107" spans="1:63"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row>
    <row r="108" spans="1:63"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row>
    <row r="109" spans="1:63"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row>
    <row r="110" spans="1:63"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row>
    <row r="111" spans="1:63"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row>
    <row r="112" spans="1:63"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row>
    <row r="113" spans="1:63"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row>
    <row r="114" spans="1:63"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row>
    <row r="115" spans="1:63"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row>
    <row r="116" spans="1:63"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row>
    <row r="117" spans="1:63"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row>
    <row r="118" spans="1:63"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row>
    <row r="119" spans="1:63"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row>
    <row r="120" spans="1:63"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row>
    <row r="121" spans="1:63"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row>
    <row r="122" spans="1:63" x14ac:dyDescent="0.2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row>
    <row r="123" spans="1:63" x14ac:dyDescent="0.2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row>
    <row r="124" spans="1:63" x14ac:dyDescent="0.2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row>
    <row r="125" spans="1:63" x14ac:dyDescent="0.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row>
    <row r="126" spans="1:63" x14ac:dyDescent="0.2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row>
    <row r="127" spans="1:63" x14ac:dyDescent="0.2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row>
    <row r="128" spans="1:63" x14ac:dyDescent="0.2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row>
    <row r="129" spans="2:63" x14ac:dyDescent="0.2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row>
    <row r="130" spans="2:63" x14ac:dyDescent="0.2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row>
    <row r="131" spans="2:63" x14ac:dyDescent="0.2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row>
    <row r="132" spans="2:63" x14ac:dyDescent="0.2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row>
    <row r="133" spans="2:63" x14ac:dyDescent="0.2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row>
    <row r="134" spans="2:63" x14ac:dyDescent="0.2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row>
    <row r="135" spans="2:63" x14ac:dyDescent="0.2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row>
    <row r="136" spans="2:63" x14ac:dyDescent="0.2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row>
    <row r="137" spans="2:63" x14ac:dyDescent="0.25">
      <c r="B137" s="97"/>
      <c r="C137" s="97"/>
      <c r="D137" s="97"/>
      <c r="E137" s="97"/>
      <c r="F137" s="97"/>
      <c r="G137" s="97"/>
      <c r="H137" s="97"/>
      <c r="I137" s="97"/>
    </row>
    <row r="138" spans="2:63" x14ac:dyDescent="0.25">
      <c r="B138" s="97"/>
      <c r="C138" s="97"/>
      <c r="D138" s="97"/>
      <c r="E138" s="97"/>
      <c r="F138" s="97"/>
      <c r="G138" s="97"/>
      <c r="H138" s="97"/>
      <c r="I138" s="97"/>
    </row>
    <row r="139" spans="2:63" x14ac:dyDescent="0.25">
      <c r="B139" s="97"/>
      <c r="C139" s="97"/>
      <c r="D139" s="97"/>
      <c r="E139" s="97"/>
      <c r="F139" s="97"/>
      <c r="G139" s="97"/>
      <c r="H139" s="97"/>
      <c r="I139" s="97"/>
    </row>
    <row r="140" spans="2:63" x14ac:dyDescent="0.25">
      <c r="B140" s="97"/>
      <c r="C140" s="97"/>
      <c r="D140" s="97"/>
      <c r="E140" s="97"/>
      <c r="F140" s="97"/>
      <c r="G140" s="97"/>
      <c r="H140" s="97"/>
      <c r="I140" s="9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B21" zoomScale="55" zoomScaleNormal="50" workbookViewId="0">
      <selection activeCell="L50" sqref="L5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ht="18" customHeight="1" x14ac:dyDescent="0.25">
      <c r="A2" s="97"/>
      <c r="B2" s="408" t="s">
        <v>160</v>
      </c>
      <c r="C2" s="409"/>
      <c r="D2" s="409"/>
      <c r="E2" s="409"/>
      <c r="F2" s="409"/>
      <c r="G2" s="409"/>
      <c r="H2" s="409"/>
      <c r="I2" s="409"/>
      <c r="J2" s="350" t="s">
        <v>2</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ht="18.75" customHeight="1" x14ac:dyDescent="0.25">
      <c r="A3" s="97"/>
      <c r="B3" s="409"/>
      <c r="C3" s="409"/>
      <c r="D3" s="409"/>
      <c r="E3" s="409"/>
      <c r="F3" s="409"/>
      <c r="G3" s="409"/>
      <c r="H3" s="409"/>
      <c r="I3" s="409"/>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row>
    <row r="4" spans="1:91" ht="15" customHeight="1" x14ac:dyDescent="0.25">
      <c r="A4" s="97"/>
      <c r="B4" s="409"/>
      <c r="C4" s="409"/>
      <c r="D4" s="409"/>
      <c r="E4" s="409"/>
      <c r="F4" s="409"/>
      <c r="G4" s="409"/>
      <c r="H4" s="409"/>
      <c r="I4" s="409"/>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row>
    <row r="5" spans="1:91"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91" ht="15" customHeight="1" x14ac:dyDescent="0.25">
      <c r="A6" s="97"/>
      <c r="B6" s="297" t="s">
        <v>4</v>
      </c>
      <c r="C6" s="297"/>
      <c r="D6" s="298"/>
      <c r="E6" s="392" t="s">
        <v>116</v>
      </c>
      <c r="F6" s="393"/>
      <c r="G6" s="393"/>
      <c r="H6" s="393"/>
      <c r="I6" s="410"/>
      <c r="J6" s="60" t="str">
        <f>IF(AND('Mapa final'!$Y$10="Muy Alta",'Mapa final'!$AA$10="Leve"),CONCATENATE("R1C",'Mapa final'!$O$10),"")</f>
        <v/>
      </c>
      <c r="K6" s="61" t="str">
        <f>IF(AND('Mapa final'!$Y$11="Muy Alta",'Mapa final'!$AA$11="Leve"),CONCATENATE("R1C",'Mapa final'!$O$11),"")</f>
        <v/>
      </c>
      <c r="L6" s="61" t="str">
        <f>IF(AND('Mapa final'!$Y$12="Muy Alta",'Mapa final'!$AA$12="Leve"),CONCATENATE("R1C",'Mapa final'!$O$12),"")</f>
        <v/>
      </c>
      <c r="M6" s="61" t="str">
        <f>IF(AND('Mapa final'!$Y$13="Muy Alta",'Mapa final'!$AA$13="Leve"),CONCATENATE("R1C",'Mapa final'!$O$13),"")</f>
        <v/>
      </c>
      <c r="N6" s="61" t="str">
        <f>IF(AND('Mapa final'!$Y$14="Muy Alta",'Mapa final'!$AA$14="Leve"),CONCATENATE("R1C",'Mapa final'!$O$14),"")</f>
        <v/>
      </c>
      <c r="O6" s="62" t="str">
        <f>IF(AND('Mapa final'!$Y$15="Muy Alta",'Mapa final'!$AA$15="Leve"),CONCATENATE("R1C",'Mapa final'!$O$15),"")</f>
        <v/>
      </c>
      <c r="P6" s="60" t="str">
        <f>IF(AND('Mapa final'!$Y$10="Muy Alta",'Mapa final'!$AA$10="Menor"),CONCATENATE("R1C",'Mapa final'!$O$10),"")</f>
        <v/>
      </c>
      <c r="Q6" s="61" t="str">
        <f>IF(AND('Mapa final'!$Y$11="Muy Alta",'Mapa final'!$AA$11="Menor"),CONCATENATE("R1C",'Mapa final'!$O$11),"")</f>
        <v/>
      </c>
      <c r="R6" s="61" t="str">
        <f>IF(AND('Mapa final'!$Y$12="Muy Alta",'Mapa final'!$AA$12="Menor"),CONCATENATE("R1C",'Mapa final'!$O$12),"")</f>
        <v/>
      </c>
      <c r="S6" s="61" t="str">
        <f>IF(AND('Mapa final'!$Y$13="Muy Alta",'Mapa final'!$AA$13="Menor"),CONCATENATE("R1C",'Mapa final'!$O$13),"")</f>
        <v/>
      </c>
      <c r="T6" s="61" t="str">
        <f>IF(AND('Mapa final'!$Y$14="Muy Alta",'Mapa final'!$AA$14="Menor"),CONCATENATE("R1C",'Mapa final'!$O$14),"")</f>
        <v/>
      </c>
      <c r="U6" s="62" t="str">
        <f>IF(AND('Mapa final'!$Y$15="Muy Alta",'Mapa final'!$AA$15="Menor"),CONCATENATE("R1C",'Mapa final'!$O$15),"")</f>
        <v/>
      </c>
      <c r="V6" s="60" t="str">
        <f>IF(AND('Mapa final'!$Y$10="Muy Alta",'Mapa final'!$AA$10="Moderado"),CONCATENATE("R1C",'Mapa final'!$O$10),"")</f>
        <v/>
      </c>
      <c r="W6" s="61" t="str">
        <f>IF(AND('Mapa final'!$Y$11="Muy Alta",'Mapa final'!$AA$11="Moderado"),CONCATENATE("R1C",'Mapa final'!$O$11),"")</f>
        <v/>
      </c>
      <c r="X6" s="61" t="str">
        <f>IF(AND('Mapa final'!$Y$12="Muy Alta",'Mapa final'!$AA$12="Moderado"),CONCATENATE("R1C",'Mapa final'!$O$12),"")</f>
        <v/>
      </c>
      <c r="Y6" s="61" t="str">
        <f>IF(AND('Mapa final'!$Y$13="Muy Alta",'Mapa final'!$AA$13="Moderado"),CONCATENATE("R1C",'Mapa final'!$O$13),"")</f>
        <v/>
      </c>
      <c r="Z6" s="61" t="str">
        <f>IF(AND('Mapa final'!$Y$14="Muy Alta",'Mapa final'!$AA$14="Moderado"),CONCATENATE("R1C",'Mapa final'!$O$14),"")</f>
        <v/>
      </c>
      <c r="AA6" s="62" t="str">
        <f>IF(AND('Mapa final'!$Y$15="Muy Alta",'Mapa final'!$AA$15="Moderado"),CONCATENATE("R1C",'Mapa final'!$O$15),"")</f>
        <v/>
      </c>
      <c r="AB6" s="60" t="str">
        <f>IF(AND('Mapa final'!$Y$10="Muy Alta",'Mapa final'!$AA$10="Mayor"),CONCATENATE("R1C",'Mapa final'!$O$10),"")</f>
        <v/>
      </c>
      <c r="AC6" s="61" t="str">
        <f>IF(AND('Mapa final'!$Y$11="Muy Alta",'Mapa final'!$AA$11="Mayor"),CONCATENATE("R1C",'Mapa final'!$O$11),"")</f>
        <v/>
      </c>
      <c r="AD6" s="61" t="str">
        <f>IF(AND('Mapa final'!$Y$12="Muy Alta",'Mapa final'!$AA$12="Mayor"),CONCATENATE("R1C",'Mapa final'!$O$12),"")</f>
        <v/>
      </c>
      <c r="AE6" s="61" t="str">
        <f>IF(AND('Mapa final'!$Y$13="Muy Alta",'Mapa final'!$AA$13="Mayor"),CONCATENATE("R1C",'Mapa final'!$O$13),"")</f>
        <v/>
      </c>
      <c r="AF6" s="61" t="str">
        <f>IF(AND('Mapa final'!$Y$14="Muy Alta",'Mapa final'!$AA$14="Mayor"),CONCATENATE("R1C",'Mapa final'!$O$14),"")</f>
        <v/>
      </c>
      <c r="AG6" s="62" t="str">
        <f>IF(AND('Mapa final'!$Y$15="Muy Alta",'Mapa final'!$AA$15="Mayor"),CONCATENATE("R1C",'Mapa final'!$O$15),"")</f>
        <v/>
      </c>
      <c r="AH6" s="63" t="str">
        <f>IF(AND('Mapa final'!$Y$10="Muy Alta",'Mapa final'!$AA$10="Catastrófico"),CONCATENATE("R1C",'Mapa final'!$O$10),"")</f>
        <v/>
      </c>
      <c r="AI6" s="64" t="str">
        <f>IF(AND('Mapa final'!$Y$11="Muy Alta",'Mapa final'!$AA$11="Catastrófico"),CONCATENATE("R1C",'Mapa final'!$O$11),"")</f>
        <v/>
      </c>
      <c r="AJ6" s="64" t="str">
        <f>IF(AND('Mapa final'!$Y$12="Muy Alta",'Mapa final'!$AA$12="Catastrófico"),CONCATENATE("R1C",'Mapa final'!$O$12),"")</f>
        <v/>
      </c>
      <c r="AK6" s="64" t="str">
        <f>IF(AND('Mapa final'!$Y$13="Muy Alta",'Mapa final'!$AA$13="Catastrófico"),CONCATENATE("R1C",'Mapa final'!$O$13),"")</f>
        <v/>
      </c>
      <c r="AL6" s="64" t="str">
        <f>IF(AND('Mapa final'!$Y$14="Muy Alta",'Mapa final'!$AA$14="Catastrófico"),CONCATENATE("R1C",'Mapa final'!$O$14),"")</f>
        <v/>
      </c>
      <c r="AM6" s="65" t="str">
        <f>IF(AND('Mapa final'!$Y$15="Muy Alta",'Mapa final'!$AA$15="Catastrófico"),CONCATENATE("R1C",'Mapa final'!$O$15),"")</f>
        <v/>
      </c>
      <c r="AN6" s="97"/>
      <c r="AO6" s="399" t="s">
        <v>79</v>
      </c>
      <c r="AP6" s="400"/>
      <c r="AQ6" s="400"/>
      <c r="AR6" s="400"/>
      <c r="AS6" s="400"/>
      <c r="AT6" s="401"/>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row>
    <row r="7" spans="1:91" ht="15" customHeight="1" x14ac:dyDescent="0.25">
      <c r="A7" s="97"/>
      <c r="B7" s="297"/>
      <c r="C7" s="297"/>
      <c r="D7" s="298"/>
      <c r="E7" s="396"/>
      <c r="F7" s="395"/>
      <c r="G7" s="395"/>
      <c r="H7" s="395"/>
      <c r="I7" s="411"/>
      <c r="J7" s="66" t="str">
        <f>IF(AND('Mapa final'!$Y$16="Muy Alta",'Mapa final'!$AA$16="Leve"),CONCATENATE("R2C",'Mapa final'!$O$16),"")</f>
        <v/>
      </c>
      <c r="K7" s="67" t="str">
        <f>IF(AND('Mapa final'!$Y$17="Muy Alta",'Mapa final'!$AA$17="Leve"),CONCATENATE("R2C",'Mapa final'!$O$17),"")</f>
        <v/>
      </c>
      <c r="L7" s="67" t="str">
        <f>IF(AND('Mapa final'!$Y$18="Muy Alta",'Mapa final'!$AA$18="Leve"),CONCATENATE("R2C",'Mapa final'!$O$18),"")</f>
        <v/>
      </c>
      <c r="M7" s="67" t="str">
        <f>IF(AND('Mapa final'!$Y$19="Muy Alta",'Mapa final'!$AA$19="Leve"),CONCATENATE("R2C",'Mapa final'!$O$19),"")</f>
        <v/>
      </c>
      <c r="N7" s="67" t="str">
        <f>IF(AND('Mapa final'!$Y$20="Muy Alta",'Mapa final'!$AA$20="Leve"),CONCATENATE("R2C",'Mapa final'!$O$20),"")</f>
        <v/>
      </c>
      <c r="O7" s="68" t="str">
        <f>IF(AND('Mapa final'!$Y$21="Muy Alta",'Mapa final'!$AA$21="Leve"),CONCATENATE("R2C",'Mapa final'!$O$21),"")</f>
        <v/>
      </c>
      <c r="P7" s="66" t="str">
        <f>IF(AND('Mapa final'!$Y$16="Muy Alta",'Mapa final'!$AA$16="Menor"),CONCATENATE("R2C",'Mapa final'!$O$16),"")</f>
        <v/>
      </c>
      <c r="Q7" s="67" t="str">
        <f>IF(AND('Mapa final'!$Y$17="Muy Alta",'Mapa final'!$AA$17="Menor"),CONCATENATE("R2C",'Mapa final'!$O$17),"")</f>
        <v/>
      </c>
      <c r="R7" s="67" t="str">
        <f>IF(AND('Mapa final'!$Y$18="Muy Alta",'Mapa final'!$AA$18="Menor"),CONCATENATE("R2C",'Mapa final'!$O$18),"")</f>
        <v/>
      </c>
      <c r="S7" s="67" t="str">
        <f>IF(AND('Mapa final'!$Y$19="Muy Alta",'Mapa final'!$AA$19="Menor"),CONCATENATE("R2C",'Mapa final'!$O$19),"")</f>
        <v/>
      </c>
      <c r="T7" s="67" t="str">
        <f>IF(AND('Mapa final'!$Y$20="Muy Alta",'Mapa final'!$AA$20="Menor"),CONCATENATE("R2C",'Mapa final'!$O$20),"")</f>
        <v/>
      </c>
      <c r="U7" s="68" t="str">
        <f>IF(AND('Mapa final'!$Y$21="Muy Alta",'Mapa final'!$AA$21="Menor"),CONCATENATE("R2C",'Mapa final'!$O$21),"")</f>
        <v/>
      </c>
      <c r="V7" s="66" t="str">
        <f>IF(AND('Mapa final'!$Y$16="Muy Alta",'Mapa final'!$AA$16="Moderado"),CONCATENATE("R2C",'Mapa final'!$O$16),"")</f>
        <v/>
      </c>
      <c r="W7" s="67" t="str">
        <f>IF(AND('Mapa final'!$Y$17="Muy Alta",'Mapa final'!$AA$17="Moderado"),CONCATENATE("R2C",'Mapa final'!$O$17),"")</f>
        <v/>
      </c>
      <c r="X7" s="67" t="str">
        <f>IF(AND('Mapa final'!$Y$18="Muy Alta",'Mapa final'!$AA$18="Moderado"),CONCATENATE("R2C",'Mapa final'!$O$18),"")</f>
        <v/>
      </c>
      <c r="Y7" s="67" t="str">
        <f>IF(AND('Mapa final'!$Y$19="Muy Alta",'Mapa final'!$AA$19="Moderado"),CONCATENATE("R2C",'Mapa final'!$O$19),"")</f>
        <v/>
      </c>
      <c r="Z7" s="67" t="str">
        <f>IF(AND('Mapa final'!$Y$20="Muy Alta",'Mapa final'!$AA$20="Moderado"),CONCATENATE("R2C",'Mapa final'!$O$20),"")</f>
        <v/>
      </c>
      <c r="AA7" s="68" t="str">
        <f>IF(AND('Mapa final'!$Y$21="Muy Alta",'Mapa final'!$AA$21="Moderado"),CONCATENATE("R2C",'Mapa final'!$O$21),"")</f>
        <v/>
      </c>
      <c r="AB7" s="66" t="str">
        <f>IF(AND('Mapa final'!$Y$16="Muy Alta",'Mapa final'!$AA$16="Mayor"),CONCATENATE("R2C",'Mapa final'!$O$16),"")</f>
        <v/>
      </c>
      <c r="AC7" s="67" t="str">
        <f>IF(AND('Mapa final'!$Y$17="Muy Alta",'Mapa final'!$AA$17="Mayor"),CONCATENATE("R2C",'Mapa final'!$O$17),"")</f>
        <v/>
      </c>
      <c r="AD7" s="67" t="str">
        <f>IF(AND('Mapa final'!$Y$18="Muy Alta",'Mapa final'!$AA$18="Mayor"),CONCATENATE("R2C",'Mapa final'!$O$18),"")</f>
        <v/>
      </c>
      <c r="AE7" s="67" t="str">
        <f>IF(AND('Mapa final'!$Y$19="Muy Alta",'Mapa final'!$AA$19="Mayor"),CONCATENATE("R2C",'Mapa final'!$O$19),"")</f>
        <v/>
      </c>
      <c r="AF7" s="67" t="str">
        <f>IF(AND('Mapa final'!$Y$20="Muy Alta",'Mapa final'!$AA$20="Mayor"),CONCATENATE("R2C",'Mapa final'!$O$20),"")</f>
        <v/>
      </c>
      <c r="AG7" s="68" t="str">
        <f>IF(AND('Mapa final'!$Y$21="Muy Alta",'Mapa final'!$AA$21="Mayor"),CONCATENATE("R2C",'Mapa final'!$O$21),"")</f>
        <v/>
      </c>
      <c r="AH7" s="69" t="str">
        <f>IF(AND('Mapa final'!$Y$16="Muy Alta",'Mapa final'!$AA$16="Catastrófico"),CONCATENATE("R2C",'Mapa final'!$O$16),"")</f>
        <v/>
      </c>
      <c r="AI7" s="70" t="str">
        <f>IF(AND('Mapa final'!$Y$17="Muy Alta",'Mapa final'!$AA$17="Catastrófico"),CONCATENATE("R2C",'Mapa final'!$O$17),"")</f>
        <v/>
      </c>
      <c r="AJ7" s="70" t="str">
        <f>IF(AND('Mapa final'!$Y$18="Muy Alta",'Mapa final'!$AA$18="Catastrófico"),CONCATENATE("R2C",'Mapa final'!$O$18),"")</f>
        <v/>
      </c>
      <c r="AK7" s="70" t="str">
        <f>IF(AND('Mapa final'!$Y$19="Muy Alta",'Mapa final'!$AA$19="Catastrófico"),CONCATENATE("R2C",'Mapa final'!$O$19),"")</f>
        <v/>
      </c>
      <c r="AL7" s="70" t="str">
        <f>IF(AND('Mapa final'!$Y$20="Muy Alta",'Mapa final'!$AA$20="Catastrófico"),CONCATENATE("R2C",'Mapa final'!$O$20),"")</f>
        <v/>
      </c>
      <c r="AM7" s="71" t="str">
        <f>IF(AND('Mapa final'!$Y$21="Muy Alta",'Mapa final'!$AA$21="Catastrófico"),CONCATENATE("R2C",'Mapa final'!$O$21),"")</f>
        <v/>
      </c>
      <c r="AN7" s="97"/>
      <c r="AO7" s="402"/>
      <c r="AP7" s="403"/>
      <c r="AQ7" s="403"/>
      <c r="AR7" s="403"/>
      <c r="AS7" s="403"/>
      <c r="AT7" s="404"/>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91" ht="15" customHeight="1" x14ac:dyDescent="0.25">
      <c r="A8" s="97"/>
      <c r="B8" s="297"/>
      <c r="C8" s="297"/>
      <c r="D8" s="298"/>
      <c r="E8" s="396"/>
      <c r="F8" s="395"/>
      <c r="G8" s="395"/>
      <c r="H8" s="395"/>
      <c r="I8" s="411"/>
      <c r="J8" s="66" t="str">
        <f>IF(AND('Mapa final'!$Y$22="Muy Alta",'Mapa final'!$AA$22="Leve"),CONCATENATE("R3C",'Mapa final'!$O$22),"")</f>
        <v/>
      </c>
      <c r="K8" s="67" t="str">
        <f>IF(AND('Mapa final'!$Y$23="Muy Alta",'Mapa final'!$AA$23="Leve"),CONCATENATE("R3C",'Mapa final'!$O$23),"")</f>
        <v/>
      </c>
      <c r="L8" s="67" t="str">
        <f>IF(AND('Mapa final'!$Y$24="Muy Alta",'Mapa final'!$AA$24="Leve"),CONCATENATE("R3C",'Mapa final'!$O$24),"")</f>
        <v/>
      </c>
      <c r="M8" s="67" t="str">
        <f>IF(AND('Mapa final'!$Y$25="Muy Alta",'Mapa final'!$AA$25="Leve"),CONCATENATE("R3C",'Mapa final'!$O$25),"")</f>
        <v/>
      </c>
      <c r="N8" s="67" t="str">
        <f>IF(AND('Mapa final'!$Y$26="Muy Alta",'Mapa final'!$AA$26="Leve"),CONCATENATE("R3C",'Mapa final'!$O$26),"")</f>
        <v/>
      </c>
      <c r="O8" s="68" t="str">
        <f>IF(AND('Mapa final'!$Y$27="Muy Alta",'Mapa final'!$AA$27="Leve"),CONCATENATE("R3C",'Mapa final'!$O$27),"")</f>
        <v/>
      </c>
      <c r="P8" s="66" t="str">
        <f>IF(AND('Mapa final'!$Y$22="Muy Alta",'Mapa final'!$AA$22="Menor"),CONCATENATE("R3C",'Mapa final'!$O$22),"")</f>
        <v/>
      </c>
      <c r="Q8" s="67" t="str">
        <f>IF(AND('Mapa final'!$Y$23="Muy Alta",'Mapa final'!$AA$23="Menor"),CONCATENATE("R3C",'Mapa final'!$O$23),"")</f>
        <v/>
      </c>
      <c r="R8" s="67" t="str">
        <f>IF(AND('Mapa final'!$Y$24="Muy Alta",'Mapa final'!$AA$24="Menor"),CONCATENATE("R3C",'Mapa final'!$O$24),"")</f>
        <v/>
      </c>
      <c r="S8" s="67" t="str">
        <f>IF(AND('Mapa final'!$Y$25="Muy Alta",'Mapa final'!$AA$25="Menor"),CONCATENATE("R3C",'Mapa final'!$O$25),"")</f>
        <v/>
      </c>
      <c r="T8" s="67" t="str">
        <f>IF(AND('Mapa final'!$Y$26="Muy Alta",'Mapa final'!$AA$26="Menor"),CONCATENATE("R3C",'Mapa final'!$O$26),"")</f>
        <v/>
      </c>
      <c r="U8" s="68" t="str">
        <f>IF(AND('Mapa final'!$Y$27="Muy Alta",'Mapa final'!$AA$27="Menor"),CONCATENATE("R3C",'Mapa final'!$O$27),"")</f>
        <v/>
      </c>
      <c r="V8" s="66" t="str">
        <f>IF(AND('Mapa final'!$Y$22="Muy Alta",'Mapa final'!$AA$22="Moderado"),CONCATENATE("R3C",'Mapa final'!$O$22),"")</f>
        <v/>
      </c>
      <c r="W8" s="67" t="str">
        <f>IF(AND('Mapa final'!$Y$23="Muy Alta",'Mapa final'!$AA$23="Moderado"),CONCATENATE("R3C",'Mapa final'!$O$23),"")</f>
        <v/>
      </c>
      <c r="X8" s="67" t="str">
        <f>IF(AND('Mapa final'!$Y$24="Muy Alta",'Mapa final'!$AA$24="Moderado"),CONCATENATE("R3C",'Mapa final'!$O$24),"")</f>
        <v/>
      </c>
      <c r="Y8" s="67" t="str">
        <f>IF(AND('Mapa final'!$Y$25="Muy Alta",'Mapa final'!$AA$25="Moderado"),CONCATENATE("R3C",'Mapa final'!$O$25),"")</f>
        <v/>
      </c>
      <c r="Z8" s="67" t="str">
        <f>IF(AND('Mapa final'!$Y$26="Muy Alta",'Mapa final'!$AA$26="Moderado"),CONCATENATE("R3C",'Mapa final'!$O$26),"")</f>
        <v/>
      </c>
      <c r="AA8" s="68" t="str">
        <f>IF(AND('Mapa final'!$Y$27="Muy Alta",'Mapa final'!$AA$27="Moderado"),CONCATENATE("R3C",'Mapa final'!$O$27),"")</f>
        <v/>
      </c>
      <c r="AB8" s="66" t="str">
        <f>IF(AND('Mapa final'!$Y$22="Muy Alta",'Mapa final'!$AA$22="Mayor"),CONCATENATE("R3C",'Mapa final'!$O$22),"")</f>
        <v/>
      </c>
      <c r="AC8" s="67" t="str">
        <f>IF(AND('Mapa final'!$Y$23="Muy Alta",'Mapa final'!$AA$23="Mayor"),CONCATENATE("R3C",'Mapa final'!$O$23),"")</f>
        <v/>
      </c>
      <c r="AD8" s="67" t="str">
        <f>IF(AND('Mapa final'!$Y$24="Muy Alta",'Mapa final'!$AA$24="Mayor"),CONCATENATE("R3C",'Mapa final'!$O$24),"")</f>
        <v/>
      </c>
      <c r="AE8" s="67" t="str">
        <f>IF(AND('Mapa final'!$Y$25="Muy Alta",'Mapa final'!$AA$25="Mayor"),CONCATENATE("R3C",'Mapa final'!$O$25),"")</f>
        <v/>
      </c>
      <c r="AF8" s="67" t="str">
        <f>IF(AND('Mapa final'!$Y$26="Muy Alta",'Mapa final'!$AA$26="Mayor"),CONCATENATE("R3C",'Mapa final'!$O$26),"")</f>
        <v/>
      </c>
      <c r="AG8" s="68" t="str">
        <f>IF(AND('Mapa final'!$Y$27="Muy Alta",'Mapa final'!$AA$27="Mayor"),CONCATENATE("R3C",'Mapa final'!$O$27),"")</f>
        <v/>
      </c>
      <c r="AH8" s="69" t="str">
        <f>IF(AND('Mapa final'!$Y$22="Muy Alta",'Mapa final'!$AA$22="Catastrófico"),CONCATENATE("R3C",'Mapa final'!$O$22),"")</f>
        <v/>
      </c>
      <c r="AI8" s="70" t="str">
        <f>IF(AND('Mapa final'!$Y$23="Muy Alta",'Mapa final'!$AA$23="Catastrófico"),CONCATENATE("R3C",'Mapa final'!$O$23),"")</f>
        <v/>
      </c>
      <c r="AJ8" s="70" t="str">
        <f>IF(AND('Mapa final'!$Y$24="Muy Alta",'Mapa final'!$AA$24="Catastrófico"),CONCATENATE("R3C",'Mapa final'!$O$24),"")</f>
        <v/>
      </c>
      <c r="AK8" s="70" t="str">
        <f>IF(AND('Mapa final'!$Y$25="Muy Alta",'Mapa final'!$AA$25="Catastrófico"),CONCATENATE("R3C",'Mapa final'!$O$25),"")</f>
        <v/>
      </c>
      <c r="AL8" s="70" t="str">
        <f>IF(AND('Mapa final'!$Y$26="Muy Alta",'Mapa final'!$AA$26="Catastrófico"),CONCATENATE("R3C",'Mapa final'!$O$26),"")</f>
        <v/>
      </c>
      <c r="AM8" s="71" t="str">
        <f>IF(AND('Mapa final'!$Y$27="Muy Alta",'Mapa final'!$AA$27="Catastrófico"),CONCATENATE("R3C",'Mapa final'!$O$27),"")</f>
        <v/>
      </c>
      <c r="AN8" s="97"/>
      <c r="AO8" s="402"/>
      <c r="AP8" s="403"/>
      <c r="AQ8" s="403"/>
      <c r="AR8" s="403"/>
      <c r="AS8" s="403"/>
      <c r="AT8" s="404"/>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row>
    <row r="9" spans="1:91" ht="15" customHeight="1" x14ac:dyDescent="0.25">
      <c r="A9" s="97"/>
      <c r="B9" s="297"/>
      <c r="C9" s="297"/>
      <c r="D9" s="298"/>
      <c r="E9" s="396"/>
      <c r="F9" s="395"/>
      <c r="G9" s="395"/>
      <c r="H9" s="395"/>
      <c r="I9" s="411"/>
      <c r="J9" s="66" t="str">
        <f>IF(AND('Mapa final'!$Y$28="Muy Alta",'Mapa final'!$AA$28="Leve"),CONCATENATE("R4C",'Mapa final'!$O$28),"")</f>
        <v/>
      </c>
      <c r="K9" s="67" t="str">
        <f>IF(AND('Mapa final'!$Y$29="Muy Alta",'Mapa final'!$AA$29="Leve"),CONCATENATE("R4C",'Mapa final'!$O$29),"")</f>
        <v/>
      </c>
      <c r="L9" s="67" t="str">
        <f>IF(AND('Mapa final'!$Y$30="Muy Alta",'Mapa final'!$AA$30="Leve"),CONCATENATE("R4C",'Mapa final'!$O$30),"")</f>
        <v/>
      </c>
      <c r="M9" s="67" t="str">
        <f>IF(AND('Mapa final'!$Y$31="Muy Alta",'Mapa final'!$AA$31="Leve"),CONCATENATE("R4C",'Mapa final'!$O$31),"")</f>
        <v/>
      </c>
      <c r="N9" s="67" t="str">
        <f>IF(AND('Mapa final'!$Y$32="Muy Alta",'Mapa final'!$AA$32="Leve"),CONCATENATE("R4C",'Mapa final'!$O$32),"")</f>
        <v/>
      </c>
      <c r="O9" s="68" t="str">
        <f>IF(AND('Mapa final'!$Y$33="Muy Alta",'Mapa final'!$AA$33="Leve"),CONCATENATE("R4C",'Mapa final'!$O$33),"")</f>
        <v/>
      </c>
      <c r="P9" s="66" t="str">
        <f>IF(AND('Mapa final'!$Y$28="Muy Alta",'Mapa final'!$AA$28="Menor"),CONCATENATE("R4C",'Mapa final'!$O$28),"")</f>
        <v/>
      </c>
      <c r="Q9" s="67" t="str">
        <f>IF(AND('Mapa final'!$Y$29="Muy Alta",'Mapa final'!$AA$29="Menor"),CONCATENATE("R4C",'Mapa final'!$O$29),"")</f>
        <v/>
      </c>
      <c r="R9" s="67" t="str">
        <f>IF(AND('Mapa final'!$Y$30="Muy Alta",'Mapa final'!$AA$30="Menor"),CONCATENATE("R4C",'Mapa final'!$O$30),"")</f>
        <v/>
      </c>
      <c r="S9" s="67" t="str">
        <f>IF(AND('Mapa final'!$Y$31="Muy Alta",'Mapa final'!$AA$31="Menor"),CONCATENATE("R4C",'Mapa final'!$O$31),"")</f>
        <v/>
      </c>
      <c r="T9" s="67" t="str">
        <f>IF(AND('Mapa final'!$Y$32="Muy Alta",'Mapa final'!$AA$32="Menor"),CONCATENATE("R4C",'Mapa final'!$O$32),"")</f>
        <v/>
      </c>
      <c r="U9" s="68" t="str">
        <f>IF(AND('Mapa final'!$Y$33="Muy Alta",'Mapa final'!$AA$33="Menor"),CONCATENATE("R4C",'Mapa final'!$O$33),"")</f>
        <v/>
      </c>
      <c r="V9" s="66" t="str">
        <f>IF(AND('Mapa final'!$Y$28="Muy Alta",'Mapa final'!$AA$28="Moderado"),CONCATENATE("R4C",'Mapa final'!$O$28),"")</f>
        <v/>
      </c>
      <c r="W9" s="67" t="str">
        <f>IF(AND('Mapa final'!$Y$29="Muy Alta",'Mapa final'!$AA$29="Moderado"),CONCATENATE("R4C",'Mapa final'!$O$29),"")</f>
        <v/>
      </c>
      <c r="X9" s="67" t="str">
        <f>IF(AND('Mapa final'!$Y$30="Muy Alta",'Mapa final'!$AA$30="Moderado"),CONCATENATE("R4C",'Mapa final'!$O$30),"")</f>
        <v/>
      </c>
      <c r="Y9" s="67" t="str">
        <f>IF(AND('Mapa final'!$Y$31="Muy Alta",'Mapa final'!$AA$31="Moderado"),CONCATENATE("R4C",'Mapa final'!$O$31),"")</f>
        <v/>
      </c>
      <c r="Z9" s="67" t="str">
        <f>IF(AND('Mapa final'!$Y$32="Muy Alta",'Mapa final'!$AA$32="Moderado"),CONCATENATE("R4C",'Mapa final'!$O$32),"")</f>
        <v/>
      </c>
      <c r="AA9" s="68" t="str">
        <f>IF(AND('Mapa final'!$Y$33="Muy Alta",'Mapa final'!$AA$33="Moderado"),CONCATENATE("R4C",'Mapa final'!$O$33),"")</f>
        <v/>
      </c>
      <c r="AB9" s="66" t="str">
        <f>IF(AND('Mapa final'!$Y$28="Muy Alta",'Mapa final'!$AA$28="Mayor"),CONCATENATE("R4C",'Mapa final'!$O$28),"")</f>
        <v/>
      </c>
      <c r="AC9" s="67" t="str">
        <f>IF(AND('Mapa final'!$Y$29="Muy Alta",'Mapa final'!$AA$29="Mayor"),CONCATENATE("R4C",'Mapa final'!$O$29),"")</f>
        <v/>
      </c>
      <c r="AD9" s="67" t="str">
        <f>IF(AND('Mapa final'!$Y$30="Muy Alta",'Mapa final'!$AA$30="Mayor"),CONCATENATE("R4C",'Mapa final'!$O$30),"")</f>
        <v/>
      </c>
      <c r="AE9" s="67" t="str">
        <f>IF(AND('Mapa final'!$Y$31="Muy Alta",'Mapa final'!$AA$31="Mayor"),CONCATENATE("R4C",'Mapa final'!$O$31),"")</f>
        <v/>
      </c>
      <c r="AF9" s="67" t="str">
        <f>IF(AND('Mapa final'!$Y$32="Muy Alta",'Mapa final'!$AA$32="Mayor"),CONCATENATE("R4C",'Mapa final'!$O$32),"")</f>
        <v/>
      </c>
      <c r="AG9" s="68" t="str">
        <f>IF(AND('Mapa final'!$Y$33="Muy Alta",'Mapa final'!$AA$33="Mayor"),CONCATENATE("R4C",'Mapa final'!$O$33),"")</f>
        <v/>
      </c>
      <c r="AH9" s="69" t="str">
        <f>IF(AND('Mapa final'!$Y$28="Muy Alta",'Mapa final'!$AA$28="Catastrófico"),CONCATENATE("R4C",'Mapa final'!$O$28),"")</f>
        <v/>
      </c>
      <c r="AI9" s="70" t="str">
        <f>IF(AND('Mapa final'!$Y$29="Muy Alta",'Mapa final'!$AA$29="Catastrófico"),CONCATENATE("R4C",'Mapa final'!$O$29),"")</f>
        <v/>
      </c>
      <c r="AJ9" s="70" t="str">
        <f>IF(AND('Mapa final'!$Y$30="Muy Alta",'Mapa final'!$AA$30="Catastrófico"),CONCATENATE("R4C",'Mapa final'!$O$30),"")</f>
        <v/>
      </c>
      <c r="AK9" s="70" t="str">
        <f>IF(AND('Mapa final'!$Y$31="Muy Alta",'Mapa final'!$AA$31="Catastrófico"),CONCATENATE("R4C",'Mapa final'!$O$31),"")</f>
        <v/>
      </c>
      <c r="AL9" s="70" t="str">
        <f>IF(AND('Mapa final'!$Y$32="Muy Alta",'Mapa final'!$AA$32="Catastrófico"),CONCATENATE("R4C",'Mapa final'!$O$32),"")</f>
        <v/>
      </c>
      <c r="AM9" s="71" t="str">
        <f>IF(AND('Mapa final'!$Y$33="Muy Alta",'Mapa final'!$AA$33="Catastrófico"),CONCATENATE("R4C",'Mapa final'!$O$33),"")</f>
        <v/>
      </c>
      <c r="AN9" s="97"/>
      <c r="AO9" s="402"/>
      <c r="AP9" s="403"/>
      <c r="AQ9" s="403"/>
      <c r="AR9" s="403"/>
      <c r="AS9" s="403"/>
      <c r="AT9" s="404"/>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row>
    <row r="10" spans="1:91" ht="15" customHeight="1" x14ac:dyDescent="0.25">
      <c r="A10" s="97"/>
      <c r="B10" s="297"/>
      <c r="C10" s="297"/>
      <c r="D10" s="298"/>
      <c r="E10" s="396"/>
      <c r="F10" s="395"/>
      <c r="G10" s="395"/>
      <c r="H10" s="395"/>
      <c r="I10" s="411"/>
      <c r="J10" s="66" t="str">
        <f>IF(AND('Mapa final'!$Y$34="Muy Alta",'Mapa final'!$AA$34="Leve"),CONCATENATE("R5C",'Mapa final'!$O$34),"")</f>
        <v/>
      </c>
      <c r="K10" s="67" t="str">
        <f>IF(AND('Mapa final'!$Y$35="Muy Alta",'Mapa final'!$AA$35="Leve"),CONCATENATE("R5C",'Mapa final'!$O$35),"")</f>
        <v/>
      </c>
      <c r="L10" s="67" t="str">
        <f>IF(AND('Mapa final'!$Y$36="Muy Alta",'Mapa final'!$AA$36="Leve"),CONCATENATE("R5C",'Mapa final'!$O$36),"")</f>
        <v/>
      </c>
      <c r="M10" s="67" t="str">
        <f>IF(AND('Mapa final'!$Y$37="Muy Alta",'Mapa final'!$AA$37="Leve"),CONCATENATE("R5C",'Mapa final'!$O$37),"")</f>
        <v/>
      </c>
      <c r="N10" s="67" t="str">
        <f>IF(AND('Mapa final'!$Y$38="Muy Alta",'Mapa final'!$AA$38="Leve"),CONCATENATE("R5C",'Mapa final'!$O$38),"")</f>
        <v/>
      </c>
      <c r="O10" s="68" t="str">
        <f>IF(AND('Mapa final'!$Y$39="Muy Alta",'Mapa final'!$AA$39="Leve"),CONCATENATE("R5C",'Mapa final'!$O$39),"")</f>
        <v/>
      </c>
      <c r="P10" s="66" t="str">
        <f>IF(AND('Mapa final'!$Y$34="Muy Alta",'Mapa final'!$AA$34="Menor"),CONCATENATE("R5C",'Mapa final'!$O$34),"")</f>
        <v/>
      </c>
      <c r="Q10" s="67" t="str">
        <f>IF(AND('Mapa final'!$Y$35="Muy Alta",'Mapa final'!$AA$35="Menor"),CONCATENATE("R5C",'Mapa final'!$O$35),"")</f>
        <v/>
      </c>
      <c r="R10" s="67" t="str">
        <f>IF(AND('Mapa final'!$Y$36="Muy Alta",'Mapa final'!$AA$36="Menor"),CONCATENATE("R5C",'Mapa final'!$O$36),"")</f>
        <v/>
      </c>
      <c r="S10" s="67" t="str">
        <f>IF(AND('Mapa final'!$Y$37="Muy Alta",'Mapa final'!$AA$37="Menor"),CONCATENATE("R5C",'Mapa final'!$O$37),"")</f>
        <v/>
      </c>
      <c r="T10" s="67" t="str">
        <f>IF(AND('Mapa final'!$Y$38="Muy Alta",'Mapa final'!$AA$38="Menor"),CONCATENATE("R5C",'Mapa final'!$O$38),"")</f>
        <v/>
      </c>
      <c r="U10" s="68" t="str">
        <f>IF(AND('Mapa final'!$Y$39="Muy Alta",'Mapa final'!$AA$39="Menor"),CONCATENATE("R5C",'Mapa final'!$O$39),"")</f>
        <v/>
      </c>
      <c r="V10" s="66" t="str">
        <f>IF(AND('Mapa final'!$Y$34="Muy Alta",'Mapa final'!$AA$34="Moderado"),CONCATENATE("R5C",'Mapa final'!$O$34),"")</f>
        <v/>
      </c>
      <c r="W10" s="67" t="str">
        <f>IF(AND('Mapa final'!$Y$35="Muy Alta",'Mapa final'!$AA$35="Moderado"),CONCATENATE("R5C",'Mapa final'!$O$35),"")</f>
        <v/>
      </c>
      <c r="X10" s="67" t="str">
        <f>IF(AND('Mapa final'!$Y$36="Muy Alta",'Mapa final'!$AA$36="Moderado"),CONCATENATE("R5C",'Mapa final'!$O$36),"")</f>
        <v/>
      </c>
      <c r="Y10" s="67" t="str">
        <f>IF(AND('Mapa final'!$Y$37="Muy Alta",'Mapa final'!$AA$37="Moderado"),CONCATENATE("R5C",'Mapa final'!$O$37),"")</f>
        <v/>
      </c>
      <c r="Z10" s="67" t="str">
        <f>IF(AND('Mapa final'!$Y$38="Muy Alta",'Mapa final'!$AA$38="Moderado"),CONCATENATE("R5C",'Mapa final'!$O$38),"")</f>
        <v/>
      </c>
      <c r="AA10" s="68" t="str">
        <f>IF(AND('Mapa final'!$Y$39="Muy Alta",'Mapa final'!$AA$39="Moderado"),CONCATENATE("R5C",'Mapa final'!$O$39),"")</f>
        <v/>
      </c>
      <c r="AB10" s="66" t="str">
        <f>IF(AND('Mapa final'!$Y$34="Muy Alta",'Mapa final'!$AA$34="Mayor"),CONCATENATE("R5C",'Mapa final'!$O$34),"")</f>
        <v/>
      </c>
      <c r="AC10" s="67" t="str">
        <f>IF(AND('Mapa final'!$Y$35="Muy Alta",'Mapa final'!$AA$35="Mayor"),CONCATENATE("R5C",'Mapa final'!$O$35),"")</f>
        <v/>
      </c>
      <c r="AD10" s="67" t="str">
        <f>IF(AND('Mapa final'!$Y$36="Muy Alta",'Mapa final'!$AA$36="Mayor"),CONCATENATE("R5C",'Mapa final'!$O$36),"")</f>
        <v/>
      </c>
      <c r="AE10" s="67" t="str">
        <f>IF(AND('Mapa final'!$Y$37="Muy Alta",'Mapa final'!$AA$37="Mayor"),CONCATENATE("R5C",'Mapa final'!$O$37),"")</f>
        <v/>
      </c>
      <c r="AF10" s="67" t="str">
        <f>IF(AND('Mapa final'!$Y$38="Muy Alta",'Mapa final'!$AA$38="Mayor"),CONCATENATE("R5C",'Mapa final'!$O$38),"")</f>
        <v/>
      </c>
      <c r="AG10" s="68" t="str">
        <f>IF(AND('Mapa final'!$Y$39="Muy Alta",'Mapa final'!$AA$39="Mayor"),CONCATENATE("R5C",'Mapa final'!$O$39),"")</f>
        <v/>
      </c>
      <c r="AH10" s="69" t="str">
        <f>IF(AND('Mapa final'!$Y$34="Muy Alta",'Mapa final'!$AA$34="Catastrófico"),CONCATENATE("R5C",'Mapa final'!$O$34),"")</f>
        <v/>
      </c>
      <c r="AI10" s="70" t="str">
        <f>IF(AND('Mapa final'!$Y$35="Muy Alta",'Mapa final'!$AA$35="Catastrófico"),CONCATENATE("R5C",'Mapa final'!$O$35),"")</f>
        <v/>
      </c>
      <c r="AJ10" s="70" t="str">
        <f>IF(AND('Mapa final'!$Y$36="Muy Alta",'Mapa final'!$AA$36="Catastrófico"),CONCATENATE("R5C",'Mapa final'!$O$36),"")</f>
        <v/>
      </c>
      <c r="AK10" s="70" t="str">
        <f>IF(AND('Mapa final'!$Y$37="Muy Alta",'Mapa final'!$AA$37="Catastrófico"),CONCATENATE("R5C",'Mapa final'!$O$37),"")</f>
        <v/>
      </c>
      <c r="AL10" s="70" t="str">
        <f>IF(AND('Mapa final'!$Y$38="Muy Alta",'Mapa final'!$AA$38="Catastrófico"),CONCATENATE("R5C",'Mapa final'!$O$38),"")</f>
        <v/>
      </c>
      <c r="AM10" s="71" t="str">
        <f>IF(AND('Mapa final'!$Y$39="Muy Alta",'Mapa final'!$AA$39="Catastrófico"),CONCATENATE("R5C",'Mapa final'!$O$39),"")</f>
        <v/>
      </c>
      <c r="AN10" s="97"/>
      <c r="AO10" s="402"/>
      <c r="AP10" s="403"/>
      <c r="AQ10" s="403"/>
      <c r="AR10" s="403"/>
      <c r="AS10" s="403"/>
      <c r="AT10" s="404"/>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row>
    <row r="11" spans="1:91" ht="15" customHeight="1" x14ac:dyDescent="0.25">
      <c r="A11" s="97"/>
      <c r="B11" s="297"/>
      <c r="C11" s="297"/>
      <c r="D11" s="298"/>
      <c r="E11" s="396"/>
      <c r="F11" s="395"/>
      <c r="G11" s="395"/>
      <c r="H11" s="395"/>
      <c r="I11" s="411"/>
      <c r="J11" s="66" t="str">
        <f>IF(AND('Mapa final'!$Y$40="Muy Alta",'Mapa final'!$AA$40="Leve"),CONCATENATE("R6C",'Mapa final'!$O$40),"")</f>
        <v/>
      </c>
      <c r="K11" s="67" t="str">
        <f>IF(AND('Mapa final'!$Y$41="Muy Alta",'Mapa final'!$AA$41="Leve"),CONCATENATE("R6C",'Mapa final'!$O$41),"")</f>
        <v/>
      </c>
      <c r="L11" s="67" t="str">
        <f>IF(AND('Mapa final'!$Y$42="Muy Alta",'Mapa final'!$AA$42="Leve"),CONCATENATE("R6C",'Mapa final'!$O$42),"")</f>
        <v/>
      </c>
      <c r="M11" s="67" t="str">
        <f>IF(AND('Mapa final'!$Y$43="Muy Alta",'Mapa final'!$AA$43="Leve"),CONCATENATE("R6C",'Mapa final'!$O$43),"")</f>
        <v/>
      </c>
      <c r="N11" s="67" t="str">
        <f>IF(AND('Mapa final'!$Y$44="Muy Alta",'Mapa final'!$AA$44="Leve"),CONCATENATE("R6C",'Mapa final'!$O$44),"")</f>
        <v/>
      </c>
      <c r="O11" s="68" t="str">
        <f>IF(AND('Mapa final'!$Y$45="Muy Alta",'Mapa final'!$AA$45="Leve"),CONCATENATE("R6C",'Mapa final'!$O$45),"")</f>
        <v/>
      </c>
      <c r="P11" s="66" t="str">
        <f>IF(AND('Mapa final'!$Y$40="Muy Alta",'Mapa final'!$AA$40="Menor"),CONCATENATE("R6C",'Mapa final'!$O$40),"")</f>
        <v/>
      </c>
      <c r="Q11" s="67" t="str">
        <f>IF(AND('Mapa final'!$Y$41="Muy Alta",'Mapa final'!$AA$41="Menor"),CONCATENATE("R6C",'Mapa final'!$O$41),"")</f>
        <v/>
      </c>
      <c r="R11" s="67" t="str">
        <f>IF(AND('Mapa final'!$Y$42="Muy Alta",'Mapa final'!$AA$42="Menor"),CONCATENATE("R6C",'Mapa final'!$O$42),"")</f>
        <v/>
      </c>
      <c r="S11" s="67" t="str">
        <f>IF(AND('Mapa final'!$Y$43="Muy Alta",'Mapa final'!$AA$43="Menor"),CONCATENATE("R6C",'Mapa final'!$O$43),"")</f>
        <v/>
      </c>
      <c r="T11" s="67" t="str">
        <f>IF(AND('Mapa final'!$Y$44="Muy Alta",'Mapa final'!$AA$44="Menor"),CONCATENATE("R6C",'Mapa final'!$O$44),"")</f>
        <v/>
      </c>
      <c r="U11" s="68" t="str">
        <f>IF(AND('Mapa final'!$Y$45="Muy Alta",'Mapa final'!$AA$45="Menor"),CONCATENATE("R6C",'Mapa final'!$O$45),"")</f>
        <v/>
      </c>
      <c r="V11" s="66" t="str">
        <f>IF(AND('Mapa final'!$Y$40="Muy Alta",'Mapa final'!$AA$40="Moderado"),CONCATENATE("R6C",'Mapa final'!$O$40),"")</f>
        <v/>
      </c>
      <c r="W11" s="67" t="str">
        <f>IF(AND('Mapa final'!$Y$41="Muy Alta",'Mapa final'!$AA$41="Moderado"),CONCATENATE("R6C",'Mapa final'!$O$41),"")</f>
        <v/>
      </c>
      <c r="X11" s="67" t="str">
        <f>IF(AND('Mapa final'!$Y$42="Muy Alta",'Mapa final'!$AA$42="Moderado"),CONCATENATE("R6C",'Mapa final'!$O$42),"")</f>
        <v/>
      </c>
      <c r="Y11" s="67" t="str">
        <f>IF(AND('Mapa final'!$Y$43="Muy Alta",'Mapa final'!$AA$43="Moderado"),CONCATENATE("R6C",'Mapa final'!$O$43),"")</f>
        <v/>
      </c>
      <c r="Z11" s="67" t="str">
        <f>IF(AND('Mapa final'!$Y$44="Muy Alta",'Mapa final'!$AA$44="Moderado"),CONCATENATE("R6C",'Mapa final'!$O$44),"")</f>
        <v/>
      </c>
      <c r="AA11" s="68" t="str">
        <f>IF(AND('Mapa final'!$Y$45="Muy Alta",'Mapa final'!$AA$45="Moderado"),CONCATENATE("R6C",'Mapa final'!$O$45),"")</f>
        <v/>
      </c>
      <c r="AB11" s="66" t="str">
        <f>IF(AND('Mapa final'!$Y$40="Muy Alta",'Mapa final'!$AA$40="Mayor"),CONCATENATE("R6C",'Mapa final'!$O$40),"")</f>
        <v/>
      </c>
      <c r="AC11" s="67" t="str">
        <f>IF(AND('Mapa final'!$Y$41="Muy Alta",'Mapa final'!$AA$41="Mayor"),CONCATENATE("R6C",'Mapa final'!$O$41),"")</f>
        <v/>
      </c>
      <c r="AD11" s="67" t="str">
        <f>IF(AND('Mapa final'!$Y$42="Muy Alta",'Mapa final'!$AA$42="Mayor"),CONCATENATE("R6C",'Mapa final'!$O$42),"")</f>
        <v/>
      </c>
      <c r="AE11" s="67" t="str">
        <f>IF(AND('Mapa final'!$Y$43="Muy Alta",'Mapa final'!$AA$43="Mayor"),CONCATENATE("R6C",'Mapa final'!$O$43),"")</f>
        <v/>
      </c>
      <c r="AF11" s="67" t="str">
        <f>IF(AND('Mapa final'!$Y$44="Muy Alta",'Mapa final'!$AA$44="Mayor"),CONCATENATE("R6C",'Mapa final'!$O$44),"")</f>
        <v/>
      </c>
      <c r="AG11" s="68" t="str">
        <f>IF(AND('Mapa final'!$Y$45="Muy Alta",'Mapa final'!$AA$45="Mayor"),CONCATENATE("R6C",'Mapa final'!$O$45),"")</f>
        <v/>
      </c>
      <c r="AH11" s="69" t="str">
        <f>IF(AND('Mapa final'!$Y$40="Muy Alta",'Mapa final'!$AA$40="Catastrófico"),CONCATENATE("R6C",'Mapa final'!$O$40),"")</f>
        <v/>
      </c>
      <c r="AI11" s="70" t="str">
        <f>IF(AND('Mapa final'!$Y$41="Muy Alta",'Mapa final'!$AA$41="Catastrófico"),CONCATENATE("R6C",'Mapa final'!$O$41),"")</f>
        <v/>
      </c>
      <c r="AJ11" s="70" t="str">
        <f>IF(AND('Mapa final'!$Y$42="Muy Alta",'Mapa final'!$AA$42="Catastrófico"),CONCATENATE("R6C",'Mapa final'!$O$42),"")</f>
        <v/>
      </c>
      <c r="AK11" s="70" t="str">
        <f>IF(AND('Mapa final'!$Y$43="Muy Alta",'Mapa final'!$AA$43="Catastrófico"),CONCATENATE("R6C",'Mapa final'!$O$43),"")</f>
        <v/>
      </c>
      <c r="AL11" s="70" t="str">
        <f>IF(AND('Mapa final'!$Y$44="Muy Alta",'Mapa final'!$AA$44="Catastrófico"),CONCATENATE("R6C",'Mapa final'!$O$44),"")</f>
        <v/>
      </c>
      <c r="AM11" s="71" t="str">
        <f>IF(AND('Mapa final'!$Y$45="Muy Alta",'Mapa final'!$AA$45="Catastrófico"),CONCATENATE("R6C",'Mapa final'!$O$45),"")</f>
        <v/>
      </c>
      <c r="AN11" s="97"/>
      <c r="AO11" s="402"/>
      <c r="AP11" s="403"/>
      <c r="AQ11" s="403"/>
      <c r="AR11" s="403"/>
      <c r="AS11" s="403"/>
      <c r="AT11" s="404"/>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91" ht="15" customHeight="1" x14ac:dyDescent="0.25">
      <c r="A12" s="97"/>
      <c r="B12" s="297"/>
      <c r="C12" s="297"/>
      <c r="D12" s="298"/>
      <c r="E12" s="396"/>
      <c r="F12" s="395"/>
      <c r="G12" s="395"/>
      <c r="H12" s="395"/>
      <c r="I12" s="411"/>
      <c r="J12" s="66" t="str">
        <f>IF(AND('Mapa final'!$Y$46="Muy Alta",'Mapa final'!$AA$46="Leve"),CONCATENATE("R7C",'Mapa final'!$O$46),"")</f>
        <v/>
      </c>
      <c r="K12" s="67" t="str">
        <f>IF(AND('Mapa final'!$Y$47="Muy Alta",'Mapa final'!$AA$47="Leve"),CONCATENATE("R7C",'Mapa final'!$O$47),"")</f>
        <v/>
      </c>
      <c r="L12" s="67" t="str">
        <f>IF(AND('Mapa final'!$Y$48="Muy Alta",'Mapa final'!$AA$48="Leve"),CONCATENATE("R7C",'Mapa final'!$O$48),"")</f>
        <v/>
      </c>
      <c r="M12" s="67" t="str">
        <f>IF(AND('Mapa final'!$Y$49="Muy Alta",'Mapa final'!$AA$49="Leve"),CONCATENATE("R7C",'Mapa final'!$O$49),"")</f>
        <v/>
      </c>
      <c r="N12" s="67" t="str">
        <f>IF(AND('Mapa final'!$Y$50="Muy Alta",'Mapa final'!$AA$50="Leve"),CONCATENATE("R7C",'Mapa final'!$O$50),"")</f>
        <v/>
      </c>
      <c r="O12" s="68" t="str">
        <f>IF(AND('Mapa final'!$Y$51="Muy Alta",'Mapa final'!$AA$51="Leve"),CONCATENATE("R7C",'Mapa final'!$O$51),"")</f>
        <v/>
      </c>
      <c r="P12" s="66" t="str">
        <f>IF(AND('Mapa final'!$Y$46="Muy Alta",'Mapa final'!$AA$46="Menor"),CONCATENATE("R7C",'Mapa final'!$O$46),"")</f>
        <v/>
      </c>
      <c r="Q12" s="67" t="str">
        <f>IF(AND('Mapa final'!$Y$47="Muy Alta",'Mapa final'!$AA$47="Menor"),CONCATENATE("R7C",'Mapa final'!$O$47),"")</f>
        <v/>
      </c>
      <c r="R12" s="67" t="str">
        <f>IF(AND('Mapa final'!$Y$48="Muy Alta",'Mapa final'!$AA$48="Menor"),CONCATENATE("R7C",'Mapa final'!$O$48),"")</f>
        <v/>
      </c>
      <c r="S12" s="67" t="str">
        <f>IF(AND('Mapa final'!$Y$49="Muy Alta",'Mapa final'!$AA$49="Menor"),CONCATENATE("R7C",'Mapa final'!$O$49),"")</f>
        <v/>
      </c>
      <c r="T12" s="67" t="str">
        <f>IF(AND('Mapa final'!$Y$50="Muy Alta",'Mapa final'!$AA$50="Menor"),CONCATENATE("R7C",'Mapa final'!$O$50),"")</f>
        <v/>
      </c>
      <c r="U12" s="68" t="str">
        <f>IF(AND('Mapa final'!$Y$51="Muy Alta",'Mapa final'!$AA$51="Menor"),CONCATENATE("R7C",'Mapa final'!$O$51),"")</f>
        <v/>
      </c>
      <c r="V12" s="66" t="str">
        <f>IF(AND('Mapa final'!$Y$46="Muy Alta",'Mapa final'!$AA$46="Moderado"),CONCATENATE("R7C",'Mapa final'!$O$46),"")</f>
        <v/>
      </c>
      <c r="W12" s="67" t="str">
        <f>IF(AND('Mapa final'!$Y$47="Muy Alta",'Mapa final'!$AA$47="Moderado"),CONCATENATE("R7C",'Mapa final'!$O$47),"")</f>
        <v/>
      </c>
      <c r="X12" s="67" t="str">
        <f>IF(AND('Mapa final'!$Y$48="Muy Alta",'Mapa final'!$AA$48="Moderado"),CONCATENATE("R7C",'Mapa final'!$O$48),"")</f>
        <v/>
      </c>
      <c r="Y12" s="67" t="str">
        <f>IF(AND('Mapa final'!$Y$49="Muy Alta",'Mapa final'!$AA$49="Moderado"),CONCATENATE("R7C",'Mapa final'!$O$49),"")</f>
        <v/>
      </c>
      <c r="Z12" s="67" t="str">
        <f>IF(AND('Mapa final'!$Y$50="Muy Alta",'Mapa final'!$AA$50="Moderado"),CONCATENATE("R7C",'Mapa final'!$O$50),"")</f>
        <v/>
      </c>
      <c r="AA12" s="68" t="str">
        <f>IF(AND('Mapa final'!$Y$51="Muy Alta",'Mapa final'!$AA$51="Moderado"),CONCATENATE("R7C",'Mapa final'!$O$51),"")</f>
        <v/>
      </c>
      <c r="AB12" s="66" t="str">
        <f>IF(AND('Mapa final'!$Y$46="Muy Alta",'Mapa final'!$AA$46="Mayor"),CONCATENATE("R7C",'Mapa final'!$O$46),"")</f>
        <v/>
      </c>
      <c r="AC12" s="67" t="str">
        <f>IF(AND('Mapa final'!$Y$47="Muy Alta",'Mapa final'!$AA$47="Mayor"),CONCATENATE("R7C",'Mapa final'!$O$47),"")</f>
        <v/>
      </c>
      <c r="AD12" s="67" t="str">
        <f>IF(AND('Mapa final'!$Y$48="Muy Alta",'Mapa final'!$AA$48="Mayor"),CONCATENATE("R7C",'Mapa final'!$O$48),"")</f>
        <v/>
      </c>
      <c r="AE12" s="67" t="str">
        <f>IF(AND('Mapa final'!$Y$49="Muy Alta",'Mapa final'!$AA$49="Mayor"),CONCATENATE("R7C",'Mapa final'!$O$49),"")</f>
        <v/>
      </c>
      <c r="AF12" s="67" t="str">
        <f>IF(AND('Mapa final'!$Y$50="Muy Alta",'Mapa final'!$AA$50="Mayor"),CONCATENATE("R7C",'Mapa final'!$O$50),"")</f>
        <v/>
      </c>
      <c r="AG12" s="68" t="str">
        <f>IF(AND('Mapa final'!$Y$51="Muy Alta",'Mapa final'!$AA$51="Mayor"),CONCATENATE("R7C",'Mapa final'!$O$51),"")</f>
        <v/>
      </c>
      <c r="AH12" s="69" t="str">
        <f>IF(AND('Mapa final'!$Y$46="Muy Alta",'Mapa final'!$AA$46="Catastrófico"),CONCATENATE("R7C",'Mapa final'!$O$46),"")</f>
        <v/>
      </c>
      <c r="AI12" s="70" t="str">
        <f>IF(AND('Mapa final'!$Y$47="Muy Alta",'Mapa final'!$AA$47="Catastrófico"),CONCATENATE("R7C",'Mapa final'!$O$47),"")</f>
        <v/>
      </c>
      <c r="AJ12" s="70" t="str">
        <f>IF(AND('Mapa final'!$Y$48="Muy Alta",'Mapa final'!$AA$48="Catastrófico"),CONCATENATE("R7C",'Mapa final'!$O$48),"")</f>
        <v/>
      </c>
      <c r="AK12" s="70" t="str">
        <f>IF(AND('Mapa final'!$Y$49="Muy Alta",'Mapa final'!$AA$49="Catastrófico"),CONCATENATE("R7C",'Mapa final'!$O$49),"")</f>
        <v/>
      </c>
      <c r="AL12" s="70" t="str">
        <f>IF(AND('Mapa final'!$Y$50="Muy Alta",'Mapa final'!$AA$50="Catastrófico"),CONCATENATE("R7C",'Mapa final'!$O$50),"")</f>
        <v/>
      </c>
      <c r="AM12" s="71" t="str">
        <f>IF(AND('Mapa final'!$Y$51="Muy Alta",'Mapa final'!$AA$51="Catastrófico"),CONCATENATE("R7C",'Mapa final'!$O$51),"")</f>
        <v/>
      </c>
      <c r="AN12" s="97"/>
      <c r="AO12" s="402"/>
      <c r="AP12" s="403"/>
      <c r="AQ12" s="403"/>
      <c r="AR12" s="403"/>
      <c r="AS12" s="403"/>
      <c r="AT12" s="404"/>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91" ht="15" customHeight="1" x14ac:dyDescent="0.25">
      <c r="A13" s="97"/>
      <c r="B13" s="297"/>
      <c r="C13" s="297"/>
      <c r="D13" s="298"/>
      <c r="E13" s="396"/>
      <c r="F13" s="395"/>
      <c r="G13" s="395"/>
      <c r="H13" s="395"/>
      <c r="I13" s="411"/>
      <c r="J13" s="66" t="str">
        <f>IF(AND('Mapa final'!$Y$52="Muy Alta",'Mapa final'!$AA$52="Leve"),CONCATENATE("R8C",'Mapa final'!$O$52),"")</f>
        <v/>
      </c>
      <c r="K13" s="67" t="str">
        <f>IF(AND('Mapa final'!$Y$53="Muy Alta",'Mapa final'!$AA$53="Leve"),CONCATENATE("R8C",'Mapa final'!$O$53),"")</f>
        <v/>
      </c>
      <c r="L13" s="67" t="str">
        <f>IF(AND('Mapa final'!$Y$54="Muy Alta",'Mapa final'!$AA$54="Leve"),CONCATENATE("R8C",'Mapa final'!$O$54),"")</f>
        <v/>
      </c>
      <c r="M13" s="67" t="str">
        <f>IF(AND('Mapa final'!$Y$55="Muy Alta",'Mapa final'!$AA$55="Leve"),CONCATENATE("R8C",'Mapa final'!$O$55),"")</f>
        <v/>
      </c>
      <c r="N13" s="67" t="str">
        <f>IF(AND('Mapa final'!$Y$56="Muy Alta",'Mapa final'!$AA$56="Leve"),CONCATENATE("R8C",'Mapa final'!$O$56),"")</f>
        <v/>
      </c>
      <c r="O13" s="68" t="str">
        <f>IF(AND('Mapa final'!$Y$57="Muy Alta",'Mapa final'!$AA$57="Leve"),CONCATENATE("R8C",'Mapa final'!$O$57),"")</f>
        <v/>
      </c>
      <c r="P13" s="66" t="str">
        <f>IF(AND('Mapa final'!$Y$52="Muy Alta",'Mapa final'!$AA$52="Menor"),CONCATENATE("R8C",'Mapa final'!$O$52),"")</f>
        <v/>
      </c>
      <c r="Q13" s="67" t="str">
        <f>IF(AND('Mapa final'!$Y$53="Muy Alta",'Mapa final'!$AA$53="Menor"),CONCATENATE("R8C",'Mapa final'!$O$53),"")</f>
        <v/>
      </c>
      <c r="R13" s="67" t="str">
        <f>IF(AND('Mapa final'!$Y$54="Muy Alta",'Mapa final'!$AA$54="Menor"),CONCATENATE("R8C",'Mapa final'!$O$54),"")</f>
        <v/>
      </c>
      <c r="S13" s="67" t="str">
        <f>IF(AND('Mapa final'!$Y$55="Muy Alta",'Mapa final'!$AA$55="Menor"),CONCATENATE("R8C",'Mapa final'!$O$55),"")</f>
        <v/>
      </c>
      <c r="T13" s="67" t="str">
        <f>IF(AND('Mapa final'!$Y$56="Muy Alta",'Mapa final'!$AA$56="Menor"),CONCATENATE("R8C",'Mapa final'!$O$56),"")</f>
        <v/>
      </c>
      <c r="U13" s="68" t="str">
        <f>IF(AND('Mapa final'!$Y$57="Muy Alta",'Mapa final'!$AA$57="Menor"),CONCATENATE("R8C",'Mapa final'!$O$57),"")</f>
        <v/>
      </c>
      <c r="V13" s="66" t="str">
        <f>IF(AND('Mapa final'!$Y$52="Muy Alta",'Mapa final'!$AA$52="Moderado"),CONCATENATE("R8C",'Mapa final'!$O$52),"")</f>
        <v/>
      </c>
      <c r="W13" s="67" t="str">
        <f>IF(AND('Mapa final'!$Y$53="Muy Alta",'Mapa final'!$AA$53="Moderado"),CONCATENATE("R8C",'Mapa final'!$O$53),"")</f>
        <v/>
      </c>
      <c r="X13" s="67" t="str">
        <f>IF(AND('Mapa final'!$Y$54="Muy Alta",'Mapa final'!$AA$54="Moderado"),CONCATENATE("R8C",'Mapa final'!$O$54),"")</f>
        <v/>
      </c>
      <c r="Y13" s="67" t="str">
        <f>IF(AND('Mapa final'!$Y$55="Muy Alta",'Mapa final'!$AA$55="Moderado"),CONCATENATE("R8C",'Mapa final'!$O$55),"")</f>
        <v/>
      </c>
      <c r="Z13" s="67" t="str">
        <f>IF(AND('Mapa final'!$Y$56="Muy Alta",'Mapa final'!$AA$56="Moderado"),CONCATENATE("R8C",'Mapa final'!$O$56),"")</f>
        <v/>
      </c>
      <c r="AA13" s="68" t="str">
        <f>IF(AND('Mapa final'!$Y$57="Muy Alta",'Mapa final'!$AA$57="Moderado"),CONCATENATE("R8C",'Mapa final'!$O$57),"")</f>
        <v/>
      </c>
      <c r="AB13" s="66" t="str">
        <f>IF(AND('Mapa final'!$Y$52="Muy Alta",'Mapa final'!$AA$52="Mayor"),CONCATENATE("R8C",'Mapa final'!$O$52),"")</f>
        <v/>
      </c>
      <c r="AC13" s="67" t="str">
        <f>IF(AND('Mapa final'!$Y$53="Muy Alta",'Mapa final'!$AA$53="Mayor"),CONCATENATE("R8C",'Mapa final'!$O$53),"")</f>
        <v/>
      </c>
      <c r="AD13" s="67" t="str">
        <f>IF(AND('Mapa final'!$Y$54="Muy Alta",'Mapa final'!$AA$54="Mayor"),CONCATENATE("R8C",'Mapa final'!$O$54),"")</f>
        <v/>
      </c>
      <c r="AE13" s="67" t="str">
        <f>IF(AND('Mapa final'!$Y$55="Muy Alta",'Mapa final'!$AA$55="Mayor"),CONCATENATE("R8C",'Mapa final'!$O$55),"")</f>
        <v/>
      </c>
      <c r="AF13" s="67" t="str">
        <f>IF(AND('Mapa final'!$Y$56="Muy Alta",'Mapa final'!$AA$56="Mayor"),CONCATENATE("R8C",'Mapa final'!$O$56),"")</f>
        <v/>
      </c>
      <c r="AG13" s="68" t="str">
        <f>IF(AND('Mapa final'!$Y$57="Muy Alta",'Mapa final'!$AA$57="Mayor"),CONCATENATE("R8C",'Mapa final'!$O$57),"")</f>
        <v/>
      </c>
      <c r="AH13" s="69" t="str">
        <f>IF(AND('Mapa final'!$Y$52="Muy Alta",'Mapa final'!$AA$52="Catastrófico"),CONCATENATE("R8C",'Mapa final'!$O$52),"")</f>
        <v/>
      </c>
      <c r="AI13" s="70" t="str">
        <f>IF(AND('Mapa final'!$Y$53="Muy Alta",'Mapa final'!$AA$53="Catastrófico"),CONCATENATE("R8C",'Mapa final'!$O$53),"")</f>
        <v/>
      </c>
      <c r="AJ13" s="70" t="str">
        <f>IF(AND('Mapa final'!$Y$54="Muy Alta",'Mapa final'!$AA$54="Catastrófico"),CONCATENATE("R8C",'Mapa final'!$O$54),"")</f>
        <v/>
      </c>
      <c r="AK13" s="70" t="str">
        <f>IF(AND('Mapa final'!$Y$55="Muy Alta",'Mapa final'!$AA$55="Catastrófico"),CONCATENATE("R8C",'Mapa final'!$O$55),"")</f>
        <v/>
      </c>
      <c r="AL13" s="70" t="str">
        <f>IF(AND('Mapa final'!$Y$56="Muy Alta",'Mapa final'!$AA$56="Catastrófico"),CONCATENATE("R8C",'Mapa final'!$O$56),"")</f>
        <v/>
      </c>
      <c r="AM13" s="71" t="str">
        <f>IF(AND('Mapa final'!$Y$57="Muy Alta",'Mapa final'!$AA$57="Catastrófico"),CONCATENATE("R8C",'Mapa final'!$O$57),"")</f>
        <v/>
      </c>
      <c r="AN13" s="97"/>
      <c r="AO13" s="402"/>
      <c r="AP13" s="403"/>
      <c r="AQ13" s="403"/>
      <c r="AR13" s="403"/>
      <c r="AS13" s="403"/>
      <c r="AT13" s="404"/>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91" ht="15" customHeight="1" x14ac:dyDescent="0.25">
      <c r="A14" s="97"/>
      <c r="B14" s="297"/>
      <c r="C14" s="297"/>
      <c r="D14" s="298"/>
      <c r="E14" s="396"/>
      <c r="F14" s="395"/>
      <c r="G14" s="395"/>
      <c r="H14" s="395"/>
      <c r="I14" s="411"/>
      <c r="J14" s="66" t="str">
        <f>IF(AND('Mapa final'!$Y$58="Muy Alta",'Mapa final'!$AA$58="Leve"),CONCATENATE("R9C",'Mapa final'!$O$58),"")</f>
        <v/>
      </c>
      <c r="K14" s="67" t="str">
        <f>IF(AND('Mapa final'!$Y$59="Muy Alta",'Mapa final'!$AA$59="Leve"),CONCATENATE("R9C",'Mapa final'!$O$59),"")</f>
        <v/>
      </c>
      <c r="L14" s="67" t="str">
        <f>IF(AND('Mapa final'!$Y$60="Muy Alta",'Mapa final'!$AA$60="Leve"),CONCATENATE("R9C",'Mapa final'!$O$60),"")</f>
        <v/>
      </c>
      <c r="M14" s="67" t="str">
        <f>IF(AND('Mapa final'!$Y$61="Muy Alta",'Mapa final'!$AA$61="Leve"),CONCATENATE("R9C",'Mapa final'!$O$61),"")</f>
        <v/>
      </c>
      <c r="N14" s="67" t="str">
        <f>IF(AND('Mapa final'!$Y$62="Muy Alta",'Mapa final'!$AA$62="Leve"),CONCATENATE("R9C",'Mapa final'!$O$62),"")</f>
        <v/>
      </c>
      <c r="O14" s="68" t="str">
        <f>IF(AND('Mapa final'!$Y$63="Muy Alta",'Mapa final'!$AA$63="Leve"),CONCATENATE("R9C",'Mapa final'!$O$63),"")</f>
        <v/>
      </c>
      <c r="P14" s="66" t="str">
        <f>IF(AND('Mapa final'!$Y$58="Muy Alta",'Mapa final'!$AA$58="Menor"),CONCATENATE("R9C",'Mapa final'!$O$58),"")</f>
        <v/>
      </c>
      <c r="Q14" s="67" t="str">
        <f>IF(AND('Mapa final'!$Y$59="Muy Alta",'Mapa final'!$AA$59="Menor"),CONCATENATE("R9C",'Mapa final'!$O$59),"")</f>
        <v/>
      </c>
      <c r="R14" s="67" t="str">
        <f>IF(AND('Mapa final'!$Y$60="Muy Alta",'Mapa final'!$AA$60="Menor"),CONCATENATE("R9C",'Mapa final'!$O$60),"")</f>
        <v/>
      </c>
      <c r="S14" s="67" t="str">
        <f>IF(AND('Mapa final'!$Y$61="Muy Alta",'Mapa final'!$AA$61="Menor"),CONCATENATE("R9C",'Mapa final'!$O$61),"")</f>
        <v/>
      </c>
      <c r="T14" s="67" t="str">
        <f>IF(AND('Mapa final'!$Y$62="Muy Alta",'Mapa final'!$AA$62="Menor"),CONCATENATE("R9C",'Mapa final'!$O$62),"")</f>
        <v/>
      </c>
      <c r="U14" s="68" t="str">
        <f>IF(AND('Mapa final'!$Y$63="Muy Alta",'Mapa final'!$AA$63="Menor"),CONCATENATE("R9C",'Mapa final'!$O$63),"")</f>
        <v/>
      </c>
      <c r="V14" s="66" t="str">
        <f>IF(AND('Mapa final'!$Y$58="Muy Alta",'Mapa final'!$AA$58="Moderado"),CONCATENATE("R9C",'Mapa final'!$O$58),"")</f>
        <v/>
      </c>
      <c r="W14" s="67" t="str">
        <f>IF(AND('Mapa final'!$Y$59="Muy Alta",'Mapa final'!$AA$59="Moderado"),CONCATENATE("R9C",'Mapa final'!$O$59),"")</f>
        <v/>
      </c>
      <c r="X14" s="67" t="str">
        <f>IF(AND('Mapa final'!$Y$60="Muy Alta",'Mapa final'!$AA$60="Moderado"),CONCATENATE("R9C",'Mapa final'!$O$60),"")</f>
        <v/>
      </c>
      <c r="Y14" s="67" t="str">
        <f>IF(AND('Mapa final'!$Y$61="Muy Alta",'Mapa final'!$AA$61="Moderado"),CONCATENATE("R9C",'Mapa final'!$O$61),"")</f>
        <v/>
      </c>
      <c r="Z14" s="67" t="str">
        <f>IF(AND('Mapa final'!$Y$62="Muy Alta",'Mapa final'!$AA$62="Moderado"),CONCATENATE("R9C",'Mapa final'!$O$62),"")</f>
        <v/>
      </c>
      <c r="AA14" s="68" t="str">
        <f>IF(AND('Mapa final'!$Y$63="Muy Alta",'Mapa final'!$AA$63="Moderado"),CONCATENATE("R9C",'Mapa final'!$O$63),"")</f>
        <v/>
      </c>
      <c r="AB14" s="66" t="str">
        <f>IF(AND('Mapa final'!$Y$58="Muy Alta",'Mapa final'!$AA$58="Mayor"),CONCATENATE("R9C",'Mapa final'!$O$58),"")</f>
        <v/>
      </c>
      <c r="AC14" s="67" t="str">
        <f>IF(AND('Mapa final'!$Y$59="Muy Alta",'Mapa final'!$AA$59="Mayor"),CONCATENATE("R9C",'Mapa final'!$O$59),"")</f>
        <v/>
      </c>
      <c r="AD14" s="67" t="str">
        <f>IF(AND('Mapa final'!$Y$60="Muy Alta",'Mapa final'!$AA$60="Mayor"),CONCATENATE("R9C",'Mapa final'!$O$60),"")</f>
        <v/>
      </c>
      <c r="AE14" s="67" t="str">
        <f>IF(AND('Mapa final'!$Y$61="Muy Alta",'Mapa final'!$AA$61="Mayor"),CONCATENATE("R9C",'Mapa final'!$O$61),"")</f>
        <v/>
      </c>
      <c r="AF14" s="67" t="str">
        <f>IF(AND('Mapa final'!$Y$62="Muy Alta",'Mapa final'!$AA$62="Mayor"),CONCATENATE("R9C",'Mapa final'!$O$62),"")</f>
        <v/>
      </c>
      <c r="AG14" s="68" t="str">
        <f>IF(AND('Mapa final'!$Y$63="Muy Alta",'Mapa final'!$AA$63="Mayor"),CONCATENATE("R9C",'Mapa final'!$O$63),"")</f>
        <v/>
      </c>
      <c r="AH14" s="69" t="str">
        <f>IF(AND('Mapa final'!$Y$58="Muy Alta",'Mapa final'!$AA$58="Catastrófico"),CONCATENATE("R9C",'Mapa final'!$O$58),"")</f>
        <v/>
      </c>
      <c r="AI14" s="70" t="str">
        <f>IF(AND('Mapa final'!$Y$59="Muy Alta",'Mapa final'!$AA$59="Catastrófico"),CONCATENATE("R9C",'Mapa final'!$O$59),"")</f>
        <v/>
      </c>
      <c r="AJ14" s="70" t="str">
        <f>IF(AND('Mapa final'!$Y$60="Muy Alta",'Mapa final'!$AA$60="Catastrófico"),CONCATENATE("R9C",'Mapa final'!$O$60),"")</f>
        <v/>
      </c>
      <c r="AK14" s="70" t="str">
        <f>IF(AND('Mapa final'!$Y$61="Muy Alta",'Mapa final'!$AA$61="Catastrófico"),CONCATENATE("R9C",'Mapa final'!$O$61),"")</f>
        <v/>
      </c>
      <c r="AL14" s="70" t="str">
        <f>IF(AND('Mapa final'!$Y$62="Muy Alta",'Mapa final'!$AA$62="Catastrófico"),CONCATENATE("R9C",'Mapa final'!$O$62),"")</f>
        <v/>
      </c>
      <c r="AM14" s="71" t="str">
        <f>IF(AND('Mapa final'!$Y$63="Muy Alta",'Mapa final'!$AA$63="Catastrófico"),CONCATENATE("R9C",'Mapa final'!$O$63),"")</f>
        <v/>
      </c>
      <c r="AN14" s="97"/>
      <c r="AO14" s="402"/>
      <c r="AP14" s="403"/>
      <c r="AQ14" s="403"/>
      <c r="AR14" s="403"/>
      <c r="AS14" s="403"/>
      <c r="AT14" s="404"/>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91" ht="15.75" customHeight="1" thickBot="1" x14ac:dyDescent="0.3">
      <c r="A15" s="97"/>
      <c r="B15" s="297"/>
      <c r="C15" s="297"/>
      <c r="D15" s="298"/>
      <c r="E15" s="397"/>
      <c r="F15" s="398"/>
      <c r="G15" s="398"/>
      <c r="H15" s="398"/>
      <c r="I15" s="412"/>
      <c r="J15" s="72" t="str">
        <f>IF(AND('Mapa final'!$Y$64="Muy Alta",'Mapa final'!$AA$64="Leve"),CONCATENATE("R10C",'Mapa final'!$O$64),"")</f>
        <v/>
      </c>
      <c r="K15" s="73" t="str">
        <f>IF(AND('Mapa final'!$Y$65="Muy Alta",'Mapa final'!$AA$65="Leve"),CONCATENATE("R10C",'Mapa final'!$O$65),"")</f>
        <v/>
      </c>
      <c r="L15" s="73" t="str">
        <f>IF(AND('Mapa final'!$Y$66="Muy Alta",'Mapa final'!$AA$66="Leve"),CONCATENATE("R10C",'Mapa final'!$O$66),"")</f>
        <v/>
      </c>
      <c r="M15" s="73" t="str">
        <f>IF(AND('Mapa final'!$Y$67="Muy Alta",'Mapa final'!$AA$67="Leve"),CONCATENATE("R10C",'Mapa final'!$O$67),"")</f>
        <v/>
      </c>
      <c r="N15" s="73" t="str">
        <f>IF(AND('Mapa final'!$Y$68="Muy Alta",'Mapa final'!$AA$68="Leve"),CONCATENATE("R10C",'Mapa final'!$O$68),"")</f>
        <v/>
      </c>
      <c r="O15" s="74" t="str">
        <f>IF(AND('Mapa final'!$Y$69="Muy Alta",'Mapa final'!$AA$69="Leve"),CONCATENATE("R10C",'Mapa final'!$O$69),"")</f>
        <v/>
      </c>
      <c r="P15" s="66" t="str">
        <f>IF(AND('Mapa final'!$Y$64="Muy Alta",'Mapa final'!$AA$64="Menor"),CONCATENATE("R10C",'Mapa final'!$O$64),"")</f>
        <v/>
      </c>
      <c r="Q15" s="67" t="str">
        <f>IF(AND('Mapa final'!$Y$65="Muy Alta",'Mapa final'!$AA$65="Menor"),CONCATENATE("R10C",'Mapa final'!$O$65),"")</f>
        <v/>
      </c>
      <c r="R15" s="67" t="str">
        <f>IF(AND('Mapa final'!$Y$66="Muy Alta",'Mapa final'!$AA$66="Menor"),CONCATENATE("R10C",'Mapa final'!$O$66),"")</f>
        <v/>
      </c>
      <c r="S15" s="67" t="str">
        <f>IF(AND('Mapa final'!$Y$67="Muy Alta",'Mapa final'!$AA$67="Menor"),CONCATENATE("R10C",'Mapa final'!$O$67),"")</f>
        <v/>
      </c>
      <c r="T15" s="67" t="str">
        <f>IF(AND('Mapa final'!$Y$68="Muy Alta",'Mapa final'!$AA$68="Menor"),CONCATENATE("R10C",'Mapa final'!$O$68),"")</f>
        <v/>
      </c>
      <c r="U15" s="68" t="str">
        <f>IF(AND('Mapa final'!$Y$69="Muy Alta",'Mapa final'!$AA$69="Menor"),CONCATENATE("R10C",'Mapa final'!$O$69),"")</f>
        <v/>
      </c>
      <c r="V15" s="72" t="str">
        <f>IF(AND('Mapa final'!$Y$64="Muy Alta",'Mapa final'!$AA$64="Moderado"),CONCATENATE("R10C",'Mapa final'!$O$64),"")</f>
        <v/>
      </c>
      <c r="W15" s="73" t="str">
        <f>IF(AND('Mapa final'!$Y$65="Muy Alta",'Mapa final'!$AA$65="Moderado"),CONCATENATE("R10C",'Mapa final'!$O$65),"")</f>
        <v/>
      </c>
      <c r="X15" s="73" t="str">
        <f>IF(AND('Mapa final'!$Y$66="Muy Alta",'Mapa final'!$AA$66="Moderado"),CONCATENATE("R10C",'Mapa final'!$O$66),"")</f>
        <v/>
      </c>
      <c r="Y15" s="73" t="str">
        <f>IF(AND('Mapa final'!$Y$67="Muy Alta",'Mapa final'!$AA$67="Moderado"),CONCATENATE("R10C",'Mapa final'!$O$67),"")</f>
        <v/>
      </c>
      <c r="Z15" s="73" t="str">
        <f>IF(AND('Mapa final'!$Y$68="Muy Alta",'Mapa final'!$AA$68="Moderado"),CONCATENATE("R10C",'Mapa final'!$O$68),"")</f>
        <v/>
      </c>
      <c r="AA15" s="74" t="str">
        <f>IF(AND('Mapa final'!$Y$69="Muy Alta",'Mapa final'!$AA$69="Moderado"),CONCATENATE("R10C",'Mapa final'!$O$69),"")</f>
        <v/>
      </c>
      <c r="AB15" s="66" t="str">
        <f>IF(AND('Mapa final'!$Y$64="Muy Alta",'Mapa final'!$AA$64="Mayor"),CONCATENATE("R10C",'Mapa final'!$O$64),"")</f>
        <v/>
      </c>
      <c r="AC15" s="67" t="str">
        <f>IF(AND('Mapa final'!$Y$65="Muy Alta",'Mapa final'!$AA$65="Mayor"),CONCATENATE("R10C",'Mapa final'!$O$65),"")</f>
        <v/>
      </c>
      <c r="AD15" s="67" t="str">
        <f>IF(AND('Mapa final'!$Y$66="Muy Alta",'Mapa final'!$AA$66="Mayor"),CONCATENATE("R10C",'Mapa final'!$O$66),"")</f>
        <v/>
      </c>
      <c r="AE15" s="67" t="str">
        <f>IF(AND('Mapa final'!$Y$67="Muy Alta",'Mapa final'!$AA$67="Mayor"),CONCATENATE("R10C",'Mapa final'!$O$67),"")</f>
        <v/>
      </c>
      <c r="AF15" s="67" t="str">
        <f>IF(AND('Mapa final'!$Y$68="Muy Alta",'Mapa final'!$AA$68="Mayor"),CONCATENATE("R10C",'Mapa final'!$O$68),"")</f>
        <v/>
      </c>
      <c r="AG15" s="68" t="str">
        <f>IF(AND('Mapa final'!$Y$69="Muy Alta",'Mapa final'!$AA$69="Mayor"),CONCATENATE("R10C",'Mapa final'!$O$69),"")</f>
        <v/>
      </c>
      <c r="AH15" s="75" t="str">
        <f>IF(AND('Mapa final'!$Y$64="Muy Alta",'Mapa final'!$AA$64="Catastrófico"),CONCATENATE("R10C",'Mapa final'!$O$64),"")</f>
        <v/>
      </c>
      <c r="AI15" s="76" t="str">
        <f>IF(AND('Mapa final'!$Y$65="Muy Alta",'Mapa final'!$AA$65="Catastrófico"),CONCATENATE("R10C",'Mapa final'!$O$65),"")</f>
        <v/>
      </c>
      <c r="AJ15" s="76" t="str">
        <f>IF(AND('Mapa final'!$Y$66="Muy Alta",'Mapa final'!$AA$66="Catastrófico"),CONCATENATE("R10C",'Mapa final'!$O$66),"")</f>
        <v/>
      </c>
      <c r="AK15" s="76" t="str">
        <f>IF(AND('Mapa final'!$Y$67="Muy Alta",'Mapa final'!$AA$67="Catastrófico"),CONCATENATE("R10C",'Mapa final'!$O$67),"")</f>
        <v/>
      </c>
      <c r="AL15" s="76" t="str">
        <f>IF(AND('Mapa final'!$Y$68="Muy Alta",'Mapa final'!$AA$68="Catastrófico"),CONCATENATE("R10C",'Mapa final'!$O$68),"")</f>
        <v/>
      </c>
      <c r="AM15" s="77" t="str">
        <f>IF(AND('Mapa final'!$Y$69="Muy Alta",'Mapa final'!$AA$69="Catastrófico"),CONCATENATE("R10C",'Mapa final'!$O$69),"")</f>
        <v/>
      </c>
      <c r="AN15" s="97"/>
      <c r="AO15" s="405"/>
      <c r="AP15" s="406"/>
      <c r="AQ15" s="406"/>
      <c r="AR15" s="406"/>
      <c r="AS15" s="406"/>
      <c r="AT15" s="40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row r="16" spans="1:91" ht="15" customHeight="1" x14ac:dyDescent="0.25">
      <c r="A16" s="97"/>
      <c r="B16" s="297"/>
      <c r="C16" s="297"/>
      <c r="D16" s="298"/>
      <c r="E16" s="392" t="s">
        <v>115</v>
      </c>
      <c r="F16" s="393"/>
      <c r="G16" s="393"/>
      <c r="H16" s="393"/>
      <c r="I16" s="393"/>
      <c r="J16" s="78" t="str">
        <f>IF(AND('Mapa final'!$Y$10="Alta",'Mapa final'!$AA$10="Leve"),CONCATENATE("R1C",'Mapa final'!$O$10),"")</f>
        <v/>
      </c>
      <c r="K16" s="79" t="str">
        <f>IF(AND('Mapa final'!$Y$11="Alta",'Mapa final'!$AA$11="Leve"),CONCATENATE("R1C",'Mapa final'!$O$11),"")</f>
        <v/>
      </c>
      <c r="L16" s="79" t="str">
        <f>IF(AND('Mapa final'!$Y$12="Alta",'Mapa final'!$AA$12="Leve"),CONCATENATE("R1C",'Mapa final'!$O$12),"")</f>
        <v/>
      </c>
      <c r="M16" s="79" t="str">
        <f>IF(AND('Mapa final'!$Y$13="Alta",'Mapa final'!$AA$13="Leve"),CONCATENATE("R1C",'Mapa final'!$O$13),"")</f>
        <v/>
      </c>
      <c r="N16" s="79" t="str">
        <f>IF(AND('Mapa final'!$Y$14="Alta",'Mapa final'!$AA$14="Leve"),CONCATENATE("R1C",'Mapa final'!$O$14),"")</f>
        <v/>
      </c>
      <c r="O16" s="80" t="str">
        <f>IF(AND('Mapa final'!$Y$15="Alta",'Mapa final'!$AA$15="Leve"),CONCATENATE("R1C",'Mapa final'!$O$15),"")</f>
        <v/>
      </c>
      <c r="P16" s="78" t="str">
        <f>IF(AND('Mapa final'!$Y$10="Alta",'Mapa final'!$AA$10="Menor"),CONCATENATE("R1C",'Mapa final'!$O$10),"")</f>
        <v/>
      </c>
      <c r="Q16" s="79" t="str">
        <f>IF(AND('Mapa final'!$Y$11="Alta",'Mapa final'!$AA$11="Menor"),CONCATENATE("R1C",'Mapa final'!$O$11),"")</f>
        <v/>
      </c>
      <c r="R16" s="79" t="str">
        <f>IF(AND('Mapa final'!$Y$12="Alta",'Mapa final'!$AA$12="Menor"),CONCATENATE("R1C",'Mapa final'!$O$12),"")</f>
        <v/>
      </c>
      <c r="S16" s="79" t="str">
        <f>IF(AND('Mapa final'!$Y$13="Alta",'Mapa final'!$AA$13="Menor"),CONCATENATE("R1C",'Mapa final'!$O$13),"")</f>
        <v/>
      </c>
      <c r="T16" s="79" t="str">
        <f>IF(AND('Mapa final'!$Y$14="Alta",'Mapa final'!$AA$14="Menor"),CONCATENATE("R1C",'Mapa final'!$O$14),"")</f>
        <v/>
      </c>
      <c r="U16" s="80" t="str">
        <f>IF(AND('Mapa final'!$Y$15="Alta",'Mapa final'!$AA$15="Menor"),CONCATENATE("R1C",'Mapa final'!$O$15),"")</f>
        <v/>
      </c>
      <c r="V16" s="60" t="str">
        <f>IF(AND('Mapa final'!$Y$10="Alta",'Mapa final'!$AA$10="Moderado"),CONCATENATE("R1C",'Mapa final'!$O$10),"")</f>
        <v/>
      </c>
      <c r="W16" s="61" t="str">
        <f>IF(AND('Mapa final'!$Y$11="Alta",'Mapa final'!$AA$11="Moderado"),CONCATENATE("R1C",'Mapa final'!$O$11),"")</f>
        <v/>
      </c>
      <c r="X16" s="61" t="str">
        <f>IF(AND('Mapa final'!$Y$12="Alta",'Mapa final'!$AA$12="Moderado"),CONCATENATE("R1C",'Mapa final'!$O$12),"")</f>
        <v/>
      </c>
      <c r="Y16" s="61" t="str">
        <f>IF(AND('Mapa final'!$Y$13="Alta",'Mapa final'!$AA$13="Moderado"),CONCATENATE("R1C",'Mapa final'!$O$13),"")</f>
        <v/>
      </c>
      <c r="Z16" s="61" t="str">
        <f>IF(AND('Mapa final'!$Y$14="Alta",'Mapa final'!$AA$14="Moderado"),CONCATENATE("R1C",'Mapa final'!$O$14),"")</f>
        <v/>
      </c>
      <c r="AA16" s="62" t="str">
        <f>IF(AND('Mapa final'!$Y$15="Alta",'Mapa final'!$AA$15="Moderado"),CONCATENATE("R1C",'Mapa final'!$O$15),"")</f>
        <v/>
      </c>
      <c r="AB16" s="60" t="str">
        <f>IF(AND('Mapa final'!$Y$10="Alta",'Mapa final'!$AA$10="Mayor"),CONCATENATE("R1C",'Mapa final'!$O$10),"")</f>
        <v/>
      </c>
      <c r="AC16" s="61" t="str">
        <f>IF(AND('Mapa final'!$Y$11="Alta",'Mapa final'!$AA$11="Mayor"),CONCATENATE("R1C",'Mapa final'!$O$11),"")</f>
        <v/>
      </c>
      <c r="AD16" s="61" t="str">
        <f>IF(AND('Mapa final'!$Y$12="Alta",'Mapa final'!$AA$12="Mayor"),CONCATENATE("R1C",'Mapa final'!$O$12),"")</f>
        <v/>
      </c>
      <c r="AE16" s="61" t="str">
        <f>IF(AND('Mapa final'!$Y$13="Alta",'Mapa final'!$AA$13="Mayor"),CONCATENATE("R1C",'Mapa final'!$O$13),"")</f>
        <v/>
      </c>
      <c r="AF16" s="61" t="str">
        <f>IF(AND('Mapa final'!$Y$14="Alta",'Mapa final'!$AA$14="Mayor"),CONCATENATE("R1C",'Mapa final'!$O$14),"")</f>
        <v/>
      </c>
      <c r="AG16" s="62" t="str">
        <f>IF(AND('Mapa final'!$Y$15="Alta",'Mapa final'!$AA$15="Mayor"),CONCATENATE("R1C",'Mapa final'!$O$15),"")</f>
        <v/>
      </c>
      <c r="AH16" s="63" t="str">
        <f>IF(AND('Mapa final'!$Y$10="Alta",'Mapa final'!$AA$10="Catastrófico"),CONCATENATE("R1C",'Mapa final'!$O$10),"")</f>
        <v/>
      </c>
      <c r="AI16" s="64" t="str">
        <f>IF(AND('Mapa final'!$Y$11="Alta",'Mapa final'!$AA$11="Catastrófico"),CONCATENATE("R1C",'Mapa final'!$O$11),"")</f>
        <v/>
      </c>
      <c r="AJ16" s="64" t="str">
        <f>IF(AND('Mapa final'!$Y$12="Alta",'Mapa final'!$AA$12="Catastrófico"),CONCATENATE("R1C",'Mapa final'!$O$12),"")</f>
        <v/>
      </c>
      <c r="AK16" s="64" t="str">
        <f>IF(AND('Mapa final'!$Y$13="Alta",'Mapa final'!$AA$13="Catastrófico"),CONCATENATE("R1C",'Mapa final'!$O$13),"")</f>
        <v/>
      </c>
      <c r="AL16" s="64" t="str">
        <f>IF(AND('Mapa final'!$Y$14="Alta",'Mapa final'!$AA$14="Catastrófico"),CONCATENATE("R1C",'Mapa final'!$O$14),"")</f>
        <v/>
      </c>
      <c r="AM16" s="65" t="str">
        <f>IF(AND('Mapa final'!$Y$15="Alta",'Mapa final'!$AA$15="Catastrófico"),CONCATENATE("R1C",'Mapa final'!$O$15),"")</f>
        <v/>
      </c>
      <c r="AN16" s="97"/>
      <c r="AO16" s="383" t="s">
        <v>80</v>
      </c>
      <c r="AP16" s="384"/>
      <c r="AQ16" s="384"/>
      <c r="AR16" s="384"/>
      <c r="AS16" s="384"/>
      <c r="AT16" s="385"/>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row>
    <row r="17" spans="1:76" ht="15" customHeight="1" x14ac:dyDescent="0.25">
      <c r="A17" s="97"/>
      <c r="B17" s="297"/>
      <c r="C17" s="297"/>
      <c r="D17" s="298"/>
      <c r="E17" s="394"/>
      <c r="F17" s="395"/>
      <c r="G17" s="395"/>
      <c r="H17" s="395"/>
      <c r="I17" s="395"/>
      <c r="J17" s="81" t="str">
        <f>IF(AND('Mapa final'!$Y$16="Alta",'Mapa final'!$AA$16="Leve"),CONCATENATE("R2C",'Mapa final'!$O$16),"")</f>
        <v/>
      </c>
      <c r="K17" s="82" t="str">
        <f>IF(AND('Mapa final'!$Y$17="Alta",'Mapa final'!$AA$17="Leve"),CONCATENATE("R2C",'Mapa final'!$O$17),"")</f>
        <v/>
      </c>
      <c r="L17" s="82" t="str">
        <f>IF(AND('Mapa final'!$Y$18="Alta",'Mapa final'!$AA$18="Leve"),CONCATENATE("R2C",'Mapa final'!$O$18),"")</f>
        <v/>
      </c>
      <c r="M17" s="82" t="str">
        <f>IF(AND('Mapa final'!$Y$19="Alta",'Mapa final'!$AA$19="Leve"),CONCATENATE("R2C",'Mapa final'!$O$19),"")</f>
        <v/>
      </c>
      <c r="N17" s="82" t="str">
        <f>IF(AND('Mapa final'!$Y$20="Alta",'Mapa final'!$AA$20="Leve"),CONCATENATE("R2C",'Mapa final'!$O$20),"")</f>
        <v/>
      </c>
      <c r="O17" s="83" t="str">
        <f>IF(AND('Mapa final'!$Y$21="Alta",'Mapa final'!$AA$21="Leve"),CONCATENATE("R2C",'Mapa final'!$O$21),"")</f>
        <v/>
      </c>
      <c r="P17" s="81" t="str">
        <f>IF(AND('Mapa final'!$Y$16="Alta",'Mapa final'!$AA$16="Menor"),CONCATENATE("R2C",'Mapa final'!$O$16),"")</f>
        <v/>
      </c>
      <c r="Q17" s="82" t="str">
        <f>IF(AND('Mapa final'!$Y$17="Alta",'Mapa final'!$AA$17="Menor"),CONCATENATE("R2C",'Mapa final'!$O$17),"")</f>
        <v/>
      </c>
      <c r="R17" s="82" t="str">
        <f>IF(AND('Mapa final'!$Y$18="Alta",'Mapa final'!$AA$18="Menor"),CONCATENATE("R2C",'Mapa final'!$O$18),"")</f>
        <v/>
      </c>
      <c r="S17" s="82" t="str">
        <f>IF(AND('Mapa final'!$Y$19="Alta",'Mapa final'!$AA$19="Menor"),CONCATENATE("R2C",'Mapa final'!$O$19),"")</f>
        <v/>
      </c>
      <c r="T17" s="82" t="str">
        <f>IF(AND('Mapa final'!$Y$20="Alta",'Mapa final'!$AA$20="Menor"),CONCATENATE("R2C",'Mapa final'!$O$20),"")</f>
        <v/>
      </c>
      <c r="U17" s="83" t="str">
        <f>IF(AND('Mapa final'!$Y$21="Alta",'Mapa final'!$AA$21="Menor"),CONCATENATE("R2C",'Mapa final'!$O$21),"")</f>
        <v/>
      </c>
      <c r="V17" s="66" t="str">
        <f>IF(AND('Mapa final'!$Y$16="Alta",'Mapa final'!$AA$16="Moderado"),CONCATENATE("R2C",'Mapa final'!$O$16),"")</f>
        <v/>
      </c>
      <c r="W17" s="67" t="str">
        <f>IF(AND('Mapa final'!$Y$17="Alta",'Mapa final'!$AA$17="Moderado"),CONCATENATE("R2C",'Mapa final'!$O$17),"")</f>
        <v/>
      </c>
      <c r="X17" s="67" t="str">
        <f>IF(AND('Mapa final'!$Y$18="Alta",'Mapa final'!$AA$18="Moderado"),CONCATENATE("R2C",'Mapa final'!$O$18),"")</f>
        <v/>
      </c>
      <c r="Y17" s="67" t="str">
        <f>IF(AND('Mapa final'!$Y$19="Alta",'Mapa final'!$AA$19="Moderado"),CONCATENATE("R2C",'Mapa final'!$O$19),"")</f>
        <v/>
      </c>
      <c r="Z17" s="67" t="str">
        <f>IF(AND('Mapa final'!$Y$20="Alta",'Mapa final'!$AA$20="Moderado"),CONCATENATE("R2C",'Mapa final'!$O$20),"")</f>
        <v/>
      </c>
      <c r="AA17" s="68" t="str">
        <f>IF(AND('Mapa final'!$Y$21="Alta",'Mapa final'!$AA$21="Moderado"),CONCATENATE("R2C",'Mapa final'!$O$21),"")</f>
        <v/>
      </c>
      <c r="AB17" s="66" t="str">
        <f>IF(AND('Mapa final'!$Y$16="Alta",'Mapa final'!$AA$16="Mayor"),CONCATENATE("R2C",'Mapa final'!$O$16),"")</f>
        <v/>
      </c>
      <c r="AC17" s="67" t="str">
        <f>IF(AND('Mapa final'!$Y$17="Alta",'Mapa final'!$AA$17="Mayor"),CONCATENATE("R2C",'Mapa final'!$O$17),"")</f>
        <v/>
      </c>
      <c r="AD17" s="67" t="str">
        <f>IF(AND('Mapa final'!$Y$18="Alta",'Mapa final'!$AA$18="Mayor"),CONCATENATE("R2C",'Mapa final'!$O$18),"")</f>
        <v/>
      </c>
      <c r="AE17" s="67" t="str">
        <f>IF(AND('Mapa final'!$Y$19="Alta",'Mapa final'!$AA$19="Mayor"),CONCATENATE("R2C",'Mapa final'!$O$19),"")</f>
        <v/>
      </c>
      <c r="AF17" s="67" t="str">
        <f>IF(AND('Mapa final'!$Y$20="Alta",'Mapa final'!$AA$20="Mayor"),CONCATENATE("R2C",'Mapa final'!$O$20),"")</f>
        <v/>
      </c>
      <c r="AG17" s="68" t="str">
        <f>IF(AND('Mapa final'!$Y$21="Alta",'Mapa final'!$AA$21="Mayor"),CONCATENATE("R2C",'Mapa final'!$O$21),"")</f>
        <v/>
      </c>
      <c r="AH17" s="69" t="str">
        <f>IF(AND('Mapa final'!$Y$16="Alta",'Mapa final'!$AA$16="Catastrófico"),CONCATENATE("R2C",'Mapa final'!$O$16),"")</f>
        <v/>
      </c>
      <c r="AI17" s="70" t="str">
        <f>IF(AND('Mapa final'!$Y$17="Alta",'Mapa final'!$AA$17="Catastrófico"),CONCATENATE("R2C",'Mapa final'!$O$17),"")</f>
        <v/>
      </c>
      <c r="AJ17" s="70" t="str">
        <f>IF(AND('Mapa final'!$Y$18="Alta",'Mapa final'!$AA$18="Catastrófico"),CONCATENATE("R2C",'Mapa final'!$O$18),"")</f>
        <v/>
      </c>
      <c r="AK17" s="70" t="str">
        <f>IF(AND('Mapa final'!$Y$19="Alta",'Mapa final'!$AA$19="Catastrófico"),CONCATENATE("R2C",'Mapa final'!$O$19),"")</f>
        <v/>
      </c>
      <c r="AL17" s="70" t="str">
        <f>IF(AND('Mapa final'!$Y$20="Alta",'Mapa final'!$AA$20="Catastrófico"),CONCATENATE("R2C",'Mapa final'!$O$20),"")</f>
        <v/>
      </c>
      <c r="AM17" s="71" t="str">
        <f>IF(AND('Mapa final'!$Y$21="Alta",'Mapa final'!$AA$21="Catastrófico"),CONCATENATE("R2C",'Mapa final'!$O$21),"")</f>
        <v/>
      </c>
      <c r="AN17" s="97"/>
      <c r="AO17" s="386"/>
      <c r="AP17" s="387"/>
      <c r="AQ17" s="387"/>
      <c r="AR17" s="387"/>
      <c r="AS17" s="387"/>
      <c r="AT17" s="388"/>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ht="15" customHeight="1" x14ac:dyDescent="0.25">
      <c r="A18" s="97"/>
      <c r="B18" s="297"/>
      <c r="C18" s="297"/>
      <c r="D18" s="298"/>
      <c r="E18" s="396"/>
      <c r="F18" s="395"/>
      <c r="G18" s="395"/>
      <c r="H18" s="395"/>
      <c r="I18" s="395"/>
      <c r="J18" s="81" t="str">
        <f>IF(AND('Mapa final'!$Y$22="Alta",'Mapa final'!$AA$22="Leve"),CONCATENATE("R3C",'Mapa final'!$O$22),"")</f>
        <v/>
      </c>
      <c r="K18" s="82" t="str">
        <f>IF(AND('Mapa final'!$Y$23="Alta",'Mapa final'!$AA$23="Leve"),CONCATENATE("R3C",'Mapa final'!$O$23),"")</f>
        <v/>
      </c>
      <c r="L18" s="82" t="str">
        <f>IF(AND('Mapa final'!$Y$24="Alta",'Mapa final'!$AA$24="Leve"),CONCATENATE("R3C",'Mapa final'!$O$24),"")</f>
        <v/>
      </c>
      <c r="M18" s="82" t="str">
        <f>IF(AND('Mapa final'!$Y$25="Alta",'Mapa final'!$AA$25="Leve"),CONCATENATE("R3C",'Mapa final'!$O$25),"")</f>
        <v/>
      </c>
      <c r="N18" s="82" t="str">
        <f>IF(AND('Mapa final'!$Y$26="Alta",'Mapa final'!$AA$26="Leve"),CONCATENATE("R3C",'Mapa final'!$O$26),"")</f>
        <v/>
      </c>
      <c r="O18" s="83" t="str">
        <f>IF(AND('Mapa final'!$Y$27="Alta",'Mapa final'!$AA$27="Leve"),CONCATENATE("R3C",'Mapa final'!$O$27),"")</f>
        <v/>
      </c>
      <c r="P18" s="81" t="str">
        <f>IF(AND('Mapa final'!$Y$22="Alta",'Mapa final'!$AA$22="Menor"),CONCATENATE("R3C",'Mapa final'!$O$22),"")</f>
        <v/>
      </c>
      <c r="Q18" s="82" t="str">
        <f>IF(AND('Mapa final'!$Y$23="Alta",'Mapa final'!$AA$23="Menor"),CONCATENATE("R3C",'Mapa final'!$O$23),"")</f>
        <v/>
      </c>
      <c r="R18" s="82" t="str">
        <f>IF(AND('Mapa final'!$Y$24="Alta",'Mapa final'!$AA$24="Menor"),CONCATENATE("R3C",'Mapa final'!$O$24),"")</f>
        <v/>
      </c>
      <c r="S18" s="82" t="str">
        <f>IF(AND('Mapa final'!$Y$25="Alta",'Mapa final'!$AA$25="Menor"),CONCATENATE("R3C",'Mapa final'!$O$25),"")</f>
        <v/>
      </c>
      <c r="T18" s="82" t="str">
        <f>IF(AND('Mapa final'!$Y$26="Alta",'Mapa final'!$AA$26="Menor"),CONCATENATE("R3C",'Mapa final'!$O$26),"")</f>
        <v/>
      </c>
      <c r="U18" s="83" t="str">
        <f>IF(AND('Mapa final'!$Y$27="Alta",'Mapa final'!$AA$27="Menor"),CONCATENATE("R3C",'Mapa final'!$O$27),"")</f>
        <v/>
      </c>
      <c r="V18" s="66" t="str">
        <f>IF(AND('Mapa final'!$Y$22="Alta",'Mapa final'!$AA$22="Moderado"),CONCATENATE("R3C",'Mapa final'!$O$22),"")</f>
        <v/>
      </c>
      <c r="W18" s="67" t="str">
        <f>IF(AND('Mapa final'!$Y$23="Alta",'Mapa final'!$AA$23="Moderado"),CONCATENATE("R3C",'Mapa final'!$O$23),"")</f>
        <v/>
      </c>
      <c r="X18" s="67" t="str">
        <f>IF(AND('Mapa final'!$Y$24="Alta",'Mapa final'!$AA$24="Moderado"),CONCATENATE("R3C",'Mapa final'!$O$24),"")</f>
        <v/>
      </c>
      <c r="Y18" s="67" t="str">
        <f>IF(AND('Mapa final'!$Y$25="Alta",'Mapa final'!$AA$25="Moderado"),CONCATENATE("R3C",'Mapa final'!$O$25),"")</f>
        <v/>
      </c>
      <c r="Z18" s="67" t="str">
        <f>IF(AND('Mapa final'!$Y$26="Alta",'Mapa final'!$AA$26="Moderado"),CONCATENATE("R3C",'Mapa final'!$O$26),"")</f>
        <v/>
      </c>
      <c r="AA18" s="68" t="str">
        <f>IF(AND('Mapa final'!$Y$27="Alta",'Mapa final'!$AA$27="Moderado"),CONCATENATE("R3C",'Mapa final'!$O$27),"")</f>
        <v/>
      </c>
      <c r="AB18" s="66" t="str">
        <f>IF(AND('Mapa final'!$Y$22="Alta",'Mapa final'!$AA$22="Mayor"),CONCATENATE("R3C",'Mapa final'!$O$22),"")</f>
        <v/>
      </c>
      <c r="AC18" s="67" t="str">
        <f>IF(AND('Mapa final'!$Y$23="Alta",'Mapa final'!$AA$23="Mayor"),CONCATENATE("R3C",'Mapa final'!$O$23),"")</f>
        <v/>
      </c>
      <c r="AD18" s="67" t="str">
        <f>IF(AND('Mapa final'!$Y$24="Alta",'Mapa final'!$AA$24="Mayor"),CONCATENATE("R3C",'Mapa final'!$O$24),"")</f>
        <v/>
      </c>
      <c r="AE18" s="67" t="str">
        <f>IF(AND('Mapa final'!$Y$25="Alta",'Mapa final'!$AA$25="Mayor"),CONCATENATE("R3C",'Mapa final'!$O$25),"")</f>
        <v/>
      </c>
      <c r="AF18" s="67" t="str">
        <f>IF(AND('Mapa final'!$Y$26="Alta",'Mapa final'!$AA$26="Mayor"),CONCATENATE("R3C",'Mapa final'!$O$26),"")</f>
        <v/>
      </c>
      <c r="AG18" s="68" t="str">
        <f>IF(AND('Mapa final'!$Y$27="Alta",'Mapa final'!$AA$27="Mayor"),CONCATENATE("R3C",'Mapa final'!$O$27),"")</f>
        <v/>
      </c>
      <c r="AH18" s="69" t="str">
        <f>IF(AND('Mapa final'!$Y$22="Alta",'Mapa final'!$AA$22="Catastrófico"),CONCATENATE("R3C",'Mapa final'!$O$22),"")</f>
        <v/>
      </c>
      <c r="AI18" s="70" t="str">
        <f>IF(AND('Mapa final'!$Y$23="Alta",'Mapa final'!$AA$23="Catastrófico"),CONCATENATE("R3C",'Mapa final'!$O$23),"")</f>
        <v/>
      </c>
      <c r="AJ18" s="70" t="str">
        <f>IF(AND('Mapa final'!$Y$24="Alta",'Mapa final'!$AA$24="Catastrófico"),CONCATENATE("R3C",'Mapa final'!$O$24),"")</f>
        <v/>
      </c>
      <c r="AK18" s="70" t="str">
        <f>IF(AND('Mapa final'!$Y$25="Alta",'Mapa final'!$AA$25="Catastrófico"),CONCATENATE("R3C",'Mapa final'!$O$25),"")</f>
        <v/>
      </c>
      <c r="AL18" s="70" t="str">
        <f>IF(AND('Mapa final'!$Y$26="Alta",'Mapa final'!$AA$26="Catastrófico"),CONCATENATE("R3C",'Mapa final'!$O$26),"")</f>
        <v/>
      </c>
      <c r="AM18" s="71" t="str">
        <f>IF(AND('Mapa final'!$Y$27="Alta",'Mapa final'!$AA$27="Catastrófico"),CONCATENATE("R3C",'Mapa final'!$O$27),"")</f>
        <v/>
      </c>
      <c r="AN18" s="97"/>
      <c r="AO18" s="386"/>
      <c r="AP18" s="387"/>
      <c r="AQ18" s="387"/>
      <c r="AR18" s="387"/>
      <c r="AS18" s="387"/>
      <c r="AT18" s="388"/>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row>
    <row r="19" spans="1:76" ht="15" customHeight="1" x14ac:dyDescent="0.25">
      <c r="A19" s="97"/>
      <c r="B19" s="297"/>
      <c r="C19" s="297"/>
      <c r="D19" s="298"/>
      <c r="E19" s="396"/>
      <c r="F19" s="395"/>
      <c r="G19" s="395"/>
      <c r="H19" s="395"/>
      <c r="I19" s="395"/>
      <c r="J19" s="81" t="str">
        <f>IF(AND('Mapa final'!$Y$28="Alta",'Mapa final'!$AA$28="Leve"),CONCATENATE("R4C",'Mapa final'!$O$28),"")</f>
        <v/>
      </c>
      <c r="K19" s="82" t="str">
        <f>IF(AND('Mapa final'!$Y$29="Alta",'Mapa final'!$AA$29="Leve"),CONCATENATE("R4C",'Mapa final'!$O$29),"")</f>
        <v/>
      </c>
      <c r="L19" s="82" t="str">
        <f>IF(AND('Mapa final'!$Y$30="Alta",'Mapa final'!$AA$30="Leve"),CONCATENATE("R4C",'Mapa final'!$O$30),"")</f>
        <v/>
      </c>
      <c r="M19" s="82" t="str">
        <f>IF(AND('Mapa final'!$Y$31="Alta",'Mapa final'!$AA$31="Leve"),CONCATENATE("R4C",'Mapa final'!$O$31),"")</f>
        <v/>
      </c>
      <c r="N19" s="82" t="str">
        <f>IF(AND('Mapa final'!$Y$32="Alta",'Mapa final'!$AA$32="Leve"),CONCATENATE("R4C",'Mapa final'!$O$32),"")</f>
        <v/>
      </c>
      <c r="O19" s="83" t="str">
        <f>IF(AND('Mapa final'!$Y$33="Alta",'Mapa final'!$AA$33="Leve"),CONCATENATE("R4C",'Mapa final'!$O$33),"")</f>
        <v/>
      </c>
      <c r="P19" s="81" t="str">
        <f>IF(AND('Mapa final'!$Y$28="Alta",'Mapa final'!$AA$28="Menor"),CONCATENATE("R4C",'Mapa final'!$O$28),"")</f>
        <v/>
      </c>
      <c r="Q19" s="82" t="str">
        <f>IF(AND('Mapa final'!$Y$29="Alta",'Mapa final'!$AA$29="Menor"),CONCATENATE("R4C",'Mapa final'!$O$29),"")</f>
        <v/>
      </c>
      <c r="R19" s="82" t="str">
        <f>IF(AND('Mapa final'!$Y$30="Alta",'Mapa final'!$AA$30="Menor"),CONCATENATE("R4C",'Mapa final'!$O$30),"")</f>
        <v/>
      </c>
      <c r="S19" s="82" t="str">
        <f>IF(AND('Mapa final'!$Y$31="Alta",'Mapa final'!$AA$31="Menor"),CONCATENATE("R4C",'Mapa final'!$O$31),"")</f>
        <v/>
      </c>
      <c r="T19" s="82" t="str">
        <f>IF(AND('Mapa final'!$Y$32="Alta",'Mapa final'!$AA$32="Menor"),CONCATENATE("R4C",'Mapa final'!$O$32),"")</f>
        <v/>
      </c>
      <c r="U19" s="83" t="str">
        <f>IF(AND('Mapa final'!$Y$33="Alta",'Mapa final'!$AA$33="Menor"),CONCATENATE("R4C",'Mapa final'!$O$33),"")</f>
        <v/>
      </c>
      <c r="V19" s="66" t="str">
        <f>IF(AND('Mapa final'!$Y$28="Alta",'Mapa final'!$AA$28="Moderado"),CONCATENATE("R4C",'Mapa final'!$O$28),"")</f>
        <v/>
      </c>
      <c r="W19" s="67" t="str">
        <f>IF(AND('Mapa final'!$Y$29="Alta",'Mapa final'!$AA$29="Moderado"),CONCATENATE("R4C",'Mapa final'!$O$29),"")</f>
        <v/>
      </c>
      <c r="X19" s="67" t="str">
        <f>IF(AND('Mapa final'!$Y$30="Alta",'Mapa final'!$AA$30="Moderado"),CONCATENATE("R4C",'Mapa final'!$O$30),"")</f>
        <v/>
      </c>
      <c r="Y19" s="67" t="str">
        <f>IF(AND('Mapa final'!$Y$31="Alta",'Mapa final'!$AA$31="Moderado"),CONCATENATE("R4C",'Mapa final'!$O$31),"")</f>
        <v/>
      </c>
      <c r="Z19" s="67" t="str">
        <f>IF(AND('Mapa final'!$Y$32="Alta",'Mapa final'!$AA$32="Moderado"),CONCATENATE("R4C",'Mapa final'!$O$32),"")</f>
        <v/>
      </c>
      <c r="AA19" s="68" t="str">
        <f>IF(AND('Mapa final'!$Y$33="Alta",'Mapa final'!$AA$33="Moderado"),CONCATENATE("R4C",'Mapa final'!$O$33),"")</f>
        <v/>
      </c>
      <c r="AB19" s="66" t="str">
        <f>IF(AND('Mapa final'!$Y$28="Alta",'Mapa final'!$AA$28="Mayor"),CONCATENATE("R4C",'Mapa final'!$O$28),"")</f>
        <v/>
      </c>
      <c r="AC19" s="67" t="str">
        <f>IF(AND('Mapa final'!$Y$29="Alta",'Mapa final'!$AA$29="Mayor"),CONCATENATE("R4C",'Mapa final'!$O$29),"")</f>
        <v/>
      </c>
      <c r="AD19" s="67" t="str">
        <f>IF(AND('Mapa final'!$Y$30="Alta",'Mapa final'!$AA$30="Mayor"),CONCATENATE("R4C",'Mapa final'!$O$30),"")</f>
        <v/>
      </c>
      <c r="AE19" s="67" t="str">
        <f>IF(AND('Mapa final'!$Y$31="Alta",'Mapa final'!$AA$31="Mayor"),CONCATENATE("R4C",'Mapa final'!$O$31),"")</f>
        <v/>
      </c>
      <c r="AF19" s="67" t="str">
        <f>IF(AND('Mapa final'!$Y$32="Alta",'Mapa final'!$AA$32="Mayor"),CONCATENATE("R4C",'Mapa final'!$O$32),"")</f>
        <v/>
      </c>
      <c r="AG19" s="68" t="str">
        <f>IF(AND('Mapa final'!$Y$33="Alta",'Mapa final'!$AA$33="Mayor"),CONCATENATE("R4C",'Mapa final'!$O$33),"")</f>
        <v/>
      </c>
      <c r="AH19" s="69" t="str">
        <f>IF(AND('Mapa final'!$Y$28="Alta",'Mapa final'!$AA$28="Catastrófico"),CONCATENATE("R4C",'Mapa final'!$O$28),"")</f>
        <v/>
      </c>
      <c r="AI19" s="70" t="str">
        <f>IF(AND('Mapa final'!$Y$29="Alta",'Mapa final'!$AA$29="Catastrófico"),CONCATENATE("R4C",'Mapa final'!$O$29),"")</f>
        <v/>
      </c>
      <c r="AJ19" s="70" t="str">
        <f>IF(AND('Mapa final'!$Y$30="Alta",'Mapa final'!$AA$30="Catastrófico"),CONCATENATE("R4C",'Mapa final'!$O$30),"")</f>
        <v/>
      </c>
      <c r="AK19" s="70" t="str">
        <f>IF(AND('Mapa final'!$Y$31="Alta",'Mapa final'!$AA$31="Catastrófico"),CONCATENATE("R4C",'Mapa final'!$O$31),"")</f>
        <v/>
      </c>
      <c r="AL19" s="70" t="str">
        <f>IF(AND('Mapa final'!$Y$32="Alta",'Mapa final'!$AA$32="Catastrófico"),CONCATENATE("R4C",'Mapa final'!$O$32),"")</f>
        <v/>
      </c>
      <c r="AM19" s="71" t="str">
        <f>IF(AND('Mapa final'!$Y$33="Alta",'Mapa final'!$AA$33="Catastrófico"),CONCATENATE("R4C",'Mapa final'!$O$33),"")</f>
        <v/>
      </c>
      <c r="AN19" s="97"/>
      <c r="AO19" s="386"/>
      <c r="AP19" s="387"/>
      <c r="AQ19" s="387"/>
      <c r="AR19" s="387"/>
      <c r="AS19" s="387"/>
      <c r="AT19" s="388"/>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15" customHeight="1" x14ac:dyDescent="0.25">
      <c r="A20" s="97"/>
      <c r="B20" s="297"/>
      <c r="C20" s="297"/>
      <c r="D20" s="298"/>
      <c r="E20" s="396"/>
      <c r="F20" s="395"/>
      <c r="G20" s="395"/>
      <c r="H20" s="395"/>
      <c r="I20" s="395"/>
      <c r="J20" s="81" t="str">
        <f>IF(AND('Mapa final'!$Y$34="Alta",'Mapa final'!$AA$34="Leve"),CONCATENATE("R5C",'Mapa final'!$O$34),"")</f>
        <v/>
      </c>
      <c r="K20" s="82" t="str">
        <f>IF(AND('Mapa final'!$Y$35="Alta",'Mapa final'!$AA$35="Leve"),CONCATENATE("R5C",'Mapa final'!$O$35),"")</f>
        <v/>
      </c>
      <c r="L20" s="82" t="str">
        <f>IF(AND('Mapa final'!$Y$36="Alta",'Mapa final'!$AA$36="Leve"),CONCATENATE("R5C",'Mapa final'!$O$36),"")</f>
        <v/>
      </c>
      <c r="M20" s="82" t="str">
        <f>IF(AND('Mapa final'!$Y$37="Alta",'Mapa final'!$AA$37="Leve"),CONCATENATE("R5C",'Mapa final'!$O$37),"")</f>
        <v/>
      </c>
      <c r="N20" s="82" t="str">
        <f>IF(AND('Mapa final'!$Y$38="Alta",'Mapa final'!$AA$38="Leve"),CONCATENATE("R5C",'Mapa final'!$O$38),"")</f>
        <v/>
      </c>
      <c r="O20" s="83" t="str">
        <f>IF(AND('Mapa final'!$Y$39="Alta",'Mapa final'!$AA$39="Leve"),CONCATENATE("R5C",'Mapa final'!$O$39),"")</f>
        <v/>
      </c>
      <c r="P20" s="81" t="str">
        <f>IF(AND('Mapa final'!$Y$34="Alta",'Mapa final'!$AA$34="Menor"),CONCATENATE("R5C",'Mapa final'!$O$34),"")</f>
        <v/>
      </c>
      <c r="Q20" s="82" t="str">
        <f>IF(AND('Mapa final'!$Y$35="Alta",'Mapa final'!$AA$35="Menor"),CONCATENATE("R5C",'Mapa final'!$O$35),"")</f>
        <v/>
      </c>
      <c r="R20" s="82" t="str">
        <f>IF(AND('Mapa final'!$Y$36="Alta",'Mapa final'!$AA$36="Menor"),CONCATENATE("R5C",'Mapa final'!$O$36),"")</f>
        <v/>
      </c>
      <c r="S20" s="82" t="str">
        <f>IF(AND('Mapa final'!$Y$37="Alta",'Mapa final'!$AA$37="Menor"),CONCATENATE("R5C",'Mapa final'!$O$37),"")</f>
        <v/>
      </c>
      <c r="T20" s="82" t="str">
        <f>IF(AND('Mapa final'!$Y$38="Alta",'Mapa final'!$AA$38="Menor"),CONCATENATE("R5C",'Mapa final'!$O$38),"")</f>
        <v/>
      </c>
      <c r="U20" s="83" t="str">
        <f>IF(AND('Mapa final'!$Y$39="Alta",'Mapa final'!$AA$39="Menor"),CONCATENATE("R5C",'Mapa final'!$O$39),"")</f>
        <v/>
      </c>
      <c r="V20" s="66" t="str">
        <f>IF(AND('Mapa final'!$Y$34="Alta",'Mapa final'!$AA$34="Moderado"),CONCATENATE("R5C",'Mapa final'!$O$34),"")</f>
        <v/>
      </c>
      <c r="W20" s="67" t="str">
        <f>IF(AND('Mapa final'!$Y$35="Alta",'Mapa final'!$AA$35="Moderado"),CONCATENATE("R5C",'Mapa final'!$O$35),"")</f>
        <v/>
      </c>
      <c r="X20" s="67" t="str">
        <f>IF(AND('Mapa final'!$Y$36="Alta",'Mapa final'!$AA$36="Moderado"),CONCATENATE("R5C",'Mapa final'!$O$36),"")</f>
        <v/>
      </c>
      <c r="Y20" s="67" t="str">
        <f>IF(AND('Mapa final'!$Y$37="Alta",'Mapa final'!$AA$37="Moderado"),CONCATENATE("R5C",'Mapa final'!$O$37),"")</f>
        <v/>
      </c>
      <c r="Z20" s="67" t="str">
        <f>IF(AND('Mapa final'!$Y$38="Alta",'Mapa final'!$AA$38="Moderado"),CONCATENATE("R5C",'Mapa final'!$O$38),"")</f>
        <v/>
      </c>
      <c r="AA20" s="68" t="str">
        <f>IF(AND('Mapa final'!$Y$39="Alta",'Mapa final'!$AA$39="Moderado"),CONCATENATE("R5C",'Mapa final'!$O$39),"")</f>
        <v/>
      </c>
      <c r="AB20" s="66" t="str">
        <f>IF(AND('Mapa final'!$Y$34="Alta",'Mapa final'!$AA$34="Mayor"),CONCATENATE("R5C",'Mapa final'!$O$34),"")</f>
        <v/>
      </c>
      <c r="AC20" s="67" t="str">
        <f>IF(AND('Mapa final'!$Y$35="Alta",'Mapa final'!$AA$35="Mayor"),CONCATENATE("R5C",'Mapa final'!$O$35),"")</f>
        <v/>
      </c>
      <c r="AD20" s="67" t="str">
        <f>IF(AND('Mapa final'!$Y$36="Alta",'Mapa final'!$AA$36="Mayor"),CONCATENATE("R5C",'Mapa final'!$O$36),"")</f>
        <v/>
      </c>
      <c r="AE20" s="67" t="str">
        <f>IF(AND('Mapa final'!$Y$37="Alta",'Mapa final'!$AA$37="Mayor"),CONCATENATE("R5C",'Mapa final'!$O$37),"")</f>
        <v/>
      </c>
      <c r="AF20" s="67" t="str">
        <f>IF(AND('Mapa final'!$Y$38="Alta",'Mapa final'!$AA$38="Mayor"),CONCATENATE("R5C",'Mapa final'!$O$38),"")</f>
        <v/>
      </c>
      <c r="AG20" s="68" t="str">
        <f>IF(AND('Mapa final'!$Y$39="Alta",'Mapa final'!$AA$39="Mayor"),CONCATENATE("R5C",'Mapa final'!$O$39),"")</f>
        <v/>
      </c>
      <c r="AH20" s="69" t="str">
        <f>IF(AND('Mapa final'!$Y$34="Alta",'Mapa final'!$AA$34="Catastrófico"),CONCATENATE("R5C",'Mapa final'!$O$34),"")</f>
        <v/>
      </c>
      <c r="AI20" s="70" t="str">
        <f>IF(AND('Mapa final'!$Y$35="Alta",'Mapa final'!$AA$35="Catastrófico"),CONCATENATE("R5C",'Mapa final'!$O$35),"")</f>
        <v/>
      </c>
      <c r="AJ20" s="70" t="str">
        <f>IF(AND('Mapa final'!$Y$36="Alta",'Mapa final'!$AA$36="Catastrófico"),CONCATENATE("R5C",'Mapa final'!$O$36),"")</f>
        <v/>
      </c>
      <c r="AK20" s="70" t="str">
        <f>IF(AND('Mapa final'!$Y$37="Alta",'Mapa final'!$AA$37="Catastrófico"),CONCATENATE("R5C",'Mapa final'!$O$37),"")</f>
        <v/>
      </c>
      <c r="AL20" s="70" t="str">
        <f>IF(AND('Mapa final'!$Y$38="Alta",'Mapa final'!$AA$38="Catastrófico"),CONCATENATE("R5C",'Mapa final'!$O$38),"")</f>
        <v/>
      </c>
      <c r="AM20" s="71" t="str">
        <f>IF(AND('Mapa final'!$Y$39="Alta",'Mapa final'!$AA$39="Catastrófico"),CONCATENATE("R5C",'Mapa final'!$O$39),"")</f>
        <v/>
      </c>
      <c r="AN20" s="97"/>
      <c r="AO20" s="386"/>
      <c r="AP20" s="387"/>
      <c r="AQ20" s="387"/>
      <c r="AR20" s="387"/>
      <c r="AS20" s="387"/>
      <c r="AT20" s="388"/>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row>
    <row r="21" spans="1:76" ht="15" customHeight="1" x14ac:dyDescent="0.25">
      <c r="A21" s="97"/>
      <c r="B21" s="297"/>
      <c r="C21" s="297"/>
      <c r="D21" s="298"/>
      <c r="E21" s="396"/>
      <c r="F21" s="395"/>
      <c r="G21" s="395"/>
      <c r="H21" s="395"/>
      <c r="I21" s="395"/>
      <c r="J21" s="81" t="str">
        <f>IF(AND('Mapa final'!$Y$40="Alta",'Mapa final'!$AA$40="Leve"),CONCATENATE("R6C",'Mapa final'!$O$40),"")</f>
        <v/>
      </c>
      <c r="K21" s="82" t="str">
        <f>IF(AND('Mapa final'!$Y$41="Alta",'Mapa final'!$AA$41="Leve"),CONCATENATE("R6C",'Mapa final'!$O$41),"")</f>
        <v/>
      </c>
      <c r="L21" s="82" t="str">
        <f>IF(AND('Mapa final'!$Y$42="Alta",'Mapa final'!$AA$42="Leve"),CONCATENATE("R6C",'Mapa final'!$O$42),"")</f>
        <v/>
      </c>
      <c r="M21" s="82" t="str">
        <f>IF(AND('Mapa final'!$Y$43="Alta",'Mapa final'!$AA$43="Leve"),CONCATENATE("R6C",'Mapa final'!$O$43),"")</f>
        <v/>
      </c>
      <c r="N21" s="82" t="str">
        <f>IF(AND('Mapa final'!$Y$44="Alta",'Mapa final'!$AA$44="Leve"),CONCATENATE("R6C",'Mapa final'!$O$44),"")</f>
        <v/>
      </c>
      <c r="O21" s="83" t="str">
        <f>IF(AND('Mapa final'!$Y$45="Alta",'Mapa final'!$AA$45="Leve"),CONCATENATE("R6C",'Mapa final'!$O$45),"")</f>
        <v/>
      </c>
      <c r="P21" s="81" t="str">
        <f>IF(AND('Mapa final'!$Y$40="Alta",'Mapa final'!$AA$40="Menor"),CONCATENATE("R6C",'Mapa final'!$O$40),"")</f>
        <v/>
      </c>
      <c r="Q21" s="82" t="str">
        <f>IF(AND('Mapa final'!$Y$41="Alta",'Mapa final'!$AA$41="Menor"),CONCATENATE("R6C",'Mapa final'!$O$41),"")</f>
        <v/>
      </c>
      <c r="R21" s="82" t="str">
        <f>IF(AND('Mapa final'!$Y$42="Alta",'Mapa final'!$AA$42="Menor"),CONCATENATE("R6C",'Mapa final'!$O$42),"")</f>
        <v/>
      </c>
      <c r="S21" s="82" t="str">
        <f>IF(AND('Mapa final'!$Y$43="Alta",'Mapa final'!$AA$43="Menor"),CONCATENATE("R6C",'Mapa final'!$O$43),"")</f>
        <v/>
      </c>
      <c r="T21" s="82" t="str">
        <f>IF(AND('Mapa final'!$Y$44="Alta",'Mapa final'!$AA$44="Menor"),CONCATENATE("R6C",'Mapa final'!$O$44),"")</f>
        <v/>
      </c>
      <c r="U21" s="83" t="str">
        <f>IF(AND('Mapa final'!$Y$45="Alta",'Mapa final'!$AA$45="Menor"),CONCATENATE("R6C",'Mapa final'!$O$45),"")</f>
        <v/>
      </c>
      <c r="V21" s="66" t="str">
        <f>IF(AND('Mapa final'!$Y$40="Alta",'Mapa final'!$AA$40="Moderado"),CONCATENATE("R6C",'Mapa final'!$O$40),"")</f>
        <v/>
      </c>
      <c r="W21" s="67" t="str">
        <f>IF(AND('Mapa final'!$Y$41="Alta",'Mapa final'!$AA$41="Moderado"),CONCATENATE("R6C",'Mapa final'!$O$41),"")</f>
        <v/>
      </c>
      <c r="X21" s="67" t="str">
        <f>IF(AND('Mapa final'!$Y$42="Alta",'Mapa final'!$AA$42="Moderado"),CONCATENATE("R6C",'Mapa final'!$O$42),"")</f>
        <v/>
      </c>
      <c r="Y21" s="67" t="str">
        <f>IF(AND('Mapa final'!$Y$43="Alta",'Mapa final'!$AA$43="Moderado"),CONCATENATE("R6C",'Mapa final'!$O$43),"")</f>
        <v/>
      </c>
      <c r="Z21" s="67" t="str">
        <f>IF(AND('Mapa final'!$Y$44="Alta",'Mapa final'!$AA$44="Moderado"),CONCATENATE("R6C",'Mapa final'!$O$44),"")</f>
        <v/>
      </c>
      <c r="AA21" s="68" t="str">
        <f>IF(AND('Mapa final'!$Y$45="Alta",'Mapa final'!$AA$45="Moderado"),CONCATENATE("R6C",'Mapa final'!$O$45),"")</f>
        <v/>
      </c>
      <c r="AB21" s="66" t="str">
        <f>IF(AND('Mapa final'!$Y$40="Alta",'Mapa final'!$AA$40="Mayor"),CONCATENATE("R6C",'Mapa final'!$O$40),"")</f>
        <v/>
      </c>
      <c r="AC21" s="67" t="str">
        <f>IF(AND('Mapa final'!$Y$41="Alta",'Mapa final'!$AA$41="Mayor"),CONCATENATE("R6C",'Mapa final'!$O$41),"")</f>
        <v/>
      </c>
      <c r="AD21" s="67" t="str">
        <f>IF(AND('Mapa final'!$Y$42="Alta",'Mapa final'!$AA$42="Mayor"),CONCATENATE("R6C",'Mapa final'!$O$42),"")</f>
        <v/>
      </c>
      <c r="AE21" s="67" t="str">
        <f>IF(AND('Mapa final'!$Y$43="Alta",'Mapa final'!$AA$43="Mayor"),CONCATENATE("R6C",'Mapa final'!$O$43),"")</f>
        <v/>
      </c>
      <c r="AF21" s="67" t="str">
        <f>IF(AND('Mapa final'!$Y$44="Alta",'Mapa final'!$AA$44="Mayor"),CONCATENATE("R6C",'Mapa final'!$O$44),"")</f>
        <v/>
      </c>
      <c r="AG21" s="68" t="str">
        <f>IF(AND('Mapa final'!$Y$45="Alta",'Mapa final'!$AA$45="Mayor"),CONCATENATE("R6C",'Mapa final'!$O$45),"")</f>
        <v/>
      </c>
      <c r="AH21" s="69" t="str">
        <f>IF(AND('Mapa final'!$Y$40="Alta",'Mapa final'!$AA$40="Catastrófico"),CONCATENATE("R6C",'Mapa final'!$O$40),"")</f>
        <v/>
      </c>
      <c r="AI21" s="70" t="str">
        <f>IF(AND('Mapa final'!$Y$41="Alta",'Mapa final'!$AA$41="Catastrófico"),CONCATENATE("R6C",'Mapa final'!$O$41),"")</f>
        <v/>
      </c>
      <c r="AJ21" s="70" t="str">
        <f>IF(AND('Mapa final'!$Y$42="Alta",'Mapa final'!$AA$42="Catastrófico"),CONCATENATE("R6C",'Mapa final'!$O$42),"")</f>
        <v/>
      </c>
      <c r="AK21" s="70" t="str">
        <f>IF(AND('Mapa final'!$Y$43="Alta",'Mapa final'!$AA$43="Catastrófico"),CONCATENATE("R6C",'Mapa final'!$O$43),"")</f>
        <v/>
      </c>
      <c r="AL21" s="70" t="str">
        <f>IF(AND('Mapa final'!$Y$44="Alta",'Mapa final'!$AA$44="Catastrófico"),CONCATENATE("R6C",'Mapa final'!$O$44),"")</f>
        <v/>
      </c>
      <c r="AM21" s="71" t="str">
        <f>IF(AND('Mapa final'!$Y$45="Alta",'Mapa final'!$AA$45="Catastrófico"),CONCATENATE("R6C",'Mapa final'!$O$45),"")</f>
        <v/>
      </c>
      <c r="AN21" s="97"/>
      <c r="AO21" s="386"/>
      <c r="AP21" s="387"/>
      <c r="AQ21" s="387"/>
      <c r="AR21" s="387"/>
      <c r="AS21" s="387"/>
      <c r="AT21" s="388"/>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1:76" ht="15" customHeight="1" x14ac:dyDescent="0.25">
      <c r="A22" s="97"/>
      <c r="B22" s="297"/>
      <c r="C22" s="297"/>
      <c r="D22" s="298"/>
      <c r="E22" s="396"/>
      <c r="F22" s="395"/>
      <c r="G22" s="395"/>
      <c r="H22" s="395"/>
      <c r="I22" s="395"/>
      <c r="J22" s="81" t="str">
        <f>IF(AND('Mapa final'!$Y$46="Alta",'Mapa final'!$AA$46="Leve"),CONCATENATE("R7C",'Mapa final'!$O$46),"")</f>
        <v/>
      </c>
      <c r="K22" s="82" t="str">
        <f>IF(AND('Mapa final'!$Y$47="Alta",'Mapa final'!$AA$47="Leve"),CONCATENATE("R7C",'Mapa final'!$O$47),"")</f>
        <v/>
      </c>
      <c r="L22" s="82" t="str">
        <f>IF(AND('Mapa final'!$Y$48="Alta",'Mapa final'!$AA$48="Leve"),CONCATENATE("R7C",'Mapa final'!$O$48),"")</f>
        <v/>
      </c>
      <c r="M22" s="82" t="str">
        <f>IF(AND('Mapa final'!$Y$49="Alta",'Mapa final'!$AA$49="Leve"),CONCATENATE("R7C",'Mapa final'!$O$49),"")</f>
        <v/>
      </c>
      <c r="N22" s="82" t="str">
        <f>IF(AND('Mapa final'!$Y$50="Alta",'Mapa final'!$AA$50="Leve"),CONCATENATE("R7C",'Mapa final'!$O$50),"")</f>
        <v/>
      </c>
      <c r="O22" s="83" t="str">
        <f>IF(AND('Mapa final'!$Y$51="Alta",'Mapa final'!$AA$51="Leve"),CONCATENATE("R7C",'Mapa final'!$O$51),"")</f>
        <v/>
      </c>
      <c r="P22" s="81" t="str">
        <f>IF(AND('Mapa final'!$Y$46="Alta",'Mapa final'!$AA$46="Menor"),CONCATENATE("R7C",'Mapa final'!$O$46),"")</f>
        <v/>
      </c>
      <c r="Q22" s="82" t="str">
        <f>IF(AND('Mapa final'!$Y$47="Alta",'Mapa final'!$AA$47="Menor"),CONCATENATE("R7C",'Mapa final'!$O$47),"")</f>
        <v/>
      </c>
      <c r="R22" s="82" t="str">
        <f>IF(AND('Mapa final'!$Y$48="Alta",'Mapa final'!$AA$48="Menor"),CONCATENATE("R7C",'Mapa final'!$O$48),"")</f>
        <v/>
      </c>
      <c r="S22" s="82" t="str">
        <f>IF(AND('Mapa final'!$Y$49="Alta",'Mapa final'!$AA$49="Menor"),CONCATENATE("R7C",'Mapa final'!$O$49),"")</f>
        <v/>
      </c>
      <c r="T22" s="82" t="str">
        <f>IF(AND('Mapa final'!$Y$50="Alta",'Mapa final'!$AA$50="Menor"),CONCATENATE("R7C",'Mapa final'!$O$50),"")</f>
        <v/>
      </c>
      <c r="U22" s="83" t="str">
        <f>IF(AND('Mapa final'!$Y$51="Alta",'Mapa final'!$AA$51="Menor"),CONCATENATE("R7C",'Mapa final'!$O$51),"")</f>
        <v/>
      </c>
      <c r="V22" s="66" t="str">
        <f>IF(AND('Mapa final'!$Y$46="Alta",'Mapa final'!$AA$46="Moderado"),CONCATENATE("R7C",'Mapa final'!$O$46),"")</f>
        <v/>
      </c>
      <c r="W22" s="67" t="str">
        <f>IF(AND('Mapa final'!$Y$47="Alta",'Mapa final'!$AA$47="Moderado"),CONCATENATE("R7C",'Mapa final'!$O$47),"")</f>
        <v/>
      </c>
      <c r="X22" s="67" t="str">
        <f>IF(AND('Mapa final'!$Y$48="Alta",'Mapa final'!$AA$48="Moderado"),CONCATENATE("R7C",'Mapa final'!$O$48),"")</f>
        <v/>
      </c>
      <c r="Y22" s="67" t="str">
        <f>IF(AND('Mapa final'!$Y$49="Alta",'Mapa final'!$AA$49="Moderado"),CONCATENATE("R7C",'Mapa final'!$O$49),"")</f>
        <v/>
      </c>
      <c r="Z22" s="67" t="str">
        <f>IF(AND('Mapa final'!$Y$50="Alta",'Mapa final'!$AA$50="Moderado"),CONCATENATE("R7C",'Mapa final'!$O$50),"")</f>
        <v/>
      </c>
      <c r="AA22" s="68" t="str">
        <f>IF(AND('Mapa final'!$Y$51="Alta",'Mapa final'!$AA$51="Moderado"),CONCATENATE("R7C",'Mapa final'!$O$51),"")</f>
        <v/>
      </c>
      <c r="AB22" s="66" t="str">
        <f>IF(AND('Mapa final'!$Y$46="Alta",'Mapa final'!$AA$46="Mayor"),CONCATENATE("R7C",'Mapa final'!$O$46),"")</f>
        <v/>
      </c>
      <c r="AC22" s="67" t="str">
        <f>IF(AND('Mapa final'!$Y$47="Alta",'Mapa final'!$AA$47="Mayor"),CONCATENATE("R7C",'Mapa final'!$O$47),"")</f>
        <v/>
      </c>
      <c r="AD22" s="67" t="str">
        <f>IF(AND('Mapa final'!$Y$48="Alta",'Mapa final'!$AA$48="Mayor"),CONCATENATE("R7C",'Mapa final'!$O$48),"")</f>
        <v/>
      </c>
      <c r="AE22" s="67" t="str">
        <f>IF(AND('Mapa final'!$Y$49="Alta",'Mapa final'!$AA$49="Mayor"),CONCATENATE("R7C",'Mapa final'!$O$49),"")</f>
        <v/>
      </c>
      <c r="AF22" s="67" t="str">
        <f>IF(AND('Mapa final'!$Y$50="Alta",'Mapa final'!$AA$50="Mayor"),CONCATENATE("R7C",'Mapa final'!$O$50),"")</f>
        <v/>
      </c>
      <c r="AG22" s="68" t="str">
        <f>IF(AND('Mapa final'!$Y$51="Alta",'Mapa final'!$AA$51="Mayor"),CONCATENATE("R7C",'Mapa final'!$O$51),"")</f>
        <v/>
      </c>
      <c r="AH22" s="69" t="str">
        <f>IF(AND('Mapa final'!$Y$46="Alta",'Mapa final'!$AA$46="Catastrófico"),CONCATENATE("R7C",'Mapa final'!$O$46),"")</f>
        <v/>
      </c>
      <c r="AI22" s="70" t="str">
        <f>IF(AND('Mapa final'!$Y$47="Alta",'Mapa final'!$AA$47="Catastrófico"),CONCATENATE("R7C",'Mapa final'!$O$47),"")</f>
        <v/>
      </c>
      <c r="AJ22" s="70" t="str">
        <f>IF(AND('Mapa final'!$Y$48="Alta",'Mapa final'!$AA$48="Catastrófico"),CONCATENATE("R7C",'Mapa final'!$O$48),"")</f>
        <v/>
      </c>
      <c r="AK22" s="70" t="str">
        <f>IF(AND('Mapa final'!$Y$49="Alta",'Mapa final'!$AA$49="Catastrófico"),CONCATENATE("R7C",'Mapa final'!$O$49),"")</f>
        <v/>
      </c>
      <c r="AL22" s="70" t="str">
        <f>IF(AND('Mapa final'!$Y$50="Alta",'Mapa final'!$AA$50="Catastrófico"),CONCATENATE("R7C",'Mapa final'!$O$50),"")</f>
        <v/>
      </c>
      <c r="AM22" s="71" t="str">
        <f>IF(AND('Mapa final'!$Y$51="Alta",'Mapa final'!$AA$51="Catastrófico"),CONCATENATE("R7C",'Mapa final'!$O$51),"")</f>
        <v/>
      </c>
      <c r="AN22" s="97"/>
      <c r="AO22" s="386"/>
      <c r="AP22" s="387"/>
      <c r="AQ22" s="387"/>
      <c r="AR22" s="387"/>
      <c r="AS22" s="387"/>
      <c r="AT22" s="388"/>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row>
    <row r="23" spans="1:76" ht="15" customHeight="1" x14ac:dyDescent="0.25">
      <c r="A23" s="97"/>
      <c r="B23" s="297"/>
      <c r="C23" s="297"/>
      <c r="D23" s="298"/>
      <c r="E23" s="396"/>
      <c r="F23" s="395"/>
      <c r="G23" s="395"/>
      <c r="H23" s="395"/>
      <c r="I23" s="395"/>
      <c r="J23" s="81" t="str">
        <f>IF(AND('Mapa final'!$Y$52="Alta",'Mapa final'!$AA$52="Leve"),CONCATENATE("R8C",'Mapa final'!$O$52),"")</f>
        <v/>
      </c>
      <c r="K23" s="82" t="str">
        <f>IF(AND('Mapa final'!$Y$53="Alta",'Mapa final'!$AA$53="Leve"),CONCATENATE("R8C",'Mapa final'!$O$53),"")</f>
        <v/>
      </c>
      <c r="L23" s="82" t="str">
        <f>IF(AND('Mapa final'!$Y$54="Alta",'Mapa final'!$AA$54="Leve"),CONCATENATE("R8C",'Mapa final'!$O$54),"")</f>
        <v/>
      </c>
      <c r="M23" s="82" t="str">
        <f>IF(AND('Mapa final'!$Y$55="Alta",'Mapa final'!$AA$55="Leve"),CONCATENATE("R8C",'Mapa final'!$O$55),"")</f>
        <v/>
      </c>
      <c r="N23" s="82" t="str">
        <f>IF(AND('Mapa final'!$Y$56="Alta",'Mapa final'!$AA$56="Leve"),CONCATENATE("R8C",'Mapa final'!$O$56),"")</f>
        <v/>
      </c>
      <c r="O23" s="83" t="str">
        <f>IF(AND('Mapa final'!$Y$57="Alta",'Mapa final'!$AA$57="Leve"),CONCATENATE("R8C",'Mapa final'!$O$57),"")</f>
        <v/>
      </c>
      <c r="P23" s="81" t="str">
        <f>IF(AND('Mapa final'!$Y$52="Alta",'Mapa final'!$AA$52="Menor"),CONCATENATE("R8C",'Mapa final'!$O$52),"")</f>
        <v/>
      </c>
      <c r="Q23" s="82" t="str">
        <f>IF(AND('Mapa final'!$Y$53="Alta",'Mapa final'!$AA$53="Menor"),CONCATENATE("R8C",'Mapa final'!$O$53),"")</f>
        <v/>
      </c>
      <c r="R23" s="82" t="str">
        <f>IF(AND('Mapa final'!$Y$54="Alta",'Mapa final'!$AA$54="Menor"),CONCATENATE("R8C",'Mapa final'!$O$54),"")</f>
        <v/>
      </c>
      <c r="S23" s="82" t="str">
        <f>IF(AND('Mapa final'!$Y$55="Alta",'Mapa final'!$AA$55="Menor"),CONCATENATE("R8C",'Mapa final'!$O$55),"")</f>
        <v/>
      </c>
      <c r="T23" s="82" t="str">
        <f>IF(AND('Mapa final'!$Y$56="Alta",'Mapa final'!$AA$56="Menor"),CONCATENATE("R8C",'Mapa final'!$O$56),"")</f>
        <v/>
      </c>
      <c r="U23" s="83" t="str">
        <f>IF(AND('Mapa final'!$Y$57="Alta",'Mapa final'!$AA$57="Menor"),CONCATENATE("R8C",'Mapa final'!$O$57),"")</f>
        <v/>
      </c>
      <c r="V23" s="66" t="str">
        <f>IF(AND('Mapa final'!$Y$52="Alta",'Mapa final'!$AA$52="Moderado"),CONCATENATE("R8C",'Mapa final'!$O$52),"")</f>
        <v/>
      </c>
      <c r="W23" s="67" t="str">
        <f>IF(AND('Mapa final'!$Y$53="Alta",'Mapa final'!$AA$53="Moderado"),CONCATENATE("R8C",'Mapa final'!$O$53),"")</f>
        <v/>
      </c>
      <c r="X23" s="67" t="str">
        <f>IF(AND('Mapa final'!$Y$54="Alta",'Mapa final'!$AA$54="Moderado"),CONCATENATE("R8C",'Mapa final'!$O$54),"")</f>
        <v/>
      </c>
      <c r="Y23" s="67" t="str">
        <f>IF(AND('Mapa final'!$Y$55="Alta",'Mapa final'!$AA$55="Moderado"),CONCATENATE("R8C",'Mapa final'!$O$55),"")</f>
        <v/>
      </c>
      <c r="Z23" s="67" t="str">
        <f>IF(AND('Mapa final'!$Y$56="Alta",'Mapa final'!$AA$56="Moderado"),CONCATENATE("R8C",'Mapa final'!$O$56),"")</f>
        <v/>
      </c>
      <c r="AA23" s="68" t="str">
        <f>IF(AND('Mapa final'!$Y$57="Alta",'Mapa final'!$AA$57="Moderado"),CONCATENATE("R8C",'Mapa final'!$O$57),"")</f>
        <v/>
      </c>
      <c r="AB23" s="66" t="str">
        <f>IF(AND('Mapa final'!$Y$52="Alta",'Mapa final'!$AA$52="Mayor"),CONCATENATE("R8C",'Mapa final'!$O$52),"")</f>
        <v/>
      </c>
      <c r="AC23" s="67" t="str">
        <f>IF(AND('Mapa final'!$Y$53="Alta",'Mapa final'!$AA$53="Mayor"),CONCATENATE("R8C",'Mapa final'!$O$53),"")</f>
        <v/>
      </c>
      <c r="AD23" s="67" t="str">
        <f>IF(AND('Mapa final'!$Y$54="Alta",'Mapa final'!$AA$54="Mayor"),CONCATENATE("R8C",'Mapa final'!$O$54),"")</f>
        <v/>
      </c>
      <c r="AE23" s="67" t="str">
        <f>IF(AND('Mapa final'!$Y$55="Alta",'Mapa final'!$AA$55="Mayor"),CONCATENATE("R8C",'Mapa final'!$O$55),"")</f>
        <v/>
      </c>
      <c r="AF23" s="67" t="str">
        <f>IF(AND('Mapa final'!$Y$56="Alta",'Mapa final'!$AA$56="Mayor"),CONCATENATE("R8C",'Mapa final'!$O$56),"")</f>
        <v/>
      </c>
      <c r="AG23" s="68" t="str">
        <f>IF(AND('Mapa final'!$Y$57="Alta",'Mapa final'!$AA$57="Mayor"),CONCATENATE("R8C",'Mapa final'!$O$57),"")</f>
        <v/>
      </c>
      <c r="AH23" s="69" t="str">
        <f>IF(AND('Mapa final'!$Y$52="Alta",'Mapa final'!$AA$52="Catastrófico"),CONCATENATE("R8C",'Mapa final'!$O$52),"")</f>
        <v/>
      </c>
      <c r="AI23" s="70" t="str">
        <f>IF(AND('Mapa final'!$Y$53="Alta",'Mapa final'!$AA$53="Catastrófico"),CONCATENATE("R8C",'Mapa final'!$O$53),"")</f>
        <v/>
      </c>
      <c r="AJ23" s="70" t="str">
        <f>IF(AND('Mapa final'!$Y$54="Alta",'Mapa final'!$AA$54="Catastrófico"),CONCATENATE("R8C",'Mapa final'!$O$54),"")</f>
        <v/>
      </c>
      <c r="AK23" s="70" t="str">
        <f>IF(AND('Mapa final'!$Y$55="Alta",'Mapa final'!$AA$55="Catastrófico"),CONCATENATE("R8C",'Mapa final'!$O$55),"")</f>
        <v/>
      </c>
      <c r="AL23" s="70" t="str">
        <f>IF(AND('Mapa final'!$Y$56="Alta",'Mapa final'!$AA$56="Catastrófico"),CONCATENATE("R8C",'Mapa final'!$O$56),"")</f>
        <v/>
      </c>
      <c r="AM23" s="71" t="str">
        <f>IF(AND('Mapa final'!$Y$57="Alta",'Mapa final'!$AA$57="Catastrófico"),CONCATENATE("R8C",'Mapa final'!$O$57),"")</f>
        <v/>
      </c>
      <c r="AN23" s="97"/>
      <c r="AO23" s="386"/>
      <c r="AP23" s="387"/>
      <c r="AQ23" s="387"/>
      <c r="AR23" s="387"/>
      <c r="AS23" s="387"/>
      <c r="AT23" s="388"/>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row>
    <row r="24" spans="1:76" ht="15" customHeight="1" x14ac:dyDescent="0.25">
      <c r="A24" s="97"/>
      <c r="B24" s="297"/>
      <c r="C24" s="297"/>
      <c r="D24" s="298"/>
      <c r="E24" s="396"/>
      <c r="F24" s="395"/>
      <c r="G24" s="395"/>
      <c r="H24" s="395"/>
      <c r="I24" s="395"/>
      <c r="J24" s="81" t="str">
        <f>IF(AND('Mapa final'!$Y$58="Alta",'Mapa final'!$AA$58="Leve"),CONCATENATE("R9C",'Mapa final'!$O$58),"")</f>
        <v/>
      </c>
      <c r="K24" s="82" t="str">
        <f>IF(AND('Mapa final'!$Y$59="Alta",'Mapa final'!$AA$59="Leve"),CONCATENATE("R9C",'Mapa final'!$O$59),"")</f>
        <v/>
      </c>
      <c r="L24" s="82" t="str">
        <f>IF(AND('Mapa final'!$Y$60="Alta",'Mapa final'!$AA$60="Leve"),CONCATENATE("R9C",'Mapa final'!$O$60),"")</f>
        <v/>
      </c>
      <c r="M24" s="82" t="str">
        <f>IF(AND('Mapa final'!$Y$61="Alta",'Mapa final'!$AA$61="Leve"),CONCATENATE("R9C",'Mapa final'!$O$61),"")</f>
        <v/>
      </c>
      <c r="N24" s="82" t="str">
        <f>IF(AND('Mapa final'!$Y$62="Alta",'Mapa final'!$AA$62="Leve"),CONCATENATE("R9C",'Mapa final'!$O$62),"")</f>
        <v/>
      </c>
      <c r="O24" s="83" t="str">
        <f>IF(AND('Mapa final'!$Y$63="Alta",'Mapa final'!$AA$63="Leve"),CONCATENATE("R9C",'Mapa final'!$O$63),"")</f>
        <v/>
      </c>
      <c r="P24" s="81" t="str">
        <f>IF(AND('Mapa final'!$Y$58="Alta",'Mapa final'!$AA$58="Menor"),CONCATENATE("R9C",'Mapa final'!$O$58),"")</f>
        <v/>
      </c>
      <c r="Q24" s="82" t="str">
        <f>IF(AND('Mapa final'!$Y$59="Alta",'Mapa final'!$AA$59="Menor"),CONCATENATE("R9C",'Mapa final'!$O$59),"")</f>
        <v/>
      </c>
      <c r="R24" s="82" t="str">
        <f>IF(AND('Mapa final'!$Y$60="Alta",'Mapa final'!$AA$60="Menor"),CONCATENATE("R9C",'Mapa final'!$O$60),"")</f>
        <v/>
      </c>
      <c r="S24" s="82" t="str">
        <f>IF(AND('Mapa final'!$Y$61="Alta",'Mapa final'!$AA$61="Menor"),CONCATENATE("R9C",'Mapa final'!$O$61),"")</f>
        <v/>
      </c>
      <c r="T24" s="82" t="str">
        <f>IF(AND('Mapa final'!$Y$62="Alta",'Mapa final'!$AA$62="Menor"),CONCATENATE("R9C",'Mapa final'!$O$62),"")</f>
        <v/>
      </c>
      <c r="U24" s="83" t="str">
        <f>IF(AND('Mapa final'!$Y$63="Alta",'Mapa final'!$AA$63="Menor"),CONCATENATE("R9C",'Mapa final'!$O$63),"")</f>
        <v/>
      </c>
      <c r="V24" s="66" t="str">
        <f>IF(AND('Mapa final'!$Y$58="Alta",'Mapa final'!$AA$58="Moderado"),CONCATENATE("R9C",'Mapa final'!$O$58),"")</f>
        <v/>
      </c>
      <c r="W24" s="67" t="str">
        <f>IF(AND('Mapa final'!$Y$59="Alta",'Mapa final'!$AA$59="Moderado"),CONCATENATE("R9C",'Mapa final'!$O$59),"")</f>
        <v/>
      </c>
      <c r="X24" s="67" t="str">
        <f>IF(AND('Mapa final'!$Y$60="Alta",'Mapa final'!$AA$60="Moderado"),CONCATENATE("R9C",'Mapa final'!$O$60),"")</f>
        <v/>
      </c>
      <c r="Y24" s="67" t="str">
        <f>IF(AND('Mapa final'!$Y$61="Alta",'Mapa final'!$AA$61="Moderado"),CONCATENATE("R9C",'Mapa final'!$O$61),"")</f>
        <v/>
      </c>
      <c r="Z24" s="67" t="str">
        <f>IF(AND('Mapa final'!$Y$62="Alta",'Mapa final'!$AA$62="Moderado"),CONCATENATE("R9C",'Mapa final'!$O$62),"")</f>
        <v/>
      </c>
      <c r="AA24" s="68" t="str">
        <f>IF(AND('Mapa final'!$Y$63="Alta",'Mapa final'!$AA$63="Moderado"),CONCATENATE("R9C",'Mapa final'!$O$63),"")</f>
        <v/>
      </c>
      <c r="AB24" s="66" t="str">
        <f>IF(AND('Mapa final'!$Y$58="Alta",'Mapa final'!$AA$58="Mayor"),CONCATENATE("R9C",'Mapa final'!$O$58),"")</f>
        <v/>
      </c>
      <c r="AC24" s="67" t="str">
        <f>IF(AND('Mapa final'!$Y$59="Alta",'Mapa final'!$AA$59="Mayor"),CONCATENATE("R9C",'Mapa final'!$O$59),"")</f>
        <v/>
      </c>
      <c r="AD24" s="67" t="str">
        <f>IF(AND('Mapa final'!$Y$60="Alta",'Mapa final'!$AA$60="Mayor"),CONCATENATE("R9C",'Mapa final'!$O$60),"")</f>
        <v/>
      </c>
      <c r="AE24" s="67" t="str">
        <f>IF(AND('Mapa final'!$Y$61="Alta",'Mapa final'!$AA$61="Mayor"),CONCATENATE("R9C",'Mapa final'!$O$61),"")</f>
        <v/>
      </c>
      <c r="AF24" s="67" t="str">
        <f>IF(AND('Mapa final'!$Y$62="Alta",'Mapa final'!$AA$62="Mayor"),CONCATENATE("R9C",'Mapa final'!$O$62),"")</f>
        <v/>
      </c>
      <c r="AG24" s="68" t="str">
        <f>IF(AND('Mapa final'!$Y$63="Alta",'Mapa final'!$AA$63="Mayor"),CONCATENATE("R9C",'Mapa final'!$O$63),"")</f>
        <v/>
      </c>
      <c r="AH24" s="69" t="str">
        <f>IF(AND('Mapa final'!$Y$58="Alta",'Mapa final'!$AA$58="Catastrófico"),CONCATENATE("R9C",'Mapa final'!$O$58),"")</f>
        <v/>
      </c>
      <c r="AI24" s="70" t="str">
        <f>IF(AND('Mapa final'!$Y$59="Alta",'Mapa final'!$AA$59="Catastrófico"),CONCATENATE("R9C",'Mapa final'!$O$59),"")</f>
        <v/>
      </c>
      <c r="AJ24" s="70" t="str">
        <f>IF(AND('Mapa final'!$Y$60="Alta",'Mapa final'!$AA$60="Catastrófico"),CONCATENATE("R9C",'Mapa final'!$O$60),"")</f>
        <v/>
      </c>
      <c r="AK24" s="70" t="str">
        <f>IF(AND('Mapa final'!$Y$61="Alta",'Mapa final'!$AA$61="Catastrófico"),CONCATENATE("R9C",'Mapa final'!$O$61),"")</f>
        <v/>
      </c>
      <c r="AL24" s="70" t="str">
        <f>IF(AND('Mapa final'!$Y$62="Alta",'Mapa final'!$AA$62="Catastrófico"),CONCATENATE("R9C",'Mapa final'!$O$62),"")</f>
        <v/>
      </c>
      <c r="AM24" s="71" t="str">
        <f>IF(AND('Mapa final'!$Y$63="Alta",'Mapa final'!$AA$63="Catastrófico"),CONCATENATE("R9C",'Mapa final'!$O$63),"")</f>
        <v/>
      </c>
      <c r="AN24" s="97"/>
      <c r="AO24" s="386"/>
      <c r="AP24" s="387"/>
      <c r="AQ24" s="387"/>
      <c r="AR24" s="387"/>
      <c r="AS24" s="387"/>
      <c r="AT24" s="388"/>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row>
    <row r="25" spans="1:76" ht="15.75" customHeight="1" thickBot="1" x14ac:dyDescent="0.3">
      <c r="A25" s="97"/>
      <c r="B25" s="297"/>
      <c r="C25" s="297"/>
      <c r="D25" s="298"/>
      <c r="E25" s="397"/>
      <c r="F25" s="398"/>
      <c r="G25" s="398"/>
      <c r="H25" s="398"/>
      <c r="I25" s="398"/>
      <c r="J25" s="84" t="str">
        <f>IF(AND('Mapa final'!$Y$64="Alta",'Mapa final'!$AA$64="Leve"),CONCATENATE("R10C",'Mapa final'!$O$64),"")</f>
        <v/>
      </c>
      <c r="K25" s="85" t="str">
        <f>IF(AND('Mapa final'!$Y$65="Alta",'Mapa final'!$AA$65="Leve"),CONCATENATE("R10C",'Mapa final'!$O$65),"")</f>
        <v/>
      </c>
      <c r="L25" s="85" t="str">
        <f>IF(AND('Mapa final'!$Y$66="Alta",'Mapa final'!$AA$66="Leve"),CONCATENATE("R10C",'Mapa final'!$O$66),"")</f>
        <v/>
      </c>
      <c r="M25" s="85" t="str">
        <f>IF(AND('Mapa final'!$Y$67="Alta",'Mapa final'!$AA$67="Leve"),CONCATENATE("R10C",'Mapa final'!$O$67),"")</f>
        <v/>
      </c>
      <c r="N25" s="85" t="str">
        <f>IF(AND('Mapa final'!$Y$68="Alta",'Mapa final'!$AA$68="Leve"),CONCATENATE("R10C",'Mapa final'!$O$68),"")</f>
        <v/>
      </c>
      <c r="O25" s="86" t="str">
        <f>IF(AND('Mapa final'!$Y$69="Alta",'Mapa final'!$AA$69="Leve"),CONCATENATE("R10C",'Mapa final'!$O$69),"")</f>
        <v/>
      </c>
      <c r="P25" s="84" t="str">
        <f>IF(AND('Mapa final'!$Y$64="Alta",'Mapa final'!$AA$64="Menor"),CONCATENATE("R10C",'Mapa final'!$O$64),"")</f>
        <v/>
      </c>
      <c r="Q25" s="85" t="str">
        <f>IF(AND('Mapa final'!$Y$65="Alta",'Mapa final'!$AA$65="Menor"),CONCATENATE("R10C",'Mapa final'!$O$65),"")</f>
        <v/>
      </c>
      <c r="R25" s="85" t="str">
        <f>IF(AND('Mapa final'!$Y$66="Alta",'Mapa final'!$AA$66="Menor"),CONCATENATE("R10C",'Mapa final'!$O$66),"")</f>
        <v/>
      </c>
      <c r="S25" s="85" t="str">
        <f>IF(AND('Mapa final'!$Y$67="Alta",'Mapa final'!$AA$67="Menor"),CONCATENATE("R10C",'Mapa final'!$O$67),"")</f>
        <v/>
      </c>
      <c r="T25" s="85" t="str">
        <f>IF(AND('Mapa final'!$Y$68="Alta",'Mapa final'!$AA$68="Menor"),CONCATENATE("R10C",'Mapa final'!$O$68),"")</f>
        <v/>
      </c>
      <c r="U25" s="86" t="str">
        <f>IF(AND('Mapa final'!$Y$69="Alta",'Mapa final'!$AA$69="Menor"),CONCATENATE("R10C",'Mapa final'!$O$69),"")</f>
        <v/>
      </c>
      <c r="V25" s="72" t="str">
        <f>IF(AND('Mapa final'!$Y$64="Alta",'Mapa final'!$AA$64="Moderado"),CONCATENATE("R10C",'Mapa final'!$O$64),"")</f>
        <v/>
      </c>
      <c r="W25" s="73" t="str">
        <f>IF(AND('Mapa final'!$Y$65="Alta",'Mapa final'!$AA$65="Moderado"),CONCATENATE("R10C",'Mapa final'!$O$65),"")</f>
        <v/>
      </c>
      <c r="X25" s="73" t="str">
        <f>IF(AND('Mapa final'!$Y$66="Alta",'Mapa final'!$AA$66="Moderado"),CONCATENATE("R10C",'Mapa final'!$O$66),"")</f>
        <v/>
      </c>
      <c r="Y25" s="73" t="str">
        <f>IF(AND('Mapa final'!$Y$67="Alta",'Mapa final'!$AA$67="Moderado"),CONCATENATE("R10C",'Mapa final'!$O$67),"")</f>
        <v/>
      </c>
      <c r="Z25" s="73" t="str">
        <f>IF(AND('Mapa final'!$Y$68="Alta",'Mapa final'!$AA$68="Moderado"),CONCATENATE("R10C",'Mapa final'!$O$68),"")</f>
        <v/>
      </c>
      <c r="AA25" s="74" t="str">
        <f>IF(AND('Mapa final'!$Y$69="Alta",'Mapa final'!$AA$69="Moderado"),CONCATENATE("R10C",'Mapa final'!$O$69),"")</f>
        <v/>
      </c>
      <c r="AB25" s="72" t="str">
        <f>IF(AND('Mapa final'!$Y$64="Alta",'Mapa final'!$AA$64="Mayor"),CONCATENATE("R10C",'Mapa final'!$O$64),"")</f>
        <v/>
      </c>
      <c r="AC25" s="73" t="str">
        <f>IF(AND('Mapa final'!$Y$65="Alta",'Mapa final'!$AA$65="Mayor"),CONCATENATE("R10C",'Mapa final'!$O$65),"")</f>
        <v/>
      </c>
      <c r="AD25" s="73" t="str">
        <f>IF(AND('Mapa final'!$Y$66="Alta",'Mapa final'!$AA$66="Mayor"),CONCATENATE("R10C",'Mapa final'!$O$66),"")</f>
        <v/>
      </c>
      <c r="AE25" s="73" t="str">
        <f>IF(AND('Mapa final'!$Y$67="Alta",'Mapa final'!$AA$67="Mayor"),CONCATENATE("R10C",'Mapa final'!$O$67),"")</f>
        <v/>
      </c>
      <c r="AF25" s="73" t="str">
        <f>IF(AND('Mapa final'!$Y$68="Alta",'Mapa final'!$AA$68="Mayor"),CONCATENATE("R10C",'Mapa final'!$O$68),"")</f>
        <v/>
      </c>
      <c r="AG25" s="74" t="str">
        <f>IF(AND('Mapa final'!$Y$69="Alta",'Mapa final'!$AA$69="Mayor"),CONCATENATE("R10C",'Mapa final'!$O$69),"")</f>
        <v/>
      </c>
      <c r="AH25" s="75" t="str">
        <f>IF(AND('Mapa final'!$Y$64="Alta",'Mapa final'!$AA$64="Catastrófico"),CONCATENATE("R10C",'Mapa final'!$O$64),"")</f>
        <v/>
      </c>
      <c r="AI25" s="76" t="str">
        <f>IF(AND('Mapa final'!$Y$65="Alta",'Mapa final'!$AA$65="Catastrófico"),CONCATENATE("R10C",'Mapa final'!$O$65),"")</f>
        <v/>
      </c>
      <c r="AJ25" s="76" t="str">
        <f>IF(AND('Mapa final'!$Y$66="Alta",'Mapa final'!$AA$66="Catastrófico"),CONCATENATE("R10C",'Mapa final'!$O$66),"")</f>
        <v/>
      </c>
      <c r="AK25" s="76" t="str">
        <f>IF(AND('Mapa final'!$Y$67="Alta",'Mapa final'!$AA$67="Catastrófico"),CONCATENATE("R10C",'Mapa final'!$O$67),"")</f>
        <v/>
      </c>
      <c r="AL25" s="76" t="str">
        <f>IF(AND('Mapa final'!$Y$68="Alta",'Mapa final'!$AA$68="Catastrófico"),CONCATENATE("R10C",'Mapa final'!$O$68),"")</f>
        <v/>
      </c>
      <c r="AM25" s="77" t="str">
        <f>IF(AND('Mapa final'!$Y$69="Alta",'Mapa final'!$AA$69="Catastrófico"),CONCATENATE("R10C",'Mapa final'!$O$69),"")</f>
        <v/>
      </c>
      <c r="AN25" s="97"/>
      <c r="AO25" s="389"/>
      <c r="AP25" s="390"/>
      <c r="AQ25" s="390"/>
      <c r="AR25" s="390"/>
      <c r="AS25" s="390"/>
      <c r="AT25" s="391"/>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row>
    <row r="26" spans="1:76" ht="15" customHeight="1" x14ac:dyDescent="0.25">
      <c r="A26" s="97"/>
      <c r="B26" s="297"/>
      <c r="C26" s="297"/>
      <c r="D26" s="298"/>
      <c r="E26" s="392" t="s">
        <v>117</v>
      </c>
      <c r="F26" s="393"/>
      <c r="G26" s="393"/>
      <c r="H26" s="393"/>
      <c r="I26" s="410"/>
      <c r="J26" s="78" t="str">
        <f>IF(AND('Mapa final'!$Y$10="Media",'Mapa final'!$AA$10="Leve"),CONCATENATE("R1C",'Mapa final'!$O$10),"")</f>
        <v/>
      </c>
      <c r="K26" s="79" t="str">
        <f>IF(AND('Mapa final'!$Y$11="Media",'Mapa final'!$AA$11="Leve"),CONCATENATE("R1C",'Mapa final'!$O$11),"")</f>
        <v/>
      </c>
      <c r="L26" s="79" t="str">
        <f>IF(AND('Mapa final'!$Y$12="Media",'Mapa final'!$AA$12="Leve"),CONCATENATE("R1C",'Mapa final'!$O$12),"")</f>
        <v/>
      </c>
      <c r="M26" s="79" t="str">
        <f>IF(AND('Mapa final'!$Y$13="Media",'Mapa final'!$AA$13="Leve"),CONCATENATE("R1C",'Mapa final'!$O$13),"")</f>
        <v/>
      </c>
      <c r="N26" s="79" t="str">
        <f>IF(AND('Mapa final'!$Y$14="Media",'Mapa final'!$AA$14="Leve"),CONCATENATE("R1C",'Mapa final'!$O$14),"")</f>
        <v/>
      </c>
      <c r="O26" s="80" t="str">
        <f>IF(AND('Mapa final'!$Y$15="Media",'Mapa final'!$AA$15="Leve"),CONCATENATE("R1C",'Mapa final'!$O$15),"")</f>
        <v/>
      </c>
      <c r="P26" s="78" t="str">
        <f>IF(AND('Mapa final'!$Y$10="Media",'Mapa final'!$AA$10="Menor"),CONCATENATE("R1C",'Mapa final'!$O$10),"")</f>
        <v/>
      </c>
      <c r="Q26" s="79" t="str">
        <f>IF(AND('Mapa final'!$Y$11="Media",'Mapa final'!$AA$11="Menor"),CONCATENATE("R1C",'Mapa final'!$O$11),"")</f>
        <v/>
      </c>
      <c r="R26" s="79" t="str">
        <f>IF(AND('Mapa final'!$Y$12="Media",'Mapa final'!$AA$12="Menor"),CONCATENATE("R1C",'Mapa final'!$O$12),"")</f>
        <v/>
      </c>
      <c r="S26" s="79" t="str">
        <f>IF(AND('Mapa final'!$Y$13="Media",'Mapa final'!$AA$13="Menor"),CONCATENATE("R1C",'Mapa final'!$O$13),"")</f>
        <v/>
      </c>
      <c r="T26" s="79" t="str">
        <f>IF(AND('Mapa final'!$Y$14="Media",'Mapa final'!$AA$14="Menor"),CONCATENATE("R1C",'Mapa final'!$O$14),"")</f>
        <v/>
      </c>
      <c r="U26" s="80" t="str">
        <f>IF(AND('Mapa final'!$Y$15="Media",'Mapa final'!$AA$15="Menor"),CONCATENATE("R1C",'Mapa final'!$O$15),"")</f>
        <v/>
      </c>
      <c r="V26" s="78" t="str">
        <f>IF(AND('Mapa final'!$Y$10="Media",'Mapa final'!$AA$10="Moderado"),CONCATENATE("R1C",'Mapa final'!$O$10),"")</f>
        <v/>
      </c>
      <c r="W26" s="79" t="str">
        <f>IF(AND('Mapa final'!$Y$11="Media",'Mapa final'!$AA$11="Moderado"),CONCATENATE("R1C",'Mapa final'!$O$11),"")</f>
        <v/>
      </c>
      <c r="X26" s="79" t="str">
        <f>IF(AND('Mapa final'!$Y$12="Media",'Mapa final'!$AA$12="Moderado"),CONCATENATE("R1C",'Mapa final'!$O$12),"")</f>
        <v/>
      </c>
      <c r="Y26" s="79" t="str">
        <f>IF(AND('Mapa final'!$Y$13="Media",'Mapa final'!$AA$13="Moderado"),CONCATENATE("R1C",'Mapa final'!$O$13),"")</f>
        <v/>
      </c>
      <c r="Z26" s="79" t="str">
        <f>IF(AND('Mapa final'!$Y$14="Media",'Mapa final'!$AA$14="Moderado"),CONCATENATE("R1C",'Mapa final'!$O$14),"")</f>
        <v/>
      </c>
      <c r="AA26" s="80" t="str">
        <f>IF(AND('Mapa final'!$Y$15="Media",'Mapa final'!$AA$15="Moderado"),CONCATENATE("R1C",'Mapa final'!$O$15),"")</f>
        <v/>
      </c>
      <c r="AB26" s="60" t="str">
        <f>IF(AND('Mapa final'!$Y$10="Media",'Mapa final'!$AA$10="Mayor"),CONCATENATE("R1C",'Mapa final'!$O$10),"")</f>
        <v/>
      </c>
      <c r="AC26" s="61" t="str">
        <f>IF(AND('Mapa final'!$Y$11="Media",'Mapa final'!$AA$11="Mayor"),CONCATENATE("R1C",'Mapa final'!$O$11),"")</f>
        <v/>
      </c>
      <c r="AD26" s="61" t="str">
        <f>IF(AND('Mapa final'!$Y$12="Media",'Mapa final'!$AA$12="Mayor"),CONCATENATE("R1C",'Mapa final'!$O$12),"")</f>
        <v/>
      </c>
      <c r="AE26" s="61" t="str">
        <f>IF(AND('Mapa final'!$Y$13="Media",'Mapa final'!$AA$13="Mayor"),CONCATENATE("R1C",'Mapa final'!$O$13),"")</f>
        <v/>
      </c>
      <c r="AF26" s="61" t="str">
        <f>IF(AND('Mapa final'!$Y$14="Media",'Mapa final'!$AA$14="Mayor"),CONCATENATE("R1C",'Mapa final'!$O$14),"")</f>
        <v/>
      </c>
      <c r="AG26" s="62" t="str">
        <f>IF(AND('Mapa final'!$Y$15="Media",'Mapa final'!$AA$15="Mayor"),CONCATENATE("R1C",'Mapa final'!$O$15),"")</f>
        <v/>
      </c>
      <c r="AH26" s="63" t="str">
        <f>IF(AND('Mapa final'!$Y$10="Media",'Mapa final'!$AA$10="Catastrófico"),CONCATENATE("R1C",'Mapa final'!$O$10),"")</f>
        <v>R1C1</v>
      </c>
      <c r="AI26" s="64" t="str">
        <f>IF(AND('Mapa final'!$Y$11="Media",'Mapa final'!$AA$11="Catastrófico"),CONCATENATE("R1C",'Mapa final'!$O$11),"")</f>
        <v/>
      </c>
      <c r="AJ26" s="64" t="str">
        <f>IF(AND('Mapa final'!$Y$12="Media",'Mapa final'!$AA$12="Catastrófico"),CONCATENATE("R1C",'Mapa final'!$O$12),"")</f>
        <v/>
      </c>
      <c r="AK26" s="64" t="str">
        <f>IF(AND('Mapa final'!$Y$13="Media",'Mapa final'!$AA$13="Catastrófico"),CONCATENATE("R1C",'Mapa final'!$O$13),"")</f>
        <v/>
      </c>
      <c r="AL26" s="64" t="str">
        <f>IF(AND('Mapa final'!$Y$14="Media",'Mapa final'!$AA$14="Catastrófico"),CONCATENATE("R1C",'Mapa final'!$O$14),"")</f>
        <v/>
      </c>
      <c r="AM26" s="65" t="str">
        <f>IF(AND('Mapa final'!$Y$15="Media",'Mapa final'!$AA$15="Catastrófico"),CONCATENATE("R1C",'Mapa final'!$O$15),"")</f>
        <v/>
      </c>
      <c r="AN26" s="97"/>
      <c r="AO26" s="422" t="s">
        <v>81</v>
      </c>
      <c r="AP26" s="423"/>
      <c r="AQ26" s="423"/>
      <c r="AR26" s="423"/>
      <c r="AS26" s="423"/>
      <c r="AT26" s="424"/>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row>
    <row r="27" spans="1:76" ht="15" customHeight="1" x14ac:dyDescent="0.25">
      <c r="A27" s="97"/>
      <c r="B27" s="297"/>
      <c r="C27" s="297"/>
      <c r="D27" s="298"/>
      <c r="E27" s="394"/>
      <c r="F27" s="395"/>
      <c r="G27" s="395"/>
      <c r="H27" s="395"/>
      <c r="I27" s="411"/>
      <c r="J27" s="81" t="str">
        <f>IF(AND('Mapa final'!$Y$16="Media",'Mapa final'!$AA$16="Leve"),CONCATENATE("R2C",'Mapa final'!$O$16),"")</f>
        <v/>
      </c>
      <c r="K27" s="82" t="str">
        <f>IF(AND('Mapa final'!$Y$17="Media",'Mapa final'!$AA$17="Leve"),CONCATENATE("R2C",'Mapa final'!$O$17),"")</f>
        <v/>
      </c>
      <c r="L27" s="82" t="str">
        <f>IF(AND('Mapa final'!$Y$18="Media",'Mapa final'!$AA$18="Leve"),CONCATENATE("R2C",'Mapa final'!$O$18),"")</f>
        <v/>
      </c>
      <c r="M27" s="82" t="str">
        <f>IF(AND('Mapa final'!$Y$19="Media",'Mapa final'!$AA$19="Leve"),CONCATENATE("R2C",'Mapa final'!$O$19),"")</f>
        <v/>
      </c>
      <c r="N27" s="82" t="str">
        <f>IF(AND('Mapa final'!$Y$20="Media",'Mapa final'!$AA$20="Leve"),CONCATENATE("R2C",'Mapa final'!$O$20),"")</f>
        <v/>
      </c>
      <c r="O27" s="83" t="str">
        <f>IF(AND('Mapa final'!$Y$21="Media",'Mapa final'!$AA$21="Leve"),CONCATENATE("R2C",'Mapa final'!$O$21),"")</f>
        <v/>
      </c>
      <c r="P27" s="81" t="str">
        <f>IF(AND('Mapa final'!$Y$16="Media",'Mapa final'!$AA$16="Menor"),CONCATENATE("R2C",'Mapa final'!$O$16),"")</f>
        <v/>
      </c>
      <c r="Q27" s="82" t="str">
        <f>IF(AND('Mapa final'!$Y$17="Media",'Mapa final'!$AA$17="Menor"),CONCATENATE("R2C",'Mapa final'!$O$17),"")</f>
        <v/>
      </c>
      <c r="R27" s="82" t="str">
        <f>IF(AND('Mapa final'!$Y$18="Media",'Mapa final'!$AA$18="Menor"),CONCATENATE("R2C",'Mapa final'!$O$18),"")</f>
        <v/>
      </c>
      <c r="S27" s="82" t="str">
        <f>IF(AND('Mapa final'!$Y$19="Media",'Mapa final'!$AA$19="Menor"),CONCATENATE("R2C",'Mapa final'!$O$19),"")</f>
        <v/>
      </c>
      <c r="T27" s="82" t="str">
        <f>IF(AND('Mapa final'!$Y$20="Media",'Mapa final'!$AA$20="Menor"),CONCATENATE("R2C",'Mapa final'!$O$20),"")</f>
        <v/>
      </c>
      <c r="U27" s="83" t="str">
        <f>IF(AND('Mapa final'!$Y$21="Media",'Mapa final'!$AA$21="Menor"),CONCATENATE("R2C",'Mapa final'!$O$21),"")</f>
        <v/>
      </c>
      <c r="V27" s="81" t="str">
        <f>IF(AND('Mapa final'!$Y$16="Media",'Mapa final'!$AA$16="Moderado"),CONCATENATE("R2C",'Mapa final'!$O$16),"")</f>
        <v/>
      </c>
      <c r="W27" s="82" t="str">
        <f>IF(AND('Mapa final'!$Y$17="Media",'Mapa final'!$AA$17="Moderado"),CONCATENATE("R2C",'Mapa final'!$O$17),"")</f>
        <v/>
      </c>
      <c r="X27" s="82" t="str">
        <f>IF(AND('Mapa final'!$Y$18="Media",'Mapa final'!$AA$18="Moderado"),CONCATENATE("R2C",'Mapa final'!$O$18),"")</f>
        <v/>
      </c>
      <c r="Y27" s="82" t="str">
        <f>IF(AND('Mapa final'!$Y$19="Media",'Mapa final'!$AA$19="Moderado"),CONCATENATE("R2C",'Mapa final'!$O$19),"")</f>
        <v/>
      </c>
      <c r="Z27" s="82" t="str">
        <f>IF(AND('Mapa final'!$Y$20="Media",'Mapa final'!$AA$20="Moderado"),CONCATENATE("R2C",'Mapa final'!$O$20),"")</f>
        <v/>
      </c>
      <c r="AA27" s="83" t="str">
        <f>IF(AND('Mapa final'!$Y$21="Media",'Mapa final'!$AA$21="Moderado"),CONCATENATE("R2C",'Mapa final'!$O$21),"")</f>
        <v/>
      </c>
      <c r="AB27" s="66" t="str">
        <f>IF(AND('Mapa final'!$Y$16="Media",'Mapa final'!$AA$16="Mayor"),CONCATENATE("R2C",'Mapa final'!$O$16),"")</f>
        <v/>
      </c>
      <c r="AC27" s="67" t="str">
        <f>IF(AND('Mapa final'!$Y$17="Media",'Mapa final'!$AA$17="Mayor"),CONCATENATE("R2C",'Mapa final'!$O$17),"")</f>
        <v/>
      </c>
      <c r="AD27" s="67" t="str">
        <f>IF(AND('Mapa final'!$Y$18="Media",'Mapa final'!$AA$18="Mayor"),CONCATENATE("R2C",'Mapa final'!$O$18),"")</f>
        <v/>
      </c>
      <c r="AE27" s="67" t="str">
        <f>IF(AND('Mapa final'!$Y$19="Media",'Mapa final'!$AA$19="Mayor"),CONCATENATE("R2C",'Mapa final'!$O$19),"")</f>
        <v/>
      </c>
      <c r="AF27" s="67" t="str">
        <f>IF(AND('Mapa final'!$Y$20="Media",'Mapa final'!$AA$20="Mayor"),CONCATENATE("R2C",'Mapa final'!$O$20),"")</f>
        <v/>
      </c>
      <c r="AG27" s="68" t="str">
        <f>IF(AND('Mapa final'!$Y$21="Media",'Mapa final'!$AA$21="Mayor"),CONCATENATE("R2C",'Mapa final'!$O$21),"")</f>
        <v/>
      </c>
      <c r="AH27" s="69" t="str">
        <f>IF(AND('Mapa final'!$Y$16="Media",'Mapa final'!$AA$16="Catastrófico"),CONCATENATE("R2C",'Mapa final'!$O$16),"")</f>
        <v>R2C1</v>
      </c>
      <c r="AI27" s="70" t="str">
        <f>IF(AND('Mapa final'!$Y$17="Media",'Mapa final'!$AA$17="Catastrófico"),CONCATENATE("R2C",'Mapa final'!$O$17),"")</f>
        <v/>
      </c>
      <c r="AJ27" s="70" t="str">
        <f>IF(AND('Mapa final'!$Y$18="Media",'Mapa final'!$AA$18="Catastrófico"),CONCATENATE("R2C",'Mapa final'!$O$18),"")</f>
        <v/>
      </c>
      <c r="AK27" s="70" t="str">
        <f>IF(AND('Mapa final'!$Y$19="Media",'Mapa final'!$AA$19="Catastrófico"),CONCATENATE("R2C",'Mapa final'!$O$19),"")</f>
        <v/>
      </c>
      <c r="AL27" s="70" t="str">
        <f>IF(AND('Mapa final'!$Y$20="Media",'Mapa final'!$AA$20="Catastrófico"),CONCATENATE("R2C",'Mapa final'!$O$20),"")</f>
        <v/>
      </c>
      <c r="AM27" s="71" t="str">
        <f>IF(AND('Mapa final'!$Y$21="Media",'Mapa final'!$AA$21="Catastrófico"),CONCATENATE("R2C",'Mapa final'!$O$21),"")</f>
        <v/>
      </c>
      <c r="AN27" s="97"/>
      <c r="AO27" s="425"/>
      <c r="AP27" s="426"/>
      <c r="AQ27" s="426"/>
      <c r="AR27" s="426"/>
      <c r="AS27" s="426"/>
      <c r="AT27" s="42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15" customHeight="1" x14ac:dyDescent="0.25">
      <c r="A28" s="97"/>
      <c r="B28" s="297"/>
      <c r="C28" s="297"/>
      <c r="D28" s="298"/>
      <c r="E28" s="396"/>
      <c r="F28" s="395"/>
      <c r="G28" s="395"/>
      <c r="H28" s="395"/>
      <c r="I28" s="411"/>
      <c r="J28" s="81" t="str">
        <f>IF(AND('Mapa final'!$Y$22="Media",'Mapa final'!$AA$22="Leve"),CONCATENATE("R3C",'Mapa final'!$O$22),"")</f>
        <v/>
      </c>
      <c r="K28" s="82" t="str">
        <f>IF(AND('Mapa final'!$Y$23="Media",'Mapa final'!$AA$23="Leve"),CONCATENATE("R3C",'Mapa final'!$O$23),"")</f>
        <v/>
      </c>
      <c r="L28" s="82" t="str">
        <f>IF(AND('Mapa final'!$Y$24="Media",'Mapa final'!$AA$24="Leve"),CONCATENATE("R3C",'Mapa final'!$O$24),"")</f>
        <v/>
      </c>
      <c r="M28" s="82" t="str">
        <f>IF(AND('Mapa final'!$Y$25="Media",'Mapa final'!$AA$25="Leve"),CONCATENATE("R3C",'Mapa final'!$O$25),"")</f>
        <v/>
      </c>
      <c r="N28" s="82" t="str">
        <f>IF(AND('Mapa final'!$Y$26="Media",'Mapa final'!$AA$26="Leve"),CONCATENATE("R3C",'Mapa final'!$O$26),"")</f>
        <v/>
      </c>
      <c r="O28" s="83" t="str">
        <f>IF(AND('Mapa final'!$Y$27="Media",'Mapa final'!$AA$27="Leve"),CONCATENATE("R3C",'Mapa final'!$O$27),"")</f>
        <v/>
      </c>
      <c r="P28" s="81" t="str">
        <f>IF(AND('Mapa final'!$Y$22="Media",'Mapa final'!$AA$22="Menor"),CONCATENATE("R3C",'Mapa final'!$O$22),"")</f>
        <v/>
      </c>
      <c r="Q28" s="82" t="str">
        <f>IF(AND('Mapa final'!$Y$23="Media",'Mapa final'!$AA$23="Menor"),CONCATENATE("R3C",'Mapa final'!$O$23),"")</f>
        <v/>
      </c>
      <c r="R28" s="82" t="str">
        <f>IF(AND('Mapa final'!$Y$24="Media",'Mapa final'!$AA$24="Menor"),CONCATENATE("R3C",'Mapa final'!$O$24),"")</f>
        <v/>
      </c>
      <c r="S28" s="82" t="str">
        <f>IF(AND('Mapa final'!$Y$25="Media",'Mapa final'!$AA$25="Menor"),CONCATENATE("R3C",'Mapa final'!$O$25),"")</f>
        <v/>
      </c>
      <c r="T28" s="82" t="str">
        <f>IF(AND('Mapa final'!$Y$26="Media",'Mapa final'!$AA$26="Menor"),CONCATENATE("R3C",'Mapa final'!$O$26),"")</f>
        <v/>
      </c>
      <c r="U28" s="83" t="str">
        <f>IF(AND('Mapa final'!$Y$27="Media",'Mapa final'!$AA$27="Menor"),CONCATENATE("R3C",'Mapa final'!$O$27),"")</f>
        <v/>
      </c>
      <c r="V28" s="81" t="str">
        <f>IF(AND('Mapa final'!$Y$22="Media",'Mapa final'!$AA$22="Moderado"),CONCATENATE("R3C",'Mapa final'!$O$22),"")</f>
        <v/>
      </c>
      <c r="W28" s="82" t="str">
        <f>IF(AND('Mapa final'!$Y$23="Media",'Mapa final'!$AA$23="Moderado"),CONCATENATE("R3C",'Mapa final'!$O$23),"")</f>
        <v/>
      </c>
      <c r="X28" s="82" t="str">
        <f>IF(AND('Mapa final'!$Y$24="Media",'Mapa final'!$AA$24="Moderado"),CONCATENATE("R3C",'Mapa final'!$O$24),"")</f>
        <v/>
      </c>
      <c r="Y28" s="82" t="str">
        <f>IF(AND('Mapa final'!$Y$25="Media",'Mapa final'!$AA$25="Moderado"),CONCATENATE("R3C",'Mapa final'!$O$25),"")</f>
        <v/>
      </c>
      <c r="Z28" s="82" t="str">
        <f>IF(AND('Mapa final'!$Y$26="Media",'Mapa final'!$AA$26="Moderado"),CONCATENATE("R3C",'Mapa final'!$O$26),"")</f>
        <v/>
      </c>
      <c r="AA28" s="83" t="str">
        <f>IF(AND('Mapa final'!$Y$27="Media",'Mapa final'!$AA$27="Moderado"),CONCATENATE("R3C",'Mapa final'!$O$27),"")</f>
        <v/>
      </c>
      <c r="AB28" s="66" t="str">
        <f>IF(AND('Mapa final'!$Y$22="Media",'Mapa final'!$AA$22="Mayor"),CONCATENATE("R3C",'Mapa final'!$O$22),"")</f>
        <v/>
      </c>
      <c r="AC28" s="67" t="str">
        <f>IF(AND('Mapa final'!$Y$23="Media",'Mapa final'!$AA$23="Mayor"),CONCATENATE("R3C",'Mapa final'!$O$23),"")</f>
        <v/>
      </c>
      <c r="AD28" s="67" t="str">
        <f>IF(AND('Mapa final'!$Y$24="Media",'Mapa final'!$AA$24="Mayor"),CONCATENATE("R3C",'Mapa final'!$O$24),"")</f>
        <v/>
      </c>
      <c r="AE28" s="67" t="str">
        <f>IF(AND('Mapa final'!$Y$25="Media",'Mapa final'!$AA$25="Mayor"),CONCATENATE("R3C",'Mapa final'!$O$25),"")</f>
        <v/>
      </c>
      <c r="AF28" s="67" t="str">
        <f>IF(AND('Mapa final'!$Y$26="Media",'Mapa final'!$AA$26="Mayor"),CONCATENATE("R3C",'Mapa final'!$O$26),"")</f>
        <v/>
      </c>
      <c r="AG28" s="68" t="str">
        <f>IF(AND('Mapa final'!$Y$27="Media",'Mapa final'!$AA$27="Mayor"),CONCATENATE("R3C",'Mapa final'!$O$27),"")</f>
        <v/>
      </c>
      <c r="AH28" s="69" t="str">
        <f>IF(AND('Mapa final'!$Y$22="Media",'Mapa final'!$AA$22="Catastrófico"),CONCATENATE("R3C",'Mapa final'!$O$22),"")</f>
        <v/>
      </c>
      <c r="AI28" s="70" t="str">
        <f>IF(AND('Mapa final'!$Y$23="Media",'Mapa final'!$AA$23="Catastrófico"),CONCATENATE("R3C",'Mapa final'!$O$23),"")</f>
        <v/>
      </c>
      <c r="AJ28" s="70" t="str">
        <f>IF(AND('Mapa final'!$Y$24="Media",'Mapa final'!$AA$24="Catastrófico"),CONCATENATE("R3C",'Mapa final'!$O$24),"")</f>
        <v/>
      </c>
      <c r="AK28" s="70" t="str">
        <f>IF(AND('Mapa final'!$Y$25="Media",'Mapa final'!$AA$25="Catastrófico"),CONCATENATE("R3C",'Mapa final'!$O$25),"")</f>
        <v/>
      </c>
      <c r="AL28" s="70" t="str">
        <f>IF(AND('Mapa final'!$Y$26="Media",'Mapa final'!$AA$26="Catastrófico"),CONCATENATE("R3C",'Mapa final'!$O$26),"")</f>
        <v/>
      </c>
      <c r="AM28" s="71" t="str">
        <f>IF(AND('Mapa final'!$Y$27="Media",'Mapa final'!$AA$27="Catastrófico"),CONCATENATE("R3C",'Mapa final'!$O$27),"")</f>
        <v/>
      </c>
      <c r="AN28" s="97"/>
      <c r="AO28" s="425"/>
      <c r="AP28" s="426"/>
      <c r="AQ28" s="426"/>
      <c r="AR28" s="426"/>
      <c r="AS28" s="426"/>
      <c r="AT28" s="42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15" customHeight="1" x14ac:dyDescent="0.25">
      <c r="A29" s="97"/>
      <c r="B29" s="297"/>
      <c r="C29" s="297"/>
      <c r="D29" s="298"/>
      <c r="E29" s="396"/>
      <c r="F29" s="395"/>
      <c r="G29" s="395"/>
      <c r="H29" s="395"/>
      <c r="I29" s="411"/>
      <c r="J29" s="81" t="str">
        <f>IF(AND('Mapa final'!$Y$28="Media",'Mapa final'!$AA$28="Leve"),CONCATENATE("R4C",'Mapa final'!$O$28),"")</f>
        <v/>
      </c>
      <c r="K29" s="82" t="str">
        <f>IF(AND('Mapa final'!$Y$29="Media",'Mapa final'!$AA$29="Leve"),CONCATENATE("R4C",'Mapa final'!$O$29),"")</f>
        <v/>
      </c>
      <c r="L29" s="82" t="str">
        <f>IF(AND('Mapa final'!$Y$30="Media",'Mapa final'!$AA$30="Leve"),CONCATENATE("R4C",'Mapa final'!$O$30),"")</f>
        <v/>
      </c>
      <c r="M29" s="82" t="str">
        <f>IF(AND('Mapa final'!$Y$31="Media",'Mapa final'!$AA$31="Leve"),CONCATENATE("R4C",'Mapa final'!$O$31),"")</f>
        <v/>
      </c>
      <c r="N29" s="82" t="str">
        <f>IF(AND('Mapa final'!$Y$32="Media",'Mapa final'!$AA$32="Leve"),CONCATENATE("R4C",'Mapa final'!$O$32),"")</f>
        <v/>
      </c>
      <c r="O29" s="83" t="str">
        <f>IF(AND('Mapa final'!$Y$33="Media",'Mapa final'!$AA$33="Leve"),CONCATENATE("R4C",'Mapa final'!$O$33),"")</f>
        <v/>
      </c>
      <c r="P29" s="81" t="str">
        <f>IF(AND('Mapa final'!$Y$28="Media",'Mapa final'!$AA$28="Menor"),CONCATENATE("R4C",'Mapa final'!$O$28),"")</f>
        <v/>
      </c>
      <c r="Q29" s="82" t="str">
        <f>IF(AND('Mapa final'!$Y$29="Media",'Mapa final'!$AA$29="Menor"),CONCATENATE("R4C",'Mapa final'!$O$29),"")</f>
        <v/>
      </c>
      <c r="R29" s="82" t="str">
        <f>IF(AND('Mapa final'!$Y$30="Media",'Mapa final'!$AA$30="Menor"),CONCATENATE("R4C",'Mapa final'!$O$30),"")</f>
        <v/>
      </c>
      <c r="S29" s="82" t="str">
        <f>IF(AND('Mapa final'!$Y$31="Media",'Mapa final'!$AA$31="Menor"),CONCATENATE("R4C",'Mapa final'!$O$31),"")</f>
        <v/>
      </c>
      <c r="T29" s="82" t="str">
        <f>IF(AND('Mapa final'!$Y$32="Media",'Mapa final'!$AA$32="Menor"),CONCATENATE("R4C",'Mapa final'!$O$32),"")</f>
        <v/>
      </c>
      <c r="U29" s="83" t="str">
        <f>IF(AND('Mapa final'!$Y$33="Media",'Mapa final'!$AA$33="Menor"),CONCATENATE("R4C",'Mapa final'!$O$33),"")</f>
        <v/>
      </c>
      <c r="V29" s="81" t="str">
        <f>IF(AND('Mapa final'!$Y$28="Media",'Mapa final'!$AA$28="Moderado"),CONCATENATE("R4C",'Mapa final'!$O$28),"")</f>
        <v/>
      </c>
      <c r="W29" s="82" t="str">
        <f>IF(AND('Mapa final'!$Y$29="Media",'Mapa final'!$AA$29="Moderado"),CONCATENATE("R4C",'Mapa final'!$O$29),"")</f>
        <v/>
      </c>
      <c r="X29" s="82" t="str">
        <f>IF(AND('Mapa final'!$Y$30="Media",'Mapa final'!$AA$30="Moderado"),CONCATENATE("R4C",'Mapa final'!$O$30),"")</f>
        <v/>
      </c>
      <c r="Y29" s="82" t="str">
        <f>IF(AND('Mapa final'!$Y$31="Media",'Mapa final'!$AA$31="Moderado"),CONCATENATE("R4C",'Mapa final'!$O$31),"")</f>
        <v/>
      </c>
      <c r="Z29" s="82" t="str">
        <f>IF(AND('Mapa final'!$Y$32="Media",'Mapa final'!$AA$32="Moderado"),CONCATENATE("R4C",'Mapa final'!$O$32),"")</f>
        <v/>
      </c>
      <c r="AA29" s="83" t="str">
        <f>IF(AND('Mapa final'!$Y$33="Media",'Mapa final'!$AA$33="Moderado"),CONCATENATE("R4C",'Mapa final'!$O$33),"")</f>
        <v/>
      </c>
      <c r="AB29" s="66" t="str">
        <f>IF(AND('Mapa final'!$Y$28="Media",'Mapa final'!$AA$28="Mayor"),CONCATENATE("R4C",'Mapa final'!$O$28),"")</f>
        <v/>
      </c>
      <c r="AC29" s="67" t="str">
        <f>IF(AND('Mapa final'!$Y$29="Media",'Mapa final'!$AA$29="Mayor"),CONCATENATE("R4C",'Mapa final'!$O$29),"")</f>
        <v/>
      </c>
      <c r="AD29" s="67" t="str">
        <f>IF(AND('Mapa final'!$Y$30="Media",'Mapa final'!$AA$30="Mayor"),CONCATENATE("R4C",'Mapa final'!$O$30),"")</f>
        <v/>
      </c>
      <c r="AE29" s="67" t="str">
        <f>IF(AND('Mapa final'!$Y$31="Media",'Mapa final'!$AA$31="Mayor"),CONCATENATE("R4C",'Mapa final'!$O$31),"")</f>
        <v/>
      </c>
      <c r="AF29" s="67" t="str">
        <f>IF(AND('Mapa final'!$Y$32="Media",'Mapa final'!$AA$32="Mayor"),CONCATENATE("R4C",'Mapa final'!$O$32),"")</f>
        <v/>
      </c>
      <c r="AG29" s="68" t="str">
        <f>IF(AND('Mapa final'!$Y$33="Media",'Mapa final'!$AA$33="Mayor"),CONCATENATE("R4C",'Mapa final'!$O$33),"")</f>
        <v/>
      </c>
      <c r="AH29" s="69" t="str">
        <f>IF(AND('Mapa final'!$Y$28="Media",'Mapa final'!$AA$28="Catastrófico"),CONCATENATE("R4C",'Mapa final'!$O$28),"")</f>
        <v/>
      </c>
      <c r="AI29" s="70" t="str">
        <f>IF(AND('Mapa final'!$Y$29="Media",'Mapa final'!$AA$29="Catastrófico"),CONCATENATE("R4C",'Mapa final'!$O$29),"")</f>
        <v/>
      </c>
      <c r="AJ29" s="70" t="str">
        <f>IF(AND('Mapa final'!$Y$30="Media",'Mapa final'!$AA$30="Catastrófico"),CONCATENATE("R4C",'Mapa final'!$O$30),"")</f>
        <v/>
      </c>
      <c r="AK29" s="70" t="str">
        <f>IF(AND('Mapa final'!$Y$31="Media",'Mapa final'!$AA$31="Catastrófico"),CONCATENATE("R4C",'Mapa final'!$O$31),"")</f>
        <v/>
      </c>
      <c r="AL29" s="70" t="str">
        <f>IF(AND('Mapa final'!$Y$32="Media",'Mapa final'!$AA$32="Catastrófico"),CONCATENATE("R4C",'Mapa final'!$O$32),"")</f>
        <v/>
      </c>
      <c r="AM29" s="71" t="str">
        <f>IF(AND('Mapa final'!$Y$33="Media",'Mapa final'!$AA$33="Catastrófico"),CONCATENATE("R4C",'Mapa final'!$O$33),"")</f>
        <v/>
      </c>
      <c r="AN29" s="97"/>
      <c r="AO29" s="425"/>
      <c r="AP29" s="426"/>
      <c r="AQ29" s="426"/>
      <c r="AR29" s="426"/>
      <c r="AS29" s="426"/>
      <c r="AT29" s="42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row>
    <row r="30" spans="1:76" ht="15" customHeight="1" x14ac:dyDescent="0.25">
      <c r="A30" s="97"/>
      <c r="B30" s="297"/>
      <c r="C30" s="297"/>
      <c r="D30" s="298"/>
      <c r="E30" s="396"/>
      <c r="F30" s="395"/>
      <c r="G30" s="395"/>
      <c r="H30" s="395"/>
      <c r="I30" s="411"/>
      <c r="J30" s="81" t="str">
        <f>IF(AND('Mapa final'!$Y$34="Media",'Mapa final'!$AA$34="Leve"),CONCATENATE("R5C",'Mapa final'!$O$34),"")</f>
        <v/>
      </c>
      <c r="K30" s="82" t="str">
        <f>IF(AND('Mapa final'!$Y$35="Media",'Mapa final'!$AA$35="Leve"),CONCATENATE("R5C",'Mapa final'!$O$35),"")</f>
        <v/>
      </c>
      <c r="L30" s="82" t="str">
        <f>IF(AND('Mapa final'!$Y$36="Media",'Mapa final'!$AA$36="Leve"),CONCATENATE("R5C",'Mapa final'!$O$36),"")</f>
        <v/>
      </c>
      <c r="M30" s="82" t="str">
        <f>IF(AND('Mapa final'!$Y$37="Media",'Mapa final'!$AA$37="Leve"),CONCATENATE("R5C",'Mapa final'!$O$37),"")</f>
        <v/>
      </c>
      <c r="N30" s="82" t="str">
        <f>IF(AND('Mapa final'!$Y$38="Media",'Mapa final'!$AA$38="Leve"),CONCATENATE("R5C",'Mapa final'!$O$38),"")</f>
        <v/>
      </c>
      <c r="O30" s="83" t="str">
        <f>IF(AND('Mapa final'!$Y$39="Media",'Mapa final'!$AA$39="Leve"),CONCATENATE("R5C",'Mapa final'!$O$39),"")</f>
        <v/>
      </c>
      <c r="P30" s="81" t="str">
        <f>IF(AND('Mapa final'!$Y$34="Media",'Mapa final'!$AA$34="Menor"),CONCATENATE("R5C",'Mapa final'!$O$34),"")</f>
        <v/>
      </c>
      <c r="Q30" s="82" t="str">
        <f>IF(AND('Mapa final'!$Y$35="Media",'Mapa final'!$AA$35="Menor"),CONCATENATE("R5C",'Mapa final'!$O$35),"")</f>
        <v/>
      </c>
      <c r="R30" s="82" t="str">
        <f>IF(AND('Mapa final'!$Y$36="Media",'Mapa final'!$AA$36="Menor"),CONCATENATE("R5C",'Mapa final'!$O$36),"")</f>
        <v/>
      </c>
      <c r="S30" s="82" t="str">
        <f>IF(AND('Mapa final'!$Y$37="Media",'Mapa final'!$AA$37="Menor"),CONCATENATE("R5C",'Mapa final'!$O$37),"")</f>
        <v/>
      </c>
      <c r="T30" s="82" t="str">
        <f>IF(AND('Mapa final'!$Y$38="Media",'Mapa final'!$AA$38="Menor"),CONCATENATE("R5C",'Mapa final'!$O$38),"")</f>
        <v/>
      </c>
      <c r="U30" s="83" t="str">
        <f>IF(AND('Mapa final'!$Y$39="Media",'Mapa final'!$AA$39="Menor"),CONCATENATE("R5C",'Mapa final'!$O$39),"")</f>
        <v/>
      </c>
      <c r="V30" s="81" t="str">
        <f>IF(AND('Mapa final'!$Y$34="Media",'Mapa final'!$AA$34="Moderado"),CONCATENATE("R5C",'Mapa final'!$O$34),"")</f>
        <v/>
      </c>
      <c r="W30" s="82" t="str">
        <f>IF(AND('Mapa final'!$Y$35="Media",'Mapa final'!$AA$35="Moderado"),CONCATENATE("R5C",'Mapa final'!$O$35),"")</f>
        <v/>
      </c>
      <c r="X30" s="82" t="str">
        <f>IF(AND('Mapa final'!$Y$36="Media",'Mapa final'!$AA$36="Moderado"),CONCATENATE("R5C",'Mapa final'!$O$36),"")</f>
        <v/>
      </c>
      <c r="Y30" s="82" t="str">
        <f>IF(AND('Mapa final'!$Y$37="Media",'Mapa final'!$AA$37="Moderado"),CONCATENATE("R5C",'Mapa final'!$O$37),"")</f>
        <v/>
      </c>
      <c r="Z30" s="82" t="str">
        <f>IF(AND('Mapa final'!$Y$38="Media",'Mapa final'!$AA$38="Moderado"),CONCATENATE("R5C",'Mapa final'!$O$38),"")</f>
        <v/>
      </c>
      <c r="AA30" s="83" t="str">
        <f>IF(AND('Mapa final'!$Y$39="Media",'Mapa final'!$AA$39="Moderado"),CONCATENATE("R5C",'Mapa final'!$O$39),"")</f>
        <v/>
      </c>
      <c r="AB30" s="66" t="str">
        <f>IF(AND('Mapa final'!$Y$34="Media",'Mapa final'!$AA$34="Mayor"),CONCATENATE("R5C",'Mapa final'!$O$34),"")</f>
        <v/>
      </c>
      <c r="AC30" s="67" t="str">
        <f>IF(AND('Mapa final'!$Y$35="Media",'Mapa final'!$AA$35="Mayor"),CONCATENATE("R5C",'Mapa final'!$O$35),"")</f>
        <v/>
      </c>
      <c r="AD30" s="67" t="str">
        <f>IF(AND('Mapa final'!$Y$36="Media",'Mapa final'!$AA$36="Mayor"),CONCATENATE("R5C",'Mapa final'!$O$36),"")</f>
        <v/>
      </c>
      <c r="AE30" s="67" t="str">
        <f>IF(AND('Mapa final'!$Y$37="Media",'Mapa final'!$AA$37="Mayor"),CONCATENATE("R5C",'Mapa final'!$O$37),"")</f>
        <v/>
      </c>
      <c r="AF30" s="67" t="str">
        <f>IF(AND('Mapa final'!$Y$38="Media",'Mapa final'!$AA$38="Mayor"),CONCATENATE("R5C",'Mapa final'!$O$38),"")</f>
        <v/>
      </c>
      <c r="AG30" s="68" t="str">
        <f>IF(AND('Mapa final'!$Y$39="Media",'Mapa final'!$AA$39="Mayor"),CONCATENATE("R5C",'Mapa final'!$O$39),"")</f>
        <v/>
      </c>
      <c r="AH30" s="69" t="str">
        <f>IF(AND('Mapa final'!$Y$34="Media",'Mapa final'!$AA$34="Catastrófico"),CONCATENATE("R5C",'Mapa final'!$O$34),"")</f>
        <v/>
      </c>
      <c r="AI30" s="70" t="str">
        <f>IF(AND('Mapa final'!$Y$35="Media",'Mapa final'!$AA$35="Catastrófico"),CONCATENATE("R5C",'Mapa final'!$O$35),"")</f>
        <v/>
      </c>
      <c r="AJ30" s="70" t="str">
        <f>IF(AND('Mapa final'!$Y$36="Media",'Mapa final'!$AA$36="Catastrófico"),CONCATENATE("R5C",'Mapa final'!$O$36),"")</f>
        <v/>
      </c>
      <c r="AK30" s="70" t="str">
        <f>IF(AND('Mapa final'!$Y$37="Media",'Mapa final'!$AA$37="Catastrófico"),CONCATENATE("R5C",'Mapa final'!$O$37),"")</f>
        <v/>
      </c>
      <c r="AL30" s="70" t="str">
        <f>IF(AND('Mapa final'!$Y$38="Media",'Mapa final'!$AA$38="Catastrófico"),CONCATENATE("R5C",'Mapa final'!$O$38),"")</f>
        <v/>
      </c>
      <c r="AM30" s="71" t="str">
        <f>IF(AND('Mapa final'!$Y$39="Media",'Mapa final'!$AA$39="Catastrófico"),CONCATENATE("R5C",'Mapa final'!$O$39),"")</f>
        <v/>
      </c>
      <c r="AN30" s="97"/>
      <c r="AO30" s="425"/>
      <c r="AP30" s="426"/>
      <c r="AQ30" s="426"/>
      <c r="AR30" s="426"/>
      <c r="AS30" s="426"/>
      <c r="AT30" s="42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row>
    <row r="31" spans="1:76" ht="15" customHeight="1" x14ac:dyDescent="0.25">
      <c r="A31" s="97"/>
      <c r="B31" s="297"/>
      <c r="C31" s="297"/>
      <c r="D31" s="298"/>
      <c r="E31" s="396"/>
      <c r="F31" s="395"/>
      <c r="G31" s="395"/>
      <c r="H31" s="395"/>
      <c r="I31" s="411"/>
      <c r="J31" s="81" t="str">
        <f>IF(AND('Mapa final'!$Y$40="Media",'Mapa final'!$AA$40="Leve"),CONCATENATE("R6C",'Mapa final'!$O$40),"")</f>
        <v/>
      </c>
      <c r="K31" s="82" t="str">
        <f>IF(AND('Mapa final'!$Y$41="Media",'Mapa final'!$AA$41="Leve"),CONCATENATE("R6C",'Mapa final'!$O$41),"")</f>
        <v/>
      </c>
      <c r="L31" s="82" t="str">
        <f>IF(AND('Mapa final'!$Y$42="Media",'Mapa final'!$AA$42="Leve"),CONCATENATE("R6C",'Mapa final'!$O$42),"")</f>
        <v/>
      </c>
      <c r="M31" s="82" t="str">
        <f>IF(AND('Mapa final'!$Y$43="Media",'Mapa final'!$AA$43="Leve"),CONCATENATE("R6C",'Mapa final'!$O$43),"")</f>
        <v/>
      </c>
      <c r="N31" s="82" t="str">
        <f>IF(AND('Mapa final'!$Y$44="Media",'Mapa final'!$AA$44="Leve"),CONCATENATE("R6C",'Mapa final'!$O$44),"")</f>
        <v/>
      </c>
      <c r="O31" s="83" t="str">
        <f>IF(AND('Mapa final'!$Y$45="Media",'Mapa final'!$AA$45="Leve"),CONCATENATE("R6C",'Mapa final'!$O$45),"")</f>
        <v/>
      </c>
      <c r="P31" s="81" t="str">
        <f>IF(AND('Mapa final'!$Y$40="Media",'Mapa final'!$AA$40="Menor"),CONCATENATE("R6C",'Mapa final'!$O$40),"")</f>
        <v/>
      </c>
      <c r="Q31" s="82" t="str">
        <f>IF(AND('Mapa final'!$Y$41="Media",'Mapa final'!$AA$41="Menor"),CONCATENATE("R6C",'Mapa final'!$O$41),"")</f>
        <v/>
      </c>
      <c r="R31" s="82" t="str">
        <f>IF(AND('Mapa final'!$Y$42="Media",'Mapa final'!$AA$42="Menor"),CONCATENATE("R6C",'Mapa final'!$O$42),"")</f>
        <v/>
      </c>
      <c r="S31" s="82" t="str">
        <f>IF(AND('Mapa final'!$Y$43="Media",'Mapa final'!$AA$43="Menor"),CONCATENATE("R6C",'Mapa final'!$O$43),"")</f>
        <v/>
      </c>
      <c r="T31" s="82" t="str">
        <f>IF(AND('Mapa final'!$Y$44="Media",'Mapa final'!$AA$44="Menor"),CONCATENATE("R6C",'Mapa final'!$O$44),"")</f>
        <v/>
      </c>
      <c r="U31" s="83" t="str">
        <f>IF(AND('Mapa final'!$Y$45="Media",'Mapa final'!$AA$45="Menor"),CONCATENATE("R6C",'Mapa final'!$O$45),"")</f>
        <v/>
      </c>
      <c r="V31" s="81" t="str">
        <f>IF(AND('Mapa final'!$Y$40="Media",'Mapa final'!$AA$40="Moderado"),CONCATENATE("R6C",'Mapa final'!$O$40),"")</f>
        <v/>
      </c>
      <c r="W31" s="82" t="str">
        <f>IF(AND('Mapa final'!$Y$41="Media",'Mapa final'!$AA$41="Moderado"),CONCATENATE("R6C",'Mapa final'!$O$41),"")</f>
        <v/>
      </c>
      <c r="X31" s="82" t="str">
        <f>IF(AND('Mapa final'!$Y$42="Media",'Mapa final'!$AA$42="Moderado"),CONCATENATE("R6C",'Mapa final'!$O$42),"")</f>
        <v/>
      </c>
      <c r="Y31" s="82" t="str">
        <f>IF(AND('Mapa final'!$Y$43="Media",'Mapa final'!$AA$43="Moderado"),CONCATENATE("R6C",'Mapa final'!$O$43),"")</f>
        <v/>
      </c>
      <c r="Z31" s="82" t="str">
        <f>IF(AND('Mapa final'!$Y$44="Media",'Mapa final'!$AA$44="Moderado"),CONCATENATE("R6C",'Mapa final'!$O$44),"")</f>
        <v/>
      </c>
      <c r="AA31" s="83" t="str">
        <f>IF(AND('Mapa final'!$Y$45="Media",'Mapa final'!$AA$45="Moderado"),CONCATENATE("R6C",'Mapa final'!$O$45),"")</f>
        <v/>
      </c>
      <c r="AB31" s="66" t="str">
        <f>IF(AND('Mapa final'!$Y$40="Media",'Mapa final'!$AA$40="Mayor"),CONCATENATE("R6C",'Mapa final'!$O$40),"")</f>
        <v/>
      </c>
      <c r="AC31" s="67" t="str">
        <f>IF(AND('Mapa final'!$Y$41="Media",'Mapa final'!$AA$41="Mayor"),CONCATENATE("R6C",'Mapa final'!$O$41),"")</f>
        <v/>
      </c>
      <c r="AD31" s="67" t="str">
        <f>IF(AND('Mapa final'!$Y$42="Media",'Mapa final'!$AA$42="Mayor"),CONCATENATE("R6C",'Mapa final'!$O$42),"")</f>
        <v/>
      </c>
      <c r="AE31" s="67" t="str">
        <f>IF(AND('Mapa final'!$Y$43="Media",'Mapa final'!$AA$43="Mayor"),CONCATENATE("R6C",'Mapa final'!$O$43),"")</f>
        <v/>
      </c>
      <c r="AF31" s="67" t="str">
        <f>IF(AND('Mapa final'!$Y$44="Media",'Mapa final'!$AA$44="Mayor"),CONCATENATE("R6C",'Mapa final'!$O$44),"")</f>
        <v/>
      </c>
      <c r="AG31" s="68" t="str">
        <f>IF(AND('Mapa final'!$Y$45="Media",'Mapa final'!$AA$45="Mayor"),CONCATENATE("R6C",'Mapa final'!$O$45),"")</f>
        <v/>
      </c>
      <c r="AH31" s="69" t="str">
        <f>IF(AND('Mapa final'!$Y$40="Media",'Mapa final'!$AA$40="Catastrófico"),CONCATENATE("R6C",'Mapa final'!$O$40),"")</f>
        <v/>
      </c>
      <c r="AI31" s="70" t="str">
        <f>IF(AND('Mapa final'!$Y$41="Media",'Mapa final'!$AA$41="Catastrófico"),CONCATENATE("R6C",'Mapa final'!$O$41),"")</f>
        <v/>
      </c>
      <c r="AJ31" s="70" t="str">
        <f>IF(AND('Mapa final'!$Y$42="Media",'Mapa final'!$AA$42="Catastrófico"),CONCATENATE("R6C",'Mapa final'!$O$42),"")</f>
        <v/>
      </c>
      <c r="AK31" s="70" t="str">
        <f>IF(AND('Mapa final'!$Y$43="Media",'Mapa final'!$AA$43="Catastrófico"),CONCATENATE("R6C",'Mapa final'!$O$43),"")</f>
        <v/>
      </c>
      <c r="AL31" s="70" t="str">
        <f>IF(AND('Mapa final'!$Y$44="Media",'Mapa final'!$AA$44="Catastrófico"),CONCATENATE("R6C",'Mapa final'!$O$44),"")</f>
        <v/>
      </c>
      <c r="AM31" s="71" t="str">
        <f>IF(AND('Mapa final'!$Y$45="Media",'Mapa final'!$AA$45="Catastrófico"),CONCATENATE("R6C",'Mapa final'!$O$45),"")</f>
        <v/>
      </c>
      <c r="AN31" s="97"/>
      <c r="AO31" s="425"/>
      <c r="AP31" s="426"/>
      <c r="AQ31" s="426"/>
      <c r="AR31" s="426"/>
      <c r="AS31" s="426"/>
      <c r="AT31" s="42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row>
    <row r="32" spans="1:76" ht="15" customHeight="1" x14ac:dyDescent="0.25">
      <c r="A32" s="97"/>
      <c r="B32" s="297"/>
      <c r="C32" s="297"/>
      <c r="D32" s="298"/>
      <c r="E32" s="396"/>
      <c r="F32" s="395"/>
      <c r="G32" s="395"/>
      <c r="H32" s="395"/>
      <c r="I32" s="411"/>
      <c r="J32" s="81" t="str">
        <f>IF(AND('Mapa final'!$Y$46="Media",'Mapa final'!$AA$46="Leve"),CONCATENATE("R7C",'Mapa final'!$O$46),"")</f>
        <v/>
      </c>
      <c r="K32" s="82" t="str">
        <f>IF(AND('Mapa final'!$Y$47="Media",'Mapa final'!$AA$47="Leve"),CONCATENATE("R7C",'Mapa final'!$O$47),"")</f>
        <v/>
      </c>
      <c r="L32" s="82" t="str">
        <f>IF(AND('Mapa final'!$Y$48="Media",'Mapa final'!$AA$48="Leve"),CONCATENATE("R7C",'Mapa final'!$O$48),"")</f>
        <v/>
      </c>
      <c r="M32" s="82" t="str">
        <f>IF(AND('Mapa final'!$Y$49="Media",'Mapa final'!$AA$49="Leve"),CONCATENATE("R7C",'Mapa final'!$O$49),"")</f>
        <v/>
      </c>
      <c r="N32" s="82" t="str">
        <f>IF(AND('Mapa final'!$Y$50="Media",'Mapa final'!$AA$50="Leve"),CONCATENATE("R7C",'Mapa final'!$O$50),"")</f>
        <v/>
      </c>
      <c r="O32" s="83" t="str">
        <f>IF(AND('Mapa final'!$Y$51="Media",'Mapa final'!$AA$51="Leve"),CONCATENATE("R7C",'Mapa final'!$O$51),"")</f>
        <v/>
      </c>
      <c r="P32" s="81" t="str">
        <f>IF(AND('Mapa final'!$Y$46="Media",'Mapa final'!$AA$46="Menor"),CONCATENATE("R7C",'Mapa final'!$O$46),"")</f>
        <v/>
      </c>
      <c r="Q32" s="82" t="str">
        <f>IF(AND('Mapa final'!$Y$47="Media",'Mapa final'!$AA$47="Menor"),CONCATENATE("R7C",'Mapa final'!$O$47),"")</f>
        <v/>
      </c>
      <c r="R32" s="82" t="str">
        <f>IF(AND('Mapa final'!$Y$48="Media",'Mapa final'!$AA$48="Menor"),CONCATENATE("R7C",'Mapa final'!$O$48),"")</f>
        <v/>
      </c>
      <c r="S32" s="82" t="str">
        <f>IF(AND('Mapa final'!$Y$49="Media",'Mapa final'!$AA$49="Menor"),CONCATENATE("R7C",'Mapa final'!$O$49),"")</f>
        <v/>
      </c>
      <c r="T32" s="82" t="str">
        <f>IF(AND('Mapa final'!$Y$50="Media",'Mapa final'!$AA$50="Menor"),CONCATENATE("R7C",'Mapa final'!$O$50),"")</f>
        <v/>
      </c>
      <c r="U32" s="83" t="str">
        <f>IF(AND('Mapa final'!$Y$51="Media",'Mapa final'!$AA$51="Menor"),CONCATENATE("R7C",'Mapa final'!$O$51),"")</f>
        <v/>
      </c>
      <c r="V32" s="81" t="str">
        <f>IF(AND('Mapa final'!$Y$46="Media",'Mapa final'!$AA$46="Moderado"),CONCATENATE("R7C",'Mapa final'!$O$46),"")</f>
        <v/>
      </c>
      <c r="W32" s="82" t="str">
        <f>IF(AND('Mapa final'!$Y$47="Media",'Mapa final'!$AA$47="Moderado"),CONCATENATE("R7C",'Mapa final'!$O$47),"")</f>
        <v/>
      </c>
      <c r="X32" s="82" t="str">
        <f>IF(AND('Mapa final'!$Y$48="Media",'Mapa final'!$AA$48="Moderado"),CONCATENATE("R7C",'Mapa final'!$O$48),"")</f>
        <v/>
      </c>
      <c r="Y32" s="82" t="str">
        <f>IF(AND('Mapa final'!$Y$49="Media",'Mapa final'!$AA$49="Moderado"),CONCATENATE("R7C",'Mapa final'!$O$49),"")</f>
        <v/>
      </c>
      <c r="Z32" s="82" t="str">
        <f>IF(AND('Mapa final'!$Y$50="Media",'Mapa final'!$AA$50="Moderado"),CONCATENATE("R7C",'Mapa final'!$O$50),"")</f>
        <v/>
      </c>
      <c r="AA32" s="83" t="str">
        <f>IF(AND('Mapa final'!$Y$51="Media",'Mapa final'!$AA$51="Moderado"),CONCATENATE("R7C",'Mapa final'!$O$51),"")</f>
        <v/>
      </c>
      <c r="AB32" s="66" t="str">
        <f>IF(AND('Mapa final'!$Y$46="Media",'Mapa final'!$AA$46="Mayor"),CONCATENATE("R7C",'Mapa final'!$O$46),"")</f>
        <v/>
      </c>
      <c r="AC32" s="67" t="str">
        <f>IF(AND('Mapa final'!$Y$47="Media",'Mapa final'!$AA$47="Mayor"),CONCATENATE("R7C",'Mapa final'!$O$47),"")</f>
        <v/>
      </c>
      <c r="AD32" s="67" t="str">
        <f>IF(AND('Mapa final'!$Y$48="Media",'Mapa final'!$AA$48="Mayor"),CONCATENATE("R7C",'Mapa final'!$O$48),"")</f>
        <v/>
      </c>
      <c r="AE32" s="67" t="str">
        <f>IF(AND('Mapa final'!$Y$49="Media",'Mapa final'!$AA$49="Mayor"),CONCATENATE("R7C",'Mapa final'!$O$49),"")</f>
        <v/>
      </c>
      <c r="AF32" s="67" t="str">
        <f>IF(AND('Mapa final'!$Y$50="Media",'Mapa final'!$AA$50="Mayor"),CONCATENATE("R7C",'Mapa final'!$O$50),"")</f>
        <v/>
      </c>
      <c r="AG32" s="68" t="str">
        <f>IF(AND('Mapa final'!$Y$51="Media",'Mapa final'!$AA$51="Mayor"),CONCATENATE("R7C",'Mapa final'!$O$51),"")</f>
        <v/>
      </c>
      <c r="AH32" s="69" t="str">
        <f>IF(AND('Mapa final'!$Y$46="Media",'Mapa final'!$AA$46="Catastrófico"),CONCATENATE("R7C",'Mapa final'!$O$46),"")</f>
        <v/>
      </c>
      <c r="AI32" s="70" t="str">
        <f>IF(AND('Mapa final'!$Y$47="Media",'Mapa final'!$AA$47="Catastrófico"),CONCATENATE("R7C",'Mapa final'!$O$47),"")</f>
        <v/>
      </c>
      <c r="AJ32" s="70" t="str">
        <f>IF(AND('Mapa final'!$Y$48="Media",'Mapa final'!$AA$48="Catastrófico"),CONCATENATE("R7C",'Mapa final'!$O$48),"")</f>
        <v/>
      </c>
      <c r="AK32" s="70" t="str">
        <f>IF(AND('Mapa final'!$Y$49="Media",'Mapa final'!$AA$49="Catastrófico"),CONCATENATE("R7C",'Mapa final'!$O$49),"")</f>
        <v/>
      </c>
      <c r="AL32" s="70" t="str">
        <f>IF(AND('Mapa final'!$Y$50="Media",'Mapa final'!$AA$50="Catastrófico"),CONCATENATE("R7C",'Mapa final'!$O$50),"")</f>
        <v/>
      </c>
      <c r="AM32" s="71" t="str">
        <f>IF(AND('Mapa final'!$Y$51="Media",'Mapa final'!$AA$51="Catastrófico"),CONCATENATE("R7C",'Mapa final'!$O$51),"")</f>
        <v/>
      </c>
      <c r="AN32" s="97"/>
      <c r="AO32" s="425"/>
      <c r="AP32" s="426"/>
      <c r="AQ32" s="426"/>
      <c r="AR32" s="426"/>
      <c r="AS32" s="426"/>
      <c r="AT32" s="42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row>
    <row r="33" spans="1:80" ht="15" customHeight="1" x14ac:dyDescent="0.25">
      <c r="A33" s="97"/>
      <c r="B33" s="297"/>
      <c r="C33" s="297"/>
      <c r="D33" s="298"/>
      <c r="E33" s="396"/>
      <c r="F33" s="395"/>
      <c r="G33" s="395"/>
      <c r="H33" s="395"/>
      <c r="I33" s="411"/>
      <c r="J33" s="81" t="str">
        <f>IF(AND('Mapa final'!$Y$52="Media",'Mapa final'!$AA$52="Leve"),CONCATENATE("R8C",'Mapa final'!$O$52),"")</f>
        <v/>
      </c>
      <c r="K33" s="82" t="str">
        <f>IF(AND('Mapa final'!$Y$53="Media",'Mapa final'!$AA$53="Leve"),CONCATENATE("R8C",'Mapa final'!$O$53),"")</f>
        <v/>
      </c>
      <c r="L33" s="82" t="str">
        <f>IF(AND('Mapa final'!$Y$54="Media",'Mapa final'!$AA$54="Leve"),CONCATENATE("R8C",'Mapa final'!$O$54),"")</f>
        <v/>
      </c>
      <c r="M33" s="82" t="str">
        <f>IF(AND('Mapa final'!$Y$55="Media",'Mapa final'!$AA$55="Leve"),CONCATENATE("R8C",'Mapa final'!$O$55),"")</f>
        <v/>
      </c>
      <c r="N33" s="82" t="str">
        <f>IF(AND('Mapa final'!$Y$56="Media",'Mapa final'!$AA$56="Leve"),CONCATENATE("R8C",'Mapa final'!$O$56),"")</f>
        <v/>
      </c>
      <c r="O33" s="83" t="str">
        <f>IF(AND('Mapa final'!$Y$57="Media",'Mapa final'!$AA$57="Leve"),CONCATENATE("R8C",'Mapa final'!$O$57),"")</f>
        <v/>
      </c>
      <c r="P33" s="81" t="str">
        <f>IF(AND('Mapa final'!$Y$52="Media",'Mapa final'!$AA$52="Menor"),CONCATENATE("R8C",'Mapa final'!$O$52),"")</f>
        <v/>
      </c>
      <c r="Q33" s="82" t="str">
        <f>IF(AND('Mapa final'!$Y$53="Media",'Mapa final'!$AA$53="Menor"),CONCATENATE("R8C",'Mapa final'!$O$53),"")</f>
        <v/>
      </c>
      <c r="R33" s="82" t="str">
        <f>IF(AND('Mapa final'!$Y$54="Media",'Mapa final'!$AA$54="Menor"),CONCATENATE("R8C",'Mapa final'!$O$54),"")</f>
        <v/>
      </c>
      <c r="S33" s="82" t="str">
        <f>IF(AND('Mapa final'!$Y$55="Media",'Mapa final'!$AA$55="Menor"),CONCATENATE("R8C",'Mapa final'!$O$55),"")</f>
        <v/>
      </c>
      <c r="T33" s="82" t="str">
        <f>IF(AND('Mapa final'!$Y$56="Media",'Mapa final'!$AA$56="Menor"),CONCATENATE("R8C",'Mapa final'!$O$56),"")</f>
        <v/>
      </c>
      <c r="U33" s="83" t="str">
        <f>IF(AND('Mapa final'!$Y$57="Media",'Mapa final'!$AA$57="Menor"),CONCATENATE("R8C",'Mapa final'!$O$57),"")</f>
        <v/>
      </c>
      <c r="V33" s="81" t="str">
        <f>IF(AND('Mapa final'!$Y$52="Media",'Mapa final'!$AA$52="Moderado"),CONCATENATE("R8C",'Mapa final'!$O$52),"")</f>
        <v/>
      </c>
      <c r="W33" s="82" t="str">
        <f>IF(AND('Mapa final'!$Y$53="Media",'Mapa final'!$AA$53="Moderado"),CONCATENATE("R8C",'Mapa final'!$O$53),"")</f>
        <v/>
      </c>
      <c r="X33" s="82" t="str">
        <f>IF(AND('Mapa final'!$Y$54="Media",'Mapa final'!$AA$54="Moderado"),CONCATENATE("R8C",'Mapa final'!$O$54),"")</f>
        <v/>
      </c>
      <c r="Y33" s="82" t="str">
        <f>IF(AND('Mapa final'!$Y$55="Media",'Mapa final'!$AA$55="Moderado"),CONCATENATE("R8C",'Mapa final'!$O$55),"")</f>
        <v/>
      </c>
      <c r="Z33" s="82" t="str">
        <f>IF(AND('Mapa final'!$Y$56="Media",'Mapa final'!$AA$56="Moderado"),CONCATENATE("R8C",'Mapa final'!$O$56),"")</f>
        <v/>
      </c>
      <c r="AA33" s="83" t="str">
        <f>IF(AND('Mapa final'!$Y$57="Media",'Mapa final'!$AA$57="Moderado"),CONCATENATE("R8C",'Mapa final'!$O$57),"")</f>
        <v/>
      </c>
      <c r="AB33" s="66" t="str">
        <f>IF(AND('Mapa final'!$Y$52="Media",'Mapa final'!$AA$52="Mayor"),CONCATENATE("R8C",'Mapa final'!$O$52),"")</f>
        <v/>
      </c>
      <c r="AC33" s="67" t="str">
        <f>IF(AND('Mapa final'!$Y$53="Media",'Mapa final'!$AA$53="Mayor"),CONCATENATE("R8C",'Mapa final'!$O$53),"")</f>
        <v/>
      </c>
      <c r="AD33" s="67" t="str">
        <f>IF(AND('Mapa final'!$Y$54="Media",'Mapa final'!$AA$54="Mayor"),CONCATENATE("R8C",'Mapa final'!$O$54),"")</f>
        <v/>
      </c>
      <c r="AE33" s="67" t="str">
        <f>IF(AND('Mapa final'!$Y$55="Media",'Mapa final'!$AA$55="Mayor"),CONCATENATE("R8C",'Mapa final'!$O$55),"")</f>
        <v/>
      </c>
      <c r="AF33" s="67" t="str">
        <f>IF(AND('Mapa final'!$Y$56="Media",'Mapa final'!$AA$56="Mayor"),CONCATENATE("R8C",'Mapa final'!$O$56),"")</f>
        <v/>
      </c>
      <c r="AG33" s="68" t="str">
        <f>IF(AND('Mapa final'!$Y$57="Media",'Mapa final'!$AA$57="Mayor"),CONCATENATE("R8C",'Mapa final'!$O$57),"")</f>
        <v/>
      </c>
      <c r="AH33" s="69" t="str">
        <f>IF(AND('Mapa final'!$Y$52="Media",'Mapa final'!$AA$52="Catastrófico"),CONCATENATE("R8C",'Mapa final'!$O$52),"")</f>
        <v/>
      </c>
      <c r="AI33" s="70" t="str">
        <f>IF(AND('Mapa final'!$Y$53="Media",'Mapa final'!$AA$53="Catastrófico"),CONCATENATE("R8C",'Mapa final'!$O$53),"")</f>
        <v/>
      </c>
      <c r="AJ33" s="70" t="str">
        <f>IF(AND('Mapa final'!$Y$54="Media",'Mapa final'!$AA$54="Catastrófico"),CONCATENATE("R8C",'Mapa final'!$O$54),"")</f>
        <v/>
      </c>
      <c r="AK33" s="70" t="str">
        <f>IF(AND('Mapa final'!$Y$55="Media",'Mapa final'!$AA$55="Catastrófico"),CONCATENATE("R8C",'Mapa final'!$O$55),"")</f>
        <v/>
      </c>
      <c r="AL33" s="70" t="str">
        <f>IF(AND('Mapa final'!$Y$56="Media",'Mapa final'!$AA$56="Catastrófico"),CONCATENATE("R8C",'Mapa final'!$O$56),"")</f>
        <v/>
      </c>
      <c r="AM33" s="71" t="str">
        <f>IF(AND('Mapa final'!$Y$57="Media",'Mapa final'!$AA$57="Catastrófico"),CONCATENATE("R8C",'Mapa final'!$O$57),"")</f>
        <v/>
      </c>
      <c r="AN33" s="97"/>
      <c r="AO33" s="425"/>
      <c r="AP33" s="426"/>
      <c r="AQ33" s="426"/>
      <c r="AR33" s="426"/>
      <c r="AS33" s="426"/>
      <c r="AT33" s="42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row>
    <row r="34" spans="1:80" ht="15" customHeight="1" x14ac:dyDescent="0.25">
      <c r="A34" s="97"/>
      <c r="B34" s="297"/>
      <c r="C34" s="297"/>
      <c r="D34" s="298"/>
      <c r="E34" s="396"/>
      <c r="F34" s="395"/>
      <c r="G34" s="395"/>
      <c r="H34" s="395"/>
      <c r="I34" s="411"/>
      <c r="J34" s="81" t="str">
        <f>IF(AND('Mapa final'!$Y$58="Media",'Mapa final'!$AA$58="Leve"),CONCATENATE("R9C",'Mapa final'!$O$58),"")</f>
        <v/>
      </c>
      <c r="K34" s="82" t="str">
        <f>IF(AND('Mapa final'!$Y$59="Media",'Mapa final'!$AA$59="Leve"),CONCATENATE("R9C",'Mapa final'!$O$59),"")</f>
        <v/>
      </c>
      <c r="L34" s="82" t="str">
        <f>IF(AND('Mapa final'!$Y$60="Media",'Mapa final'!$AA$60="Leve"),CONCATENATE("R9C",'Mapa final'!$O$60),"")</f>
        <v/>
      </c>
      <c r="M34" s="82" t="str">
        <f>IF(AND('Mapa final'!$Y$61="Media",'Mapa final'!$AA$61="Leve"),CONCATENATE("R9C",'Mapa final'!$O$61),"")</f>
        <v/>
      </c>
      <c r="N34" s="82" t="str">
        <f>IF(AND('Mapa final'!$Y$62="Media",'Mapa final'!$AA$62="Leve"),CONCATENATE("R9C",'Mapa final'!$O$62),"")</f>
        <v/>
      </c>
      <c r="O34" s="83" t="str">
        <f>IF(AND('Mapa final'!$Y$63="Media",'Mapa final'!$AA$63="Leve"),CONCATENATE("R9C",'Mapa final'!$O$63),"")</f>
        <v/>
      </c>
      <c r="P34" s="81" t="str">
        <f>IF(AND('Mapa final'!$Y$58="Media",'Mapa final'!$AA$58="Menor"),CONCATENATE("R9C",'Mapa final'!$O$58),"")</f>
        <v/>
      </c>
      <c r="Q34" s="82" t="str">
        <f>IF(AND('Mapa final'!$Y$59="Media",'Mapa final'!$AA$59="Menor"),CONCATENATE("R9C",'Mapa final'!$O$59),"")</f>
        <v/>
      </c>
      <c r="R34" s="82" t="str">
        <f>IF(AND('Mapa final'!$Y$60="Media",'Mapa final'!$AA$60="Menor"),CONCATENATE("R9C",'Mapa final'!$O$60),"")</f>
        <v/>
      </c>
      <c r="S34" s="82" t="str">
        <f>IF(AND('Mapa final'!$Y$61="Media",'Mapa final'!$AA$61="Menor"),CONCATENATE("R9C",'Mapa final'!$O$61),"")</f>
        <v/>
      </c>
      <c r="T34" s="82" t="str">
        <f>IF(AND('Mapa final'!$Y$62="Media",'Mapa final'!$AA$62="Menor"),CONCATENATE("R9C",'Mapa final'!$O$62),"")</f>
        <v/>
      </c>
      <c r="U34" s="83" t="str">
        <f>IF(AND('Mapa final'!$Y$63="Media",'Mapa final'!$AA$63="Menor"),CONCATENATE("R9C",'Mapa final'!$O$63),"")</f>
        <v/>
      </c>
      <c r="V34" s="81" t="str">
        <f>IF(AND('Mapa final'!$Y$58="Media",'Mapa final'!$AA$58="Moderado"),CONCATENATE("R9C",'Mapa final'!$O$58),"")</f>
        <v/>
      </c>
      <c r="W34" s="82" t="str">
        <f>IF(AND('Mapa final'!$Y$59="Media",'Mapa final'!$AA$59="Moderado"),CONCATENATE("R9C",'Mapa final'!$O$59),"")</f>
        <v/>
      </c>
      <c r="X34" s="82" t="str">
        <f>IF(AND('Mapa final'!$Y$60="Media",'Mapa final'!$AA$60="Moderado"),CONCATENATE("R9C",'Mapa final'!$O$60),"")</f>
        <v/>
      </c>
      <c r="Y34" s="82" t="str">
        <f>IF(AND('Mapa final'!$Y$61="Media",'Mapa final'!$AA$61="Moderado"),CONCATENATE("R9C",'Mapa final'!$O$61),"")</f>
        <v/>
      </c>
      <c r="Z34" s="82" t="str">
        <f>IF(AND('Mapa final'!$Y$62="Media",'Mapa final'!$AA$62="Moderado"),CONCATENATE("R9C",'Mapa final'!$O$62),"")</f>
        <v/>
      </c>
      <c r="AA34" s="83" t="str">
        <f>IF(AND('Mapa final'!$Y$63="Media",'Mapa final'!$AA$63="Moderado"),CONCATENATE("R9C",'Mapa final'!$O$63),"")</f>
        <v/>
      </c>
      <c r="AB34" s="66" t="str">
        <f>IF(AND('Mapa final'!$Y$58="Media",'Mapa final'!$AA$58="Mayor"),CONCATENATE("R9C",'Mapa final'!$O$58),"")</f>
        <v/>
      </c>
      <c r="AC34" s="67" t="str">
        <f>IF(AND('Mapa final'!$Y$59="Media",'Mapa final'!$AA$59="Mayor"),CONCATENATE("R9C",'Mapa final'!$O$59),"")</f>
        <v/>
      </c>
      <c r="AD34" s="67" t="str">
        <f>IF(AND('Mapa final'!$Y$60="Media",'Mapa final'!$AA$60="Mayor"),CONCATENATE("R9C",'Mapa final'!$O$60),"")</f>
        <v/>
      </c>
      <c r="AE34" s="67" t="str">
        <f>IF(AND('Mapa final'!$Y$61="Media",'Mapa final'!$AA$61="Mayor"),CONCATENATE("R9C",'Mapa final'!$O$61),"")</f>
        <v/>
      </c>
      <c r="AF34" s="67" t="str">
        <f>IF(AND('Mapa final'!$Y$62="Media",'Mapa final'!$AA$62="Mayor"),CONCATENATE("R9C",'Mapa final'!$O$62),"")</f>
        <v/>
      </c>
      <c r="AG34" s="68" t="str">
        <f>IF(AND('Mapa final'!$Y$63="Media",'Mapa final'!$AA$63="Mayor"),CONCATENATE("R9C",'Mapa final'!$O$63),"")</f>
        <v/>
      </c>
      <c r="AH34" s="69" t="str">
        <f>IF(AND('Mapa final'!$Y$58="Media",'Mapa final'!$AA$58="Catastrófico"),CONCATENATE("R9C",'Mapa final'!$O$58),"")</f>
        <v/>
      </c>
      <c r="AI34" s="70" t="str">
        <f>IF(AND('Mapa final'!$Y$59="Media",'Mapa final'!$AA$59="Catastrófico"),CONCATENATE("R9C",'Mapa final'!$O$59),"")</f>
        <v/>
      </c>
      <c r="AJ34" s="70" t="str">
        <f>IF(AND('Mapa final'!$Y$60="Media",'Mapa final'!$AA$60="Catastrófico"),CONCATENATE("R9C",'Mapa final'!$O$60),"")</f>
        <v/>
      </c>
      <c r="AK34" s="70" t="str">
        <f>IF(AND('Mapa final'!$Y$61="Media",'Mapa final'!$AA$61="Catastrófico"),CONCATENATE("R9C",'Mapa final'!$O$61),"")</f>
        <v/>
      </c>
      <c r="AL34" s="70" t="str">
        <f>IF(AND('Mapa final'!$Y$62="Media",'Mapa final'!$AA$62="Catastrófico"),CONCATENATE("R9C",'Mapa final'!$O$62),"")</f>
        <v/>
      </c>
      <c r="AM34" s="71" t="str">
        <f>IF(AND('Mapa final'!$Y$63="Media",'Mapa final'!$AA$63="Catastrófico"),CONCATENATE("R9C",'Mapa final'!$O$63),"")</f>
        <v/>
      </c>
      <c r="AN34" s="97"/>
      <c r="AO34" s="425"/>
      <c r="AP34" s="426"/>
      <c r="AQ34" s="426"/>
      <c r="AR34" s="426"/>
      <c r="AS34" s="426"/>
      <c r="AT34" s="42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row>
    <row r="35" spans="1:80" ht="15.75" customHeight="1" thickBot="1" x14ac:dyDescent="0.3">
      <c r="A35" s="97"/>
      <c r="B35" s="297"/>
      <c r="C35" s="297"/>
      <c r="D35" s="298"/>
      <c r="E35" s="397"/>
      <c r="F35" s="398"/>
      <c r="G35" s="398"/>
      <c r="H35" s="398"/>
      <c r="I35" s="412"/>
      <c r="J35" s="81" t="str">
        <f>IF(AND('Mapa final'!$Y$64="Media",'Mapa final'!$AA$64="Leve"),CONCATENATE("R10C",'Mapa final'!$O$64),"")</f>
        <v/>
      </c>
      <c r="K35" s="82" t="str">
        <f>IF(AND('Mapa final'!$Y$65="Media",'Mapa final'!$AA$65="Leve"),CONCATENATE("R10C",'Mapa final'!$O$65),"")</f>
        <v/>
      </c>
      <c r="L35" s="82" t="str">
        <f>IF(AND('Mapa final'!$Y$66="Media",'Mapa final'!$AA$66="Leve"),CONCATENATE("R10C",'Mapa final'!$O$66),"")</f>
        <v/>
      </c>
      <c r="M35" s="82" t="str">
        <f>IF(AND('Mapa final'!$Y$67="Media",'Mapa final'!$AA$67="Leve"),CONCATENATE("R10C",'Mapa final'!$O$67),"")</f>
        <v/>
      </c>
      <c r="N35" s="82" t="str">
        <f>IF(AND('Mapa final'!$Y$68="Media",'Mapa final'!$AA$68="Leve"),CONCATENATE("R10C",'Mapa final'!$O$68),"")</f>
        <v/>
      </c>
      <c r="O35" s="83" t="str">
        <f>IF(AND('Mapa final'!$Y$69="Media",'Mapa final'!$AA$69="Leve"),CONCATENATE("R10C",'Mapa final'!$O$69),"")</f>
        <v/>
      </c>
      <c r="P35" s="81" t="str">
        <f>IF(AND('Mapa final'!$Y$64="Media",'Mapa final'!$AA$64="Menor"),CONCATENATE("R10C",'Mapa final'!$O$64),"")</f>
        <v/>
      </c>
      <c r="Q35" s="82" t="str">
        <f>IF(AND('Mapa final'!$Y$65="Media",'Mapa final'!$AA$65="Menor"),CONCATENATE("R10C",'Mapa final'!$O$65),"")</f>
        <v/>
      </c>
      <c r="R35" s="82" t="str">
        <f>IF(AND('Mapa final'!$Y$66="Media",'Mapa final'!$AA$66="Menor"),CONCATENATE("R10C",'Mapa final'!$O$66),"")</f>
        <v/>
      </c>
      <c r="S35" s="82" t="str">
        <f>IF(AND('Mapa final'!$Y$67="Media",'Mapa final'!$AA$67="Menor"),CONCATENATE("R10C",'Mapa final'!$O$67),"")</f>
        <v/>
      </c>
      <c r="T35" s="82" t="str">
        <f>IF(AND('Mapa final'!$Y$68="Media",'Mapa final'!$AA$68="Menor"),CONCATENATE("R10C",'Mapa final'!$O$68),"")</f>
        <v/>
      </c>
      <c r="U35" s="83" t="str">
        <f>IF(AND('Mapa final'!$Y$69="Media",'Mapa final'!$AA$69="Menor"),CONCATENATE("R10C",'Mapa final'!$O$69),"")</f>
        <v/>
      </c>
      <c r="V35" s="81" t="str">
        <f>IF(AND('Mapa final'!$Y$64="Media",'Mapa final'!$AA$64="Moderado"),CONCATENATE("R10C",'Mapa final'!$O$64),"")</f>
        <v/>
      </c>
      <c r="W35" s="82" t="str">
        <f>IF(AND('Mapa final'!$Y$65="Media",'Mapa final'!$AA$65="Moderado"),CONCATENATE("R10C",'Mapa final'!$O$65),"")</f>
        <v/>
      </c>
      <c r="X35" s="82" t="str">
        <f>IF(AND('Mapa final'!$Y$66="Media",'Mapa final'!$AA$66="Moderado"),CONCATENATE("R10C",'Mapa final'!$O$66),"")</f>
        <v/>
      </c>
      <c r="Y35" s="82" t="str">
        <f>IF(AND('Mapa final'!$Y$67="Media",'Mapa final'!$AA$67="Moderado"),CONCATENATE("R10C",'Mapa final'!$O$67),"")</f>
        <v/>
      </c>
      <c r="Z35" s="82" t="str">
        <f>IF(AND('Mapa final'!$Y$68="Media",'Mapa final'!$AA$68="Moderado"),CONCATENATE("R10C",'Mapa final'!$O$68),"")</f>
        <v/>
      </c>
      <c r="AA35" s="83" t="str">
        <f>IF(AND('Mapa final'!$Y$69="Media",'Mapa final'!$AA$69="Moderado"),CONCATENATE("R10C",'Mapa final'!$O$69),"")</f>
        <v/>
      </c>
      <c r="AB35" s="72" t="str">
        <f>IF(AND('Mapa final'!$Y$64="Media",'Mapa final'!$AA$64="Mayor"),CONCATENATE("R10C",'Mapa final'!$O$64),"")</f>
        <v/>
      </c>
      <c r="AC35" s="73" t="str">
        <f>IF(AND('Mapa final'!$Y$65="Media",'Mapa final'!$AA$65="Mayor"),CONCATENATE("R10C",'Mapa final'!$O$65),"")</f>
        <v/>
      </c>
      <c r="AD35" s="73" t="str">
        <f>IF(AND('Mapa final'!$Y$66="Media",'Mapa final'!$AA$66="Mayor"),CONCATENATE("R10C",'Mapa final'!$O$66),"")</f>
        <v/>
      </c>
      <c r="AE35" s="73" t="str">
        <f>IF(AND('Mapa final'!$Y$67="Media",'Mapa final'!$AA$67="Mayor"),CONCATENATE("R10C",'Mapa final'!$O$67),"")</f>
        <v/>
      </c>
      <c r="AF35" s="73" t="str">
        <f>IF(AND('Mapa final'!$Y$68="Media",'Mapa final'!$AA$68="Mayor"),CONCATENATE("R10C",'Mapa final'!$O$68),"")</f>
        <v/>
      </c>
      <c r="AG35" s="74" t="str">
        <f>IF(AND('Mapa final'!$Y$69="Media",'Mapa final'!$AA$69="Mayor"),CONCATENATE("R10C",'Mapa final'!$O$69),"")</f>
        <v/>
      </c>
      <c r="AH35" s="75" t="str">
        <f>IF(AND('Mapa final'!$Y$64="Media",'Mapa final'!$AA$64="Catastrófico"),CONCATENATE("R10C",'Mapa final'!$O$64),"")</f>
        <v/>
      </c>
      <c r="AI35" s="76" t="str">
        <f>IF(AND('Mapa final'!$Y$65="Media",'Mapa final'!$AA$65="Catastrófico"),CONCATENATE("R10C",'Mapa final'!$O$65),"")</f>
        <v/>
      </c>
      <c r="AJ35" s="76" t="str">
        <f>IF(AND('Mapa final'!$Y$66="Media",'Mapa final'!$AA$66="Catastrófico"),CONCATENATE("R10C",'Mapa final'!$O$66),"")</f>
        <v/>
      </c>
      <c r="AK35" s="76" t="str">
        <f>IF(AND('Mapa final'!$Y$67="Media",'Mapa final'!$AA$67="Catastrófico"),CONCATENATE("R10C",'Mapa final'!$O$67),"")</f>
        <v/>
      </c>
      <c r="AL35" s="76" t="str">
        <f>IF(AND('Mapa final'!$Y$68="Media",'Mapa final'!$AA$68="Catastrófico"),CONCATENATE("R10C",'Mapa final'!$O$68),"")</f>
        <v/>
      </c>
      <c r="AM35" s="77" t="str">
        <f>IF(AND('Mapa final'!$Y$69="Media",'Mapa final'!$AA$69="Catastrófico"),CONCATENATE("R10C",'Mapa final'!$O$69),"")</f>
        <v/>
      </c>
      <c r="AN35" s="97"/>
      <c r="AO35" s="428"/>
      <c r="AP35" s="429"/>
      <c r="AQ35" s="429"/>
      <c r="AR35" s="429"/>
      <c r="AS35" s="429"/>
      <c r="AT35" s="430"/>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row>
    <row r="36" spans="1:80" ht="15" customHeight="1" x14ac:dyDescent="0.25">
      <c r="A36" s="97"/>
      <c r="B36" s="297"/>
      <c r="C36" s="297"/>
      <c r="D36" s="298"/>
      <c r="E36" s="392" t="s">
        <v>114</v>
      </c>
      <c r="F36" s="393"/>
      <c r="G36" s="393"/>
      <c r="H36" s="393"/>
      <c r="I36" s="393"/>
      <c r="J36" s="87" t="str">
        <f>IF(AND('Mapa final'!$Y$10="Baja",'Mapa final'!$AA$10="Leve"),CONCATENATE("R1C",'Mapa final'!$O$10),"")</f>
        <v/>
      </c>
      <c r="K36" s="88" t="str">
        <f>IF(AND('Mapa final'!$Y$11="Baja",'Mapa final'!$AA$11="Leve"),CONCATENATE("R1C",'Mapa final'!$O$11),"")</f>
        <v/>
      </c>
      <c r="L36" s="88" t="str">
        <f>IF(AND('Mapa final'!$Y$12="Baja",'Mapa final'!$AA$12="Leve"),CONCATENATE("R1C",'Mapa final'!$O$12),"")</f>
        <v/>
      </c>
      <c r="M36" s="88" t="str">
        <f>IF(AND('Mapa final'!$Y$13="Baja",'Mapa final'!$AA$13="Leve"),CONCATENATE("R1C",'Mapa final'!$O$13),"")</f>
        <v/>
      </c>
      <c r="N36" s="88" t="str">
        <f>IF(AND('Mapa final'!$Y$14="Baja",'Mapa final'!$AA$14="Leve"),CONCATENATE("R1C",'Mapa final'!$O$14),"")</f>
        <v/>
      </c>
      <c r="O36" s="89" t="str">
        <f>IF(AND('Mapa final'!$Y$15="Baja",'Mapa final'!$AA$15="Leve"),CONCATENATE("R1C",'Mapa final'!$O$15),"")</f>
        <v/>
      </c>
      <c r="P36" s="78" t="str">
        <f>IF(AND('Mapa final'!$Y$10="Baja",'Mapa final'!$AA$10="Menor"),CONCATENATE("R1C",'Mapa final'!$O$10),"")</f>
        <v/>
      </c>
      <c r="Q36" s="79" t="str">
        <f>IF(AND('Mapa final'!$Y$11="Baja",'Mapa final'!$AA$11="Menor"),CONCATENATE("R1C",'Mapa final'!$O$11),"")</f>
        <v/>
      </c>
      <c r="R36" s="79" t="str">
        <f>IF(AND('Mapa final'!$Y$12="Baja",'Mapa final'!$AA$12="Menor"),CONCATENATE("R1C",'Mapa final'!$O$12),"")</f>
        <v/>
      </c>
      <c r="S36" s="79" t="str">
        <f>IF(AND('Mapa final'!$Y$13="Baja",'Mapa final'!$AA$13="Menor"),CONCATENATE("R1C",'Mapa final'!$O$13),"")</f>
        <v/>
      </c>
      <c r="T36" s="79" t="str">
        <f>IF(AND('Mapa final'!$Y$14="Baja",'Mapa final'!$AA$14="Menor"),CONCATENATE("R1C",'Mapa final'!$O$14),"")</f>
        <v/>
      </c>
      <c r="U36" s="80" t="str">
        <f>IF(AND('Mapa final'!$Y$15="Baja",'Mapa final'!$AA$15="Menor"),CONCATENATE("R1C",'Mapa final'!$O$15),"")</f>
        <v/>
      </c>
      <c r="V36" s="78" t="str">
        <f>IF(AND('Mapa final'!$Y$10="Baja",'Mapa final'!$AA$10="Moderado"),CONCATENATE("R1C",'Mapa final'!$O$10),"")</f>
        <v/>
      </c>
      <c r="W36" s="79" t="str">
        <f>IF(AND('Mapa final'!$Y$11="Baja",'Mapa final'!$AA$11="Moderado"),CONCATENATE("R1C",'Mapa final'!$O$11),"")</f>
        <v/>
      </c>
      <c r="X36" s="79" t="str">
        <f>IF(AND('Mapa final'!$Y$12="Baja",'Mapa final'!$AA$12="Moderado"),CONCATENATE("R1C",'Mapa final'!$O$12),"")</f>
        <v/>
      </c>
      <c r="Y36" s="79" t="str">
        <f>IF(AND('Mapa final'!$Y$13="Baja",'Mapa final'!$AA$13="Moderado"),CONCATENATE("R1C",'Mapa final'!$O$13),"")</f>
        <v/>
      </c>
      <c r="Z36" s="79" t="str">
        <f>IF(AND('Mapa final'!$Y$14="Baja",'Mapa final'!$AA$14="Moderado"),CONCATENATE("R1C",'Mapa final'!$O$14),"")</f>
        <v/>
      </c>
      <c r="AA36" s="80" t="str">
        <f>IF(AND('Mapa final'!$Y$15="Baja",'Mapa final'!$AA$15="Moderado"),CONCATENATE("R1C",'Mapa final'!$O$15),"")</f>
        <v/>
      </c>
      <c r="AB36" s="60" t="str">
        <f>IF(AND('Mapa final'!$Y$10="Baja",'Mapa final'!$AA$10="Mayor"),CONCATENATE("R1C",'Mapa final'!$O$10),"")</f>
        <v/>
      </c>
      <c r="AC36" s="61" t="str">
        <f>IF(AND('Mapa final'!$Y$11="Baja",'Mapa final'!$AA$11="Mayor"),CONCATENATE("R1C",'Mapa final'!$O$11),"")</f>
        <v/>
      </c>
      <c r="AD36" s="61" t="str">
        <f>IF(AND('Mapa final'!$Y$12="Baja",'Mapa final'!$AA$12="Mayor"),CONCATENATE("R1C",'Mapa final'!$O$12),"")</f>
        <v/>
      </c>
      <c r="AE36" s="61" t="str">
        <f>IF(AND('Mapa final'!$Y$13="Baja",'Mapa final'!$AA$13="Mayor"),CONCATENATE("R1C",'Mapa final'!$O$13),"")</f>
        <v/>
      </c>
      <c r="AF36" s="61" t="str">
        <f>IF(AND('Mapa final'!$Y$14="Baja",'Mapa final'!$AA$14="Mayor"),CONCATENATE("R1C",'Mapa final'!$O$14),"")</f>
        <v/>
      </c>
      <c r="AG36" s="62" t="str">
        <f>IF(AND('Mapa final'!$Y$15="Baja",'Mapa final'!$AA$15="Mayor"),CONCATENATE("R1C",'Mapa final'!$O$15),"")</f>
        <v/>
      </c>
      <c r="AH36" s="63" t="str">
        <f>IF(AND('Mapa final'!$Y$10="Baja",'Mapa final'!$AA$10="Catastrófico"),CONCATENATE("R1C",'Mapa final'!$O$10),"")</f>
        <v/>
      </c>
      <c r="AI36" s="64" t="str">
        <f>IF(AND('Mapa final'!$Y$11="Baja",'Mapa final'!$AA$11="Catastrófico"),CONCATENATE("R1C",'Mapa final'!$O$11),"")</f>
        <v>R1C2</v>
      </c>
      <c r="AJ36" s="64" t="str">
        <f>IF(AND('Mapa final'!$Y$12="Baja",'Mapa final'!$AA$12="Catastrófico"),CONCATENATE("R1C",'Mapa final'!$O$12),"")</f>
        <v/>
      </c>
      <c r="AK36" s="64" t="str">
        <f>IF(AND('Mapa final'!$Y$13="Baja",'Mapa final'!$AA$13="Catastrófico"),CONCATENATE("R1C",'Mapa final'!$O$13),"")</f>
        <v/>
      </c>
      <c r="AL36" s="64" t="str">
        <f>IF(AND('Mapa final'!$Y$14="Baja",'Mapa final'!$AA$14="Catastrófico"),CONCATENATE("R1C",'Mapa final'!$O$14),"")</f>
        <v/>
      </c>
      <c r="AM36" s="65" t="str">
        <f>IF(AND('Mapa final'!$Y$15="Baja",'Mapa final'!$AA$15="Catastrófico"),CONCATENATE("R1C",'Mapa final'!$O$15),"")</f>
        <v/>
      </c>
      <c r="AN36" s="97"/>
      <c r="AO36" s="413" t="s">
        <v>82</v>
      </c>
      <c r="AP36" s="414"/>
      <c r="AQ36" s="414"/>
      <c r="AR36" s="414"/>
      <c r="AS36" s="414"/>
      <c r="AT36" s="415"/>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row>
    <row r="37" spans="1:80" ht="15" customHeight="1" x14ac:dyDescent="0.25">
      <c r="A37" s="97"/>
      <c r="B37" s="297"/>
      <c r="C37" s="297"/>
      <c r="D37" s="298"/>
      <c r="E37" s="394"/>
      <c r="F37" s="395"/>
      <c r="G37" s="395"/>
      <c r="H37" s="395"/>
      <c r="I37" s="395"/>
      <c r="J37" s="90" t="str">
        <f>IF(AND('Mapa final'!$Y$16="Baja",'Mapa final'!$AA$16="Leve"),CONCATENATE("R2C",'Mapa final'!$O$16),"")</f>
        <v/>
      </c>
      <c r="K37" s="91" t="str">
        <f>IF(AND('Mapa final'!$Y$17="Baja",'Mapa final'!$AA$17="Leve"),CONCATENATE("R2C",'Mapa final'!$O$17),"")</f>
        <v/>
      </c>
      <c r="L37" s="91" t="str">
        <f>IF(AND('Mapa final'!$Y$18="Baja",'Mapa final'!$AA$18="Leve"),CONCATENATE("R2C",'Mapa final'!$O$18),"")</f>
        <v/>
      </c>
      <c r="M37" s="91" t="str">
        <f>IF(AND('Mapa final'!$Y$19="Baja",'Mapa final'!$AA$19="Leve"),CONCATENATE("R2C",'Mapa final'!$O$19),"")</f>
        <v/>
      </c>
      <c r="N37" s="91" t="str">
        <f>IF(AND('Mapa final'!$Y$20="Baja",'Mapa final'!$AA$20="Leve"),CONCATENATE("R2C",'Mapa final'!$O$20),"")</f>
        <v/>
      </c>
      <c r="O37" s="92" t="str">
        <f>IF(AND('Mapa final'!$Y$21="Baja",'Mapa final'!$AA$21="Leve"),CONCATENATE("R2C",'Mapa final'!$O$21),"")</f>
        <v/>
      </c>
      <c r="P37" s="81" t="str">
        <f>IF(AND('Mapa final'!$Y$16="Baja",'Mapa final'!$AA$16="Menor"),CONCATENATE("R2C",'Mapa final'!$O$16),"")</f>
        <v/>
      </c>
      <c r="Q37" s="82" t="str">
        <f>IF(AND('Mapa final'!$Y$17="Baja",'Mapa final'!$AA$17="Menor"),CONCATENATE("R2C",'Mapa final'!$O$17),"")</f>
        <v/>
      </c>
      <c r="R37" s="82" t="str">
        <f>IF(AND('Mapa final'!$Y$18="Baja",'Mapa final'!$AA$18="Menor"),CONCATENATE("R2C",'Mapa final'!$O$18),"")</f>
        <v/>
      </c>
      <c r="S37" s="82" t="str">
        <f>IF(AND('Mapa final'!$Y$19="Baja",'Mapa final'!$AA$19="Menor"),CONCATENATE("R2C",'Mapa final'!$O$19),"")</f>
        <v/>
      </c>
      <c r="T37" s="82" t="str">
        <f>IF(AND('Mapa final'!$Y$20="Baja",'Mapa final'!$AA$20="Menor"),CONCATENATE("R2C",'Mapa final'!$O$20),"")</f>
        <v/>
      </c>
      <c r="U37" s="83" t="str">
        <f>IF(AND('Mapa final'!$Y$21="Baja",'Mapa final'!$AA$21="Menor"),CONCATENATE("R2C",'Mapa final'!$O$21),"")</f>
        <v/>
      </c>
      <c r="V37" s="81" t="str">
        <f>IF(AND('Mapa final'!$Y$16="Baja",'Mapa final'!$AA$16="Moderado"),CONCATENATE("R2C",'Mapa final'!$O$16),"")</f>
        <v/>
      </c>
      <c r="W37" s="82" t="str">
        <f>IF(AND('Mapa final'!$Y$17="Baja",'Mapa final'!$AA$17="Moderado"),CONCATENATE("R2C",'Mapa final'!$O$17),"")</f>
        <v/>
      </c>
      <c r="X37" s="82" t="str">
        <f>IF(AND('Mapa final'!$Y$18="Baja",'Mapa final'!$AA$18="Moderado"),CONCATENATE("R2C",'Mapa final'!$O$18),"")</f>
        <v/>
      </c>
      <c r="Y37" s="82" t="str">
        <f>IF(AND('Mapa final'!$Y$19="Baja",'Mapa final'!$AA$19="Moderado"),CONCATENATE("R2C",'Mapa final'!$O$19),"")</f>
        <v/>
      </c>
      <c r="Z37" s="82" t="str">
        <f>IF(AND('Mapa final'!$Y$20="Baja",'Mapa final'!$AA$20="Moderado"),CONCATENATE("R2C",'Mapa final'!$O$20),"")</f>
        <v/>
      </c>
      <c r="AA37" s="83" t="str">
        <f>IF(AND('Mapa final'!$Y$21="Baja",'Mapa final'!$AA$21="Moderado"),CONCATENATE("R2C",'Mapa final'!$O$21),"")</f>
        <v/>
      </c>
      <c r="AB37" s="66" t="str">
        <f>IF(AND('Mapa final'!$Y$16="Baja",'Mapa final'!$AA$16="Mayor"),CONCATENATE("R2C",'Mapa final'!$O$16),"")</f>
        <v/>
      </c>
      <c r="AC37" s="67" t="str">
        <f>IF(AND('Mapa final'!$Y$17="Baja",'Mapa final'!$AA$17="Mayor"),CONCATENATE("R2C",'Mapa final'!$O$17),"")</f>
        <v/>
      </c>
      <c r="AD37" s="67" t="str">
        <f>IF(AND('Mapa final'!$Y$18="Baja",'Mapa final'!$AA$18="Mayor"),CONCATENATE("R2C",'Mapa final'!$O$18),"")</f>
        <v/>
      </c>
      <c r="AE37" s="67" t="str">
        <f>IF(AND('Mapa final'!$Y$19="Baja",'Mapa final'!$AA$19="Mayor"),CONCATENATE("R2C",'Mapa final'!$O$19),"")</f>
        <v/>
      </c>
      <c r="AF37" s="67" t="str">
        <f>IF(AND('Mapa final'!$Y$20="Baja",'Mapa final'!$AA$20="Mayor"),CONCATENATE("R2C",'Mapa final'!$O$20),"")</f>
        <v/>
      </c>
      <c r="AG37" s="68" t="str">
        <f>IF(AND('Mapa final'!$Y$21="Baja",'Mapa final'!$AA$21="Mayor"),CONCATENATE("R2C",'Mapa final'!$O$21),"")</f>
        <v/>
      </c>
      <c r="AH37" s="69" t="str">
        <f>IF(AND('Mapa final'!$Y$16="Baja",'Mapa final'!$AA$16="Catastrófico"),CONCATENATE("R2C",'Mapa final'!$O$16),"")</f>
        <v/>
      </c>
      <c r="AI37" s="70" t="str">
        <f>IF(AND('Mapa final'!$Y$17="Baja",'Mapa final'!$AA$17="Catastrófico"),CONCATENATE("R2C",'Mapa final'!$O$17),"")</f>
        <v/>
      </c>
      <c r="AJ37" s="70" t="str">
        <f>IF(AND('Mapa final'!$Y$18="Baja",'Mapa final'!$AA$18="Catastrófico"),CONCATENATE("R2C",'Mapa final'!$O$18),"")</f>
        <v/>
      </c>
      <c r="AK37" s="70" t="str">
        <f>IF(AND('Mapa final'!$Y$19="Baja",'Mapa final'!$AA$19="Catastrófico"),CONCATENATE("R2C",'Mapa final'!$O$19),"")</f>
        <v/>
      </c>
      <c r="AL37" s="70" t="str">
        <f>IF(AND('Mapa final'!$Y$20="Baja",'Mapa final'!$AA$20="Catastrófico"),CONCATENATE("R2C",'Mapa final'!$O$20),"")</f>
        <v/>
      </c>
      <c r="AM37" s="71" t="str">
        <f>IF(AND('Mapa final'!$Y$21="Baja",'Mapa final'!$AA$21="Catastrófico"),CONCATENATE("R2C",'Mapa final'!$O$21),"")</f>
        <v/>
      </c>
      <c r="AN37" s="97"/>
      <c r="AO37" s="416"/>
      <c r="AP37" s="417"/>
      <c r="AQ37" s="417"/>
      <c r="AR37" s="417"/>
      <c r="AS37" s="417"/>
      <c r="AT37" s="418"/>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row>
    <row r="38" spans="1:80" ht="15" customHeight="1" x14ac:dyDescent="0.25">
      <c r="A38" s="97"/>
      <c r="B38" s="297"/>
      <c r="C38" s="297"/>
      <c r="D38" s="298"/>
      <c r="E38" s="396"/>
      <c r="F38" s="395"/>
      <c r="G38" s="395"/>
      <c r="H38" s="395"/>
      <c r="I38" s="395"/>
      <c r="J38" s="90" t="str">
        <f>IF(AND('Mapa final'!$Y$22="Baja",'Mapa final'!$AA$22="Leve"),CONCATENATE("R3C",'Mapa final'!$O$22),"")</f>
        <v/>
      </c>
      <c r="K38" s="91" t="str">
        <f>IF(AND('Mapa final'!$Y$23="Baja",'Mapa final'!$AA$23="Leve"),CONCATENATE("R3C",'Mapa final'!$O$23),"")</f>
        <v/>
      </c>
      <c r="L38" s="91" t="str">
        <f>IF(AND('Mapa final'!$Y$24="Baja",'Mapa final'!$AA$24="Leve"),CONCATENATE("R3C",'Mapa final'!$O$24),"")</f>
        <v/>
      </c>
      <c r="M38" s="91" t="str">
        <f>IF(AND('Mapa final'!$Y$25="Baja",'Mapa final'!$AA$25="Leve"),CONCATENATE("R3C",'Mapa final'!$O$25),"")</f>
        <v/>
      </c>
      <c r="N38" s="91" t="str">
        <f>IF(AND('Mapa final'!$Y$26="Baja",'Mapa final'!$AA$26="Leve"),CONCATENATE("R3C",'Mapa final'!$O$26),"")</f>
        <v/>
      </c>
      <c r="O38" s="92" t="str">
        <f>IF(AND('Mapa final'!$Y$27="Baja",'Mapa final'!$AA$27="Leve"),CONCATENATE("R3C",'Mapa final'!$O$27),"")</f>
        <v/>
      </c>
      <c r="P38" s="81" t="str">
        <f>IF(AND('Mapa final'!$Y$22="Baja",'Mapa final'!$AA$22="Menor"),CONCATENATE("R3C",'Mapa final'!$O$22),"")</f>
        <v/>
      </c>
      <c r="Q38" s="82" t="str">
        <f>IF(AND('Mapa final'!$Y$23="Baja",'Mapa final'!$AA$23="Menor"),CONCATENATE("R3C",'Mapa final'!$O$23),"")</f>
        <v/>
      </c>
      <c r="R38" s="82" t="str">
        <f>IF(AND('Mapa final'!$Y$24="Baja",'Mapa final'!$AA$24="Menor"),CONCATENATE("R3C",'Mapa final'!$O$24),"")</f>
        <v/>
      </c>
      <c r="S38" s="82" t="str">
        <f>IF(AND('Mapa final'!$Y$25="Baja",'Mapa final'!$AA$25="Menor"),CONCATENATE("R3C",'Mapa final'!$O$25),"")</f>
        <v/>
      </c>
      <c r="T38" s="82" t="str">
        <f>IF(AND('Mapa final'!$Y$26="Baja",'Mapa final'!$AA$26="Menor"),CONCATENATE("R3C",'Mapa final'!$O$26),"")</f>
        <v/>
      </c>
      <c r="U38" s="83" t="str">
        <f>IF(AND('Mapa final'!$Y$27="Baja",'Mapa final'!$AA$27="Menor"),CONCATENATE("R3C",'Mapa final'!$O$27),"")</f>
        <v/>
      </c>
      <c r="V38" s="81" t="str">
        <f>IF(AND('Mapa final'!$Y$22="Baja",'Mapa final'!$AA$22="Moderado"),CONCATENATE("R3C",'Mapa final'!$O$22),"")</f>
        <v/>
      </c>
      <c r="W38" s="82" t="str">
        <f>IF(AND('Mapa final'!$Y$23="Baja",'Mapa final'!$AA$23="Moderado"),CONCATENATE("R3C",'Mapa final'!$O$23),"")</f>
        <v/>
      </c>
      <c r="X38" s="82" t="str">
        <f>IF(AND('Mapa final'!$Y$24="Baja",'Mapa final'!$AA$24="Moderado"),CONCATENATE("R3C",'Mapa final'!$O$24),"")</f>
        <v/>
      </c>
      <c r="Y38" s="82" t="str">
        <f>IF(AND('Mapa final'!$Y$25="Baja",'Mapa final'!$AA$25="Moderado"),CONCATENATE("R3C",'Mapa final'!$O$25),"")</f>
        <v/>
      </c>
      <c r="Z38" s="82" t="str">
        <f>IF(AND('Mapa final'!$Y$26="Baja",'Mapa final'!$AA$26="Moderado"),CONCATENATE("R3C",'Mapa final'!$O$26),"")</f>
        <v/>
      </c>
      <c r="AA38" s="83" t="str">
        <f>IF(AND('Mapa final'!$Y$27="Baja",'Mapa final'!$AA$27="Moderado"),CONCATENATE("R3C",'Mapa final'!$O$27),"")</f>
        <v/>
      </c>
      <c r="AB38" s="66" t="str">
        <f>IF(AND('Mapa final'!$Y$22="Baja",'Mapa final'!$AA$22="Mayor"),CONCATENATE("R3C",'Mapa final'!$O$22),"")</f>
        <v/>
      </c>
      <c r="AC38" s="67" t="str">
        <f>IF(AND('Mapa final'!$Y$23="Baja",'Mapa final'!$AA$23="Mayor"),CONCATENATE("R3C",'Mapa final'!$O$23),"")</f>
        <v/>
      </c>
      <c r="AD38" s="67" t="str">
        <f>IF(AND('Mapa final'!$Y$24="Baja",'Mapa final'!$AA$24="Mayor"),CONCATENATE("R3C",'Mapa final'!$O$24),"")</f>
        <v/>
      </c>
      <c r="AE38" s="67" t="str">
        <f>IF(AND('Mapa final'!$Y$25="Baja",'Mapa final'!$AA$25="Mayor"),CONCATENATE("R3C",'Mapa final'!$O$25),"")</f>
        <v/>
      </c>
      <c r="AF38" s="67" t="str">
        <f>IF(AND('Mapa final'!$Y$26="Baja",'Mapa final'!$AA$26="Mayor"),CONCATENATE("R3C",'Mapa final'!$O$26),"")</f>
        <v/>
      </c>
      <c r="AG38" s="68" t="str">
        <f>IF(AND('Mapa final'!$Y$27="Baja",'Mapa final'!$AA$27="Mayor"),CONCATENATE("R3C",'Mapa final'!$O$27),"")</f>
        <v/>
      </c>
      <c r="AH38" s="69" t="str">
        <f>IF(AND('Mapa final'!$Y$22="Baja",'Mapa final'!$AA$22="Catastrófico"),CONCATENATE("R3C",'Mapa final'!$O$22),"")</f>
        <v>R3C1</v>
      </c>
      <c r="AI38" s="70" t="str">
        <f>IF(AND('Mapa final'!$Y$23="Baja",'Mapa final'!$AA$23="Catastrófico"),CONCATENATE("R3C",'Mapa final'!$O$23),"")</f>
        <v>R3C2</v>
      </c>
      <c r="AJ38" s="70" t="str">
        <f>IF(AND('Mapa final'!$Y$24="Baja",'Mapa final'!$AA$24="Catastrófico"),CONCATENATE("R3C",'Mapa final'!$O$24),"")</f>
        <v/>
      </c>
      <c r="AK38" s="70" t="str">
        <f>IF(AND('Mapa final'!$Y$25="Baja",'Mapa final'!$AA$25="Catastrófico"),CONCATENATE("R3C",'Mapa final'!$O$25),"")</f>
        <v/>
      </c>
      <c r="AL38" s="70" t="str">
        <f>IF(AND('Mapa final'!$Y$26="Baja",'Mapa final'!$AA$26="Catastrófico"),CONCATENATE("R3C",'Mapa final'!$O$26),"")</f>
        <v/>
      </c>
      <c r="AM38" s="71" t="str">
        <f>IF(AND('Mapa final'!$Y$27="Baja",'Mapa final'!$AA$27="Catastrófico"),CONCATENATE("R3C",'Mapa final'!$O$27),"")</f>
        <v/>
      </c>
      <c r="AN38" s="97"/>
      <c r="AO38" s="416"/>
      <c r="AP38" s="417"/>
      <c r="AQ38" s="417"/>
      <c r="AR38" s="417"/>
      <c r="AS38" s="417"/>
      <c r="AT38" s="418"/>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row>
    <row r="39" spans="1:80" ht="15" customHeight="1" x14ac:dyDescent="0.25">
      <c r="A39" s="97"/>
      <c r="B39" s="297"/>
      <c r="C39" s="297"/>
      <c r="D39" s="298"/>
      <c r="E39" s="396"/>
      <c r="F39" s="395"/>
      <c r="G39" s="395"/>
      <c r="H39" s="395"/>
      <c r="I39" s="395"/>
      <c r="J39" s="90" t="str">
        <f>IF(AND('Mapa final'!$Y$28="Baja",'Mapa final'!$AA$28="Leve"),CONCATENATE("R4C",'Mapa final'!$O$28),"")</f>
        <v/>
      </c>
      <c r="K39" s="91" t="str">
        <f>IF(AND('Mapa final'!$Y$29="Baja",'Mapa final'!$AA$29="Leve"),CONCATENATE("R4C",'Mapa final'!$O$29),"")</f>
        <v/>
      </c>
      <c r="L39" s="91" t="str">
        <f>IF(AND('Mapa final'!$Y$30="Baja",'Mapa final'!$AA$30="Leve"),CONCATENATE("R4C",'Mapa final'!$O$30),"")</f>
        <v/>
      </c>
      <c r="M39" s="91" t="str">
        <f>IF(AND('Mapa final'!$Y$31="Baja",'Mapa final'!$AA$31="Leve"),CONCATENATE("R4C",'Mapa final'!$O$31),"")</f>
        <v/>
      </c>
      <c r="N39" s="91" t="str">
        <f>IF(AND('Mapa final'!$Y$32="Baja",'Mapa final'!$AA$32="Leve"),CONCATENATE("R4C",'Mapa final'!$O$32),"")</f>
        <v/>
      </c>
      <c r="O39" s="92" t="str">
        <f>IF(AND('Mapa final'!$Y$33="Baja",'Mapa final'!$AA$33="Leve"),CONCATENATE("R4C",'Mapa final'!$O$33),"")</f>
        <v/>
      </c>
      <c r="P39" s="81" t="str">
        <f>IF(AND('Mapa final'!$Y$28="Baja",'Mapa final'!$AA$28="Menor"),CONCATENATE("R4C",'Mapa final'!$O$28),"")</f>
        <v/>
      </c>
      <c r="Q39" s="82" t="str">
        <f>IF(AND('Mapa final'!$Y$29="Baja",'Mapa final'!$AA$29="Menor"),CONCATENATE("R4C",'Mapa final'!$O$29),"")</f>
        <v/>
      </c>
      <c r="R39" s="82" t="str">
        <f>IF(AND('Mapa final'!$Y$30="Baja",'Mapa final'!$AA$30="Menor"),CONCATENATE("R4C",'Mapa final'!$O$30),"")</f>
        <v/>
      </c>
      <c r="S39" s="82" t="str">
        <f>IF(AND('Mapa final'!$Y$31="Baja",'Mapa final'!$AA$31="Menor"),CONCATENATE("R4C",'Mapa final'!$O$31),"")</f>
        <v/>
      </c>
      <c r="T39" s="82" t="str">
        <f>IF(AND('Mapa final'!$Y$32="Baja",'Mapa final'!$AA$32="Menor"),CONCATENATE("R4C",'Mapa final'!$O$32),"")</f>
        <v/>
      </c>
      <c r="U39" s="83" t="str">
        <f>IF(AND('Mapa final'!$Y$33="Baja",'Mapa final'!$AA$33="Menor"),CONCATENATE("R4C",'Mapa final'!$O$33),"")</f>
        <v/>
      </c>
      <c r="V39" s="81" t="str">
        <f>IF(AND('Mapa final'!$Y$28="Baja",'Mapa final'!$AA$28="Moderado"),CONCATENATE("R4C",'Mapa final'!$O$28),"")</f>
        <v/>
      </c>
      <c r="W39" s="82" t="str">
        <f>IF(AND('Mapa final'!$Y$29="Baja",'Mapa final'!$AA$29="Moderado"),CONCATENATE("R4C",'Mapa final'!$O$29),"")</f>
        <v/>
      </c>
      <c r="X39" s="82" t="str">
        <f>IF(AND('Mapa final'!$Y$30="Baja",'Mapa final'!$AA$30="Moderado"),CONCATENATE("R4C",'Mapa final'!$O$30),"")</f>
        <v/>
      </c>
      <c r="Y39" s="82" t="str">
        <f>IF(AND('Mapa final'!$Y$31="Baja",'Mapa final'!$AA$31="Moderado"),CONCATENATE("R4C",'Mapa final'!$O$31),"")</f>
        <v/>
      </c>
      <c r="Z39" s="82" t="str">
        <f>IF(AND('Mapa final'!$Y$32="Baja",'Mapa final'!$AA$32="Moderado"),CONCATENATE("R4C",'Mapa final'!$O$32),"")</f>
        <v/>
      </c>
      <c r="AA39" s="83" t="str">
        <f>IF(AND('Mapa final'!$Y$33="Baja",'Mapa final'!$AA$33="Moderado"),CONCATENATE("R4C",'Mapa final'!$O$33),"")</f>
        <v/>
      </c>
      <c r="AB39" s="66" t="str">
        <f>IF(AND('Mapa final'!$Y$28="Baja",'Mapa final'!$AA$28="Mayor"),CONCATENATE("R4C",'Mapa final'!$O$28),"")</f>
        <v/>
      </c>
      <c r="AC39" s="67" t="str">
        <f>IF(AND('Mapa final'!$Y$29="Baja",'Mapa final'!$AA$29="Mayor"),CONCATENATE("R4C",'Mapa final'!$O$29),"")</f>
        <v/>
      </c>
      <c r="AD39" s="67" t="str">
        <f>IF(AND('Mapa final'!$Y$30="Baja",'Mapa final'!$AA$30="Mayor"),CONCATENATE("R4C",'Mapa final'!$O$30),"")</f>
        <v/>
      </c>
      <c r="AE39" s="67" t="str">
        <f>IF(AND('Mapa final'!$Y$31="Baja",'Mapa final'!$AA$31="Mayor"),CONCATENATE("R4C",'Mapa final'!$O$31),"")</f>
        <v/>
      </c>
      <c r="AF39" s="67" t="str">
        <f>IF(AND('Mapa final'!$Y$32="Baja",'Mapa final'!$AA$32="Mayor"),CONCATENATE("R4C",'Mapa final'!$O$32),"")</f>
        <v/>
      </c>
      <c r="AG39" s="68" t="str">
        <f>IF(AND('Mapa final'!$Y$33="Baja",'Mapa final'!$AA$33="Mayor"),CONCATENATE("R4C",'Mapa final'!$O$33),"")</f>
        <v/>
      </c>
      <c r="AH39" s="69" t="str">
        <f>IF(AND('Mapa final'!$Y$28="Baja",'Mapa final'!$AA$28="Catastrófico"),CONCATENATE("R4C",'Mapa final'!$O$28),"")</f>
        <v/>
      </c>
      <c r="AI39" s="70" t="str">
        <f>IF(AND('Mapa final'!$Y$29="Baja",'Mapa final'!$AA$29="Catastrófico"),CONCATENATE("R4C",'Mapa final'!$O$29),"")</f>
        <v/>
      </c>
      <c r="AJ39" s="70" t="str">
        <f>IF(AND('Mapa final'!$Y$30="Baja",'Mapa final'!$AA$30="Catastrófico"),CONCATENATE("R4C",'Mapa final'!$O$30),"")</f>
        <v/>
      </c>
      <c r="AK39" s="70" t="str">
        <f>IF(AND('Mapa final'!$Y$31="Baja",'Mapa final'!$AA$31="Catastrófico"),CONCATENATE("R4C",'Mapa final'!$O$31),"")</f>
        <v/>
      </c>
      <c r="AL39" s="70" t="str">
        <f>IF(AND('Mapa final'!$Y$32="Baja",'Mapa final'!$AA$32="Catastrófico"),CONCATENATE("R4C",'Mapa final'!$O$32),"")</f>
        <v/>
      </c>
      <c r="AM39" s="71" t="str">
        <f>IF(AND('Mapa final'!$Y$33="Baja",'Mapa final'!$AA$33="Catastrófico"),CONCATENATE("R4C",'Mapa final'!$O$33),"")</f>
        <v/>
      </c>
      <c r="AN39" s="97"/>
      <c r="AO39" s="416"/>
      <c r="AP39" s="417"/>
      <c r="AQ39" s="417"/>
      <c r="AR39" s="417"/>
      <c r="AS39" s="417"/>
      <c r="AT39" s="418"/>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80" ht="15" customHeight="1" x14ac:dyDescent="0.25">
      <c r="A40" s="97"/>
      <c r="B40" s="297"/>
      <c r="C40" s="297"/>
      <c r="D40" s="298"/>
      <c r="E40" s="396"/>
      <c r="F40" s="395"/>
      <c r="G40" s="395"/>
      <c r="H40" s="395"/>
      <c r="I40" s="395"/>
      <c r="J40" s="90" t="str">
        <f>IF(AND('Mapa final'!$Y$34="Baja",'Mapa final'!$AA$34="Leve"),CONCATENATE("R5C",'Mapa final'!$O$34),"")</f>
        <v/>
      </c>
      <c r="K40" s="91" t="str">
        <f>IF(AND('Mapa final'!$Y$35="Baja",'Mapa final'!$AA$35="Leve"),CONCATENATE("R5C",'Mapa final'!$O$35),"")</f>
        <v/>
      </c>
      <c r="L40" s="91" t="str">
        <f>IF(AND('Mapa final'!$Y$36="Baja",'Mapa final'!$AA$36="Leve"),CONCATENATE("R5C",'Mapa final'!$O$36),"")</f>
        <v/>
      </c>
      <c r="M40" s="91" t="str">
        <f>IF(AND('Mapa final'!$Y$37="Baja",'Mapa final'!$AA$37="Leve"),CONCATENATE("R5C",'Mapa final'!$O$37),"")</f>
        <v/>
      </c>
      <c r="N40" s="91" t="str">
        <f>IF(AND('Mapa final'!$Y$38="Baja",'Mapa final'!$AA$38="Leve"),CONCATENATE("R5C",'Mapa final'!$O$38),"")</f>
        <v/>
      </c>
      <c r="O40" s="92" t="str">
        <f>IF(AND('Mapa final'!$Y$39="Baja",'Mapa final'!$AA$39="Leve"),CONCATENATE("R5C",'Mapa final'!$O$39),"")</f>
        <v/>
      </c>
      <c r="P40" s="81" t="str">
        <f>IF(AND('Mapa final'!$Y$34="Baja",'Mapa final'!$AA$34="Menor"),CONCATENATE("R5C",'Mapa final'!$O$34),"")</f>
        <v/>
      </c>
      <c r="Q40" s="82" t="str">
        <f>IF(AND('Mapa final'!$Y$35="Baja",'Mapa final'!$AA$35="Menor"),CONCATENATE("R5C",'Mapa final'!$O$35),"")</f>
        <v/>
      </c>
      <c r="R40" s="82" t="str">
        <f>IF(AND('Mapa final'!$Y$36="Baja",'Mapa final'!$AA$36="Menor"),CONCATENATE("R5C",'Mapa final'!$O$36),"")</f>
        <v/>
      </c>
      <c r="S40" s="82" t="str">
        <f>IF(AND('Mapa final'!$Y$37="Baja",'Mapa final'!$AA$37="Menor"),CONCATENATE("R5C",'Mapa final'!$O$37),"")</f>
        <v/>
      </c>
      <c r="T40" s="82" t="str">
        <f>IF(AND('Mapa final'!$Y$38="Baja",'Mapa final'!$AA$38="Menor"),CONCATENATE("R5C",'Mapa final'!$O$38),"")</f>
        <v/>
      </c>
      <c r="U40" s="83" t="str">
        <f>IF(AND('Mapa final'!$Y$39="Baja",'Mapa final'!$AA$39="Menor"),CONCATENATE("R5C",'Mapa final'!$O$39),"")</f>
        <v/>
      </c>
      <c r="V40" s="81" t="str">
        <f>IF(AND('Mapa final'!$Y$34="Baja",'Mapa final'!$AA$34="Moderado"),CONCATENATE("R5C",'Mapa final'!$O$34),"")</f>
        <v/>
      </c>
      <c r="W40" s="82" t="str">
        <f>IF(AND('Mapa final'!$Y$35="Baja",'Mapa final'!$AA$35="Moderado"),CONCATENATE("R5C",'Mapa final'!$O$35),"")</f>
        <v/>
      </c>
      <c r="X40" s="82" t="str">
        <f>IF(AND('Mapa final'!$Y$36="Baja",'Mapa final'!$AA$36="Moderado"),CONCATENATE("R5C",'Mapa final'!$O$36),"")</f>
        <v/>
      </c>
      <c r="Y40" s="82" t="str">
        <f>IF(AND('Mapa final'!$Y$37="Baja",'Mapa final'!$AA$37="Moderado"),CONCATENATE("R5C",'Mapa final'!$O$37),"")</f>
        <v/>
      </c>
      <c r="Z40" s="82" t="str">
        <f>IF(AND('Mapa final'!$Y$38="Baja",'Mapa final'!$AA$38="Moderado"),CONCATENATE("R5C",'Mapa final'!$O$38),"")</f>
        <v/>
      </c>
      <c r="AA40" s="83" t="str">
        <f>IF(AND('Mapa final'!$Y$39="Baja",'Mapa final'!$AA$39="Moderado"),CONCATENATE("R5C",'Mapa final'!$O$39),"")</f>
        <v/>
      </c>
      <c r="AB40" s="66" t="str">
        <f>IF(AND('Mapa final'!$Y$34="Baja",'Mapa final'!$AA$34="Mayor"),CONCATENATE("R5C",'Mapa final'!$O$34),"")</f>
        <v/>
      </c>
      <c r="AC40" s="67" t="str">
        <f>IF(AND('Mapa final'!$Y$35="Baja",'Mapa final'!$AA$35="Mayor"),CONCATENATE("R5C",'Mapa final'!$O$35),"")</f>
        <v/>
      </c>
      <c r="AD40" s="67" t="str">
        <f>IF(AND('Mapa final'!$Y$36="Baja",'Mapa final'!$AA$36="Mayor"),CONCATENATE("R5C",'Mapa final'!$O$36),"")</f>
        <v/>
      </c>
      <c r="AE40" s="67" t="str">
        <f>IF(AND('Mapa final'!$Y$37="Baja",'Mapa final'!$AA$37="Mayor"),CONCATENATE("R5C",'Mapa final'!$O$37),"")</f>
        <v/>
      </c>
      <c r="AF40" s="67" t="str">
        <f>IF(AND('Mapa final'!$Y$38="Baja",'Mapa final'!$AA$38="Mayor"),CONCATENATE("R5C",'Mapa final'!$O$38),"")</f>
        <v/>
      </c>
      <c r="AG40" s="68" t="str">
        <f>IF(AND('Mapa final'!$Y$39="Baja",'Mapa final'!$AA$39="Mayor"),CONCATENATE("R5C",'Mapa final'!$O$39),"")</f>
        <v/>
      </c>
      <c r="AH40" s="69" t="str">
        <f>IF(AND('Mapa final'!$Y$34="Baja",'Mapa final'!$AA$34="Catastrófico"),CONCATENATE("R5C",'Mapa final'!$O$34),"")</f>
        <v/>
      </c>
      <c r="AI40" s="70" t="str">
        <f>IF(AND('Mapa final'!$Y$35="Baja",'Mapa final'!$AA$35="Catastrófico"),CONCATENATE("R5C",'Mapa final'!$O$35),"")</f>
        <v/>
      </c>
      <c r="AJ40" s="70" t="str">
        <f>IF(AND('Mapa final'!$Y$36="Baja",'Mapa final'!$AA$36="Catastrófico"),CONCATENATE("R5C",'Mapa final'!$O$36),"")</f>
        <v/>
      </c>
      <c r="AK40" s="70" t="str">
        <f>IF(AND('Mapa final'!$Y$37="Baja",'Mapa final'!$AA$37="Catastrófico"),CONCATENATE("R5C",'Mapa final'!$O$37),"")</f>
        <v/>
      </c>
      <c r="AL40" s="70" t="str">
        <f>IF(AND('Mapa final'!$Y$38="Baja",'Mapa final'!$AA$38="Catastrófico"),CONCATENATE("R5C",'Mapa final'!$O$38),"")</f>
        <v/>
      </c>
      <c r="AM40" s="71" t="str">
        <f>IF(AND('Mapa final'!$Y$39="Baja",'Mapa final'!$AA$39="Catastrófico"),CONCATENATE("R5C",'Mapa final'!$O$39),"")</f>
        <v/>
      </c>
      <c r="AN40" s="97"/>
      <c r="AO40" s="416"/>
      <c r="AP40" s="417"/>
      <c r="AQ40" s="417"/>
      <c r="AR40" s="417"/>
      <c r="AS40" s="417"/>
      <c r="AT40" s="418"/>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row>
    <row r="41" spans="1:80" ht="15" customHeight="1" x14ac:dyDescent="0.25">
      <c r="A41" s="97"/>
      <c r="B41" s="297"/>
      <c r="C41" s="297"/>
      <c r="D41" s="298"/>
      <c r="E41" s="396"/>
      <c r="F41" s="395"/>
      <c r="G41" s="395"/>
      <c r="H41" s="395"/>
      <c r="I41" s="395"/>
      <c r="J41" s="90" t="str">
        <f>IF(AND('Mapa final'!$Y$40="Baja",'Mapa final'!$AA$40="Leve"),CONCATENATE("R6C",'Mapa final'!$O$40),"")</f>
        <v/>
      </c>
      <c r="K41" s="91" t="str">
        <f>IF(AND('Mapa final'!$Y$41="Baja",'Mapa final'!$AA$41="Leve"),CONCATENATE("R6C",'Mapa final'!$O$41),"")</f>
        <v/>
      </c>
      <c r="L41" s="91" t="str">
        <f>IF(AND('Mapa final'!$Y$42="Baja",'Mapa final'!$AA$42="Leve"),CONCATENATE("R6C",'Mapa final'!$O$42),"")</f>
        <v/>
      </c>
      <c r="M41" s="91" t="str">
        <f>IF(AND('Mapa final'!$Y$43="Baja",'Mapa final'!$AA$43="Leve"),CONCATENATE("R6C",'Mapa final'!$O$43),"")</f>
        <v/>
      </c>
      <c r="N41" s="91" t="str">
        <f>IF(AND('Mapa final'!$Y$44="Baja",'Mapa final'!$AA$44="Leve"),CONCATENATE("R6C",'Mapa final'!$O$44),"")</f>
        <v/>
      </c>
      <c r="O41" s="92" t="str">
        <f>IF(AND('Mapa final'!$Y$45="Baja",'Mapa final'!$AA$45="Leve"),CONCATENATE("R6C",'Mapa final'!$O$45),"")</f>
        <v/>
      </c>
      <c r="P41" s="81" t="str">
        <f>IF(AND('Mapa final'!$Y$40="Baja",'Mapa final'!$AA$40="Menor"),CONCATENATE("R6C",'Mapa final'!$O$40),"")</f>
        <v/>
      </c>
      <c r="Q41" s="82" t="str">
        <f>IF(AND('Mapa final'!$Y$41="Baja",'Mapa final'!$AA$41="Menor"),CONCATENATE("R6C",'Mapa final'!$O$41),"")</f>
        <v/>
      </c>
      <c r="R41" s="82" t="str">
        <f>IF(AND('Mapa final'!$Y$42="Baja",'Mapa final'!$AA$42="Menor"),CONCATENATE("R6C",'Mapa final'!$O$42),"")</f>
        <v/>
      </c>
      <c r="S41" s="82" t="str">
        <f>IF(AND('Mapa final'!$Y$43="Baja",'Mapa final'!$AA$43="Menor"),CONCATENATE("R6C",'Mapa final'!$O$43),"")</f>
        <v/>
      </c>
      <c r="T41" s="82" t="str">
        <f>IF(AND('Mapa final'!$Y$44="Baja",'Mapa final'!$AA$44="Menor"),CONCATENATE("R6C",'Mapa final'!$O$44),"")</f>
        <v/>
      </c>
      <c r="U41" s="83" t="str">
        <f>IF(AND('Mapa final'!$Y$45="Baja",'Mapa final'!$AA$45="Menor"),CONCATENATE("R6C",'Mapa final'!$O$45),"")</f>
        <v/>
      </c>
      <c r="V41" s="81" t="str">
        <f>IF(AND('Mapa final'!$Y$40="Baja",'Mapa final'!$AA$40="Moderado"),CONCATENATE("R6C",'Mapa final'!$O$40),"")</f>
        <v/>
      </c>
      <c r="W41" s="82" t="str">
        <f>IF(AND('Mapa final'!$Y$41="Baja",'Mapa final'!$AA$41="Moderado"),CONCATENATE("R6C",'Mapa final'!$O$41),"")</f>
        <v/>
      </c>
      <c r="X41" s="82" t="str">
        <f>IF(AND('Mapa final'!$Y$42="Baja",'Mapa final'!$AA$42="Moderado"),CONCATENATE("R6C",'Mapa final'!$O$42),"")</f>
        <v/>
      </c>
      <c r="Y41" s="82" t="str">
        <f>IF(AND('Mapa final'!$Y$43="Baja",'Mapa final'!$AA$43="Moderado"),CONCATENATE("R6C",'Mapa final'!$O$43),"")</f>
        <v/>
      </c>
      <c r="Z41" s="82" t="str">
        <f>IF(AND('Mapa final'!$Y$44="Baja",'Mapa final'!$AA$44="Moderado"),CONCATENATE("R6C",'Mapa final'!$O$44),"")</f>
        <v/>
      </c>
      <c r="AA41" s="83" t="str">
        <f>IF(AND('Mapa final'!$Y$45="Baja",'Mapa final'!$AA$45="Moderado"),CONCATENATE("R6C",'Mapa final'!$O$45),"")</f>
        <v/>
      </c>
      <c r="AB41" s="66" t="str">
        <f>IF(AND('Mapa final'!$Y$40="Baja",'Mapa final'!$AA$40="Mayor"),CONCATENATE("R6C",'Mapa final'!$O$40),"")</f>
        <v/>
      </c>
      <c r="AC41" s="67" t="str">
        <f>IF(AND('Mapa final'!$Y$41="Baja",'Mapa final'!$AA$41="Mayor"),CONCATENATE("R6C",'Mapa final'!$O$41),"")</f>
        <v/>
      </c>
      <c r="AD41" s="67" t="str">
        <f>IF(AND('Mapa final'!$Y$42="Baja",'Mapa final'!$AA$42="Mayor"),CONCATENATE("R6C",'Mapa final'!$O$42),"")</f>
        <v/>
      </c>
      <c r="AE41" s="67" t="str">
        <f>IF(AND('Mapa final'!$Y$43="Baja",'Mapa final'!$AA$43="Mayor"),CONCATENATE("R6C",'Mapa final'!$O$43),"")</f>
        <v/>
      </c>
      <c r="AF41" s="67" t="str">
        <f>IF(AND('Mapa final'!$Y$44="Baja",'Mapa final'!$AA$44="Mayor"),CONCATENATE("R6C",'Mapa final'!$O$44),"")</f>
        <v/>
      </c>
      <c r="AG41" s="68" t="str">
        <f>IF(AND('Mapa final'!$Y$45="Baja",'Mapa final'!$AA$45="Mayor"),CONCATENATE("R6C",'Mapa final'!$O$45),"")</f>
        <v/>
      </c>
      <c r="AH41" s="69" t="str">
        <f>IF(AND('Mapa final'!$Y$40="Baja",'Mapa final'!$AA$40="Catastrófico"),CONCATENATE("R6C",'Mapa final'!$O$40),"")</f>
        <v/>
      </c>
      <c r="AI41" s="70" t="str">
        <f>IF(AND('Mapa final'!$Y$41="Baja",'Mapa final'!$AA$41="Catastrófico"),CONCATENATE("R6C",'Mapa final'!$O$41),"")</f>
        <v/>
      </c>
      <c r="AJ41" s="70" t="str">
        <f>IF(AND('Mapa final'!$Y$42="Baja",'Mapa final'!$AA$42="Catastrófico"),CONCATENATE("R6C",'Mapa final'!$O$42),"")</f>
        <v/>
      </c>
      <c r="AK41" s="70" t="str">
        <f>IF(AND('Mapa final'!$Y$43="Baja",'Mapa final'!$AA$43="Catastrófico"),CONCATENATE("R6C",'Mapa final'!$O$43),"")</f>
        <v/>
      </c>
      <c r="AL41" s="70" t="str">
        <f>IF(AND('Mapa final'!$Y$44="Baja",'Mapa final'!$AA$44="Catastrófico"),CONCATENATE("R6C",'Mapa final'!$O$44),"")</f>
        <v/>
      </c>
      <c r="AM41" s="71" t="str">
        <f>IF(AND('Mapa final'!$Y$45="Baja",'Mapa final'!$AA$45="Catastrófico"),CONCATENATE("R6C",'Mapa final'!$O$45),"")</f>
        <v/>
      </c>
      <c r="AN41" s="97"/>
      <c r="AO41" s="416"/>
      <c r="AP41" s="417"/>
      <c r="AQ41" s="417"/>
      <c r="AR41" s="417"/>
      <c r="AS41" s="417"/>
      <c r="AT41" s="418"/>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row>
    <row r="42" spans="1:80" ht="15" customHeight="1" x14ac:dyDescent="0.25">
      <c r="A42" s="97"/>
      <c r="B42" s="297"/>
      <c r="C42" s="297"/>
      <c r="D42" s="298"/>
      <c r="E42" s="396"/>
      <c r="F42" s="395"/>
      <c r="G42" s="395"/>
      <c r="H42" s="395"/>
      <c r="I42" s="395"/>
      <c r="J42" s="90" t="str">
        <f>IF(AND('Mapa final'!$Y$46="Baja",'Mapa final'!$AA$46="Leve"),CONCATENATE("R7C",'Mapa final'!$O$46),"")</f>
        <v/>
      </c>
      <c r="K42" s="91" t="str">
        <f>IF(AND('Mapa final'!$Y$47="Baja",'Mapa final'!$AA$47="Leve"),CONCATENATE("R7C",'Mapa final'!$O$47),"")</f>
        <v/>
      </c>
      <c r="L42" s="91" t="str">
        <f>IF(AND('Mapa final'!$Y$48="Baja",'Mapa final'!$AA$48="Leve"),CONCATENATE("R7C",'Mapa final'!$O$48),"")</f>
        <v/>
      </c>
      <c r="M42" s="91" t="str">
        <f>IF(AND('Mapa final'!$Y$49="Baja",'Mapa final'!$AA$49="Leve"),CONCATENATE("R7C",'Mapa final'!$O$49),"")</f>
        <v/>
      </c>
      <c r="N42" s="91" t="str">
        <f>IF(AND('Mapa final'!$Y$50="Baja",'Mapa final'!$AA$50="Leve"),CONCATENATE("R7C",'Mapa final'!$O$50),"")</f>
        <v/>
      </c>
      <c r="O42" s="92" t="str">
        <f>IF(AND('Mapa final'!$Y$51="Baja",'Mapa final'!$AA$51="Leve"),CONCATENATE("R7C",'Mapa final'!$O$51),"")</f>
        <v/>
      </c>
      <c r="P42" s="81" t="str">
        <f>IF(AND('Mapa final'!$Y$46="Baja",'Mapa final'!$AA$46="Menor"),CONCATENATE("R7C",'Mapa final'!$O$46),"")</f>
        <v/>
      </c>
      <c r="Q42" s="82" t="str">
        <f>IF(AND('Mapa final'!$Y$47="Baja",'Mapa final'!$AA$47="Menor"),CONCATENATE("R7C",'Mapa final'!$O$47),"")</f>
        <v/>
      </c>
      <c r="R42" s="82" t="str">
        <f>IF(AND('Mapa final'!$Y$48="Baja",'Mapa final'!$AA$48="Menor"),CONCATENATE("R7C",'Mapa final'!$O$48),"")</f>
        <v/>
      </c>
      <c r="S42" s="82" t="str">
        <f>IF(AND('Mapa final'!$Y$49="Baja",'Mapa final'!$AA$49="Menor"),CONCATENATE("R7C",'Mapa final'!$O$49),"")</f>
        <v/>
      </c>
      <c r="T42" s="82" t="str">
        <f>IF(AND('Mapa final'!$Y$50="Baja",'Mapa final'!$AA$50="Menor"),CONCATENATE("R7C",'Mapa final'!$O$50),"")</f>
        <v/>
      </c>
      <c r="U42" s="83" t="str">
        <f>IF(AND('Mapa final'!$Y$51="Baja",'Mapa final'!$AA$51="Menor"),CONCATENATE("R7C",'Mapa final'!$O$51),"")</f>
        <v/>
      </c>
      <c r="V42" s="81" t="str">
        <f>IF(AND('Mapa final'!$Y$46="Baja",'Mapa final'!$AA$46="Moderado"),CONCATENATE("R7C",'Mapa final'!$O$46),"")</f>
        <v/>
      </c>
      <c r="W42" s="82" t="str">
        <f>IF(AND('Mapa final'!$Y$47="Baja",'Mapa final'!$AA$47="Moderado"),CONCATENATE("R7C",'Mapa final'!$O$47),"")</f>
        <v/>
      </c>
      <c r="X42" s="82" t="str">
        <f>IF(AND('Mapa final'!$Y$48="Baja",'Mapa final'!$AA$48="Moderado"),CONCATENATE("R7C",'Mapa final'!$O$48),"")</f>
        <v/>
      </c>
      <c r="Y42" s="82" t="str">
        <f>IF(AND('Mapa final'!$Y$49="Baja",'Mapa final'!$AA$49="Moderado"),CONCATENATE("R7C",'Mapa final'!$O$49),"")</f>
        <v/>
      </c>
      <c r="Z42" s="82" t="str">
        <f>IF(AND('Mapa final'!$Y$50="Baja",'Mapa final'!$AA$50="Moderado"),CONCATENATE("R7C",'Mapa final'!$O$50),"")</f>
        <v/>
      </c>
      <c r="AA42" s="83" t="str">
        <f>IF(AND('Mapa final'!$Y$51="Baja",'Mapa final'!$AA$51="Moderado"),CONCATENATE("R7C",'Mapa final'!$O$51),"")</f>
        <v/>
      </c>
      <c r="AB42" s="66" t="str">
        <f>IF(AND('Mapa final'!$Y$46="Baja",'Mapa final'!$AA$46="Mayor"),CONCATENATE("R7C",'Mapa final'!$O$46),"")</f>
        <v/>
      </c>
      <c r="AC42" s="67" t="str">
        <f>IF(AND('Mapa final'!$Y$47="Baja",'Mapa final'!$AA$47="Mayor"),CONCATENATE("R7C",'Mapa final'!$O$47),"")</f>
        <v/>
      </c>
      <c r="AD42" s="67" t="str">
        <f>IF(AND('Mapa final'!$Y$48="Baja",'Mapa final'!$AA$48="Mayor"),CONCATENATE("R7C",'Mapa final'!$O$48),"")</f>
        <v/>
      </c>
      <c r="AE42" s="67" t="str">
        <f>IF(AND('Mapa final'!$Y$49="Baja",'Mapa final'!$AA$49="Mayor"),CONCATENATE("R7C",'Mapa final'!$O$49),"")</f>
        <v/>
      </c>
      <c r="AF42" s="67" t="str">
        <f>IF(AND('Mapa final'!$Y$50="Baja",'Mapa final'!$AA$50="Mayor"),CONCATENATE("R7C",'Mapa final'!$O$50),"")</f>
        <v/>
      </c>
      <c r="AG42" s="68" t="str">
        <f>IF(AND('Mapa final'!$Y$51="Baja",'Mapa final'!$AA$51="Mayor"),CONCATENATE("R7C",'Mapa final'!$O$51),"")</f>
        <v/>
      </c>
      <c r="AH42" s="69" t="str">
        <f>IF(AND('Mapa final'!$Y$46="Baja",'Mapa final'!$AA$46="Catastrófico"),CONCATENATE("R7C",'Mapa final'!$O$46),"")</f>
        <v/>
      </c>
      <c r="AI42" s="70" t="str">
        <f>IF(AND('Mapa final'!$Y$47="Baja",'Mapa final'!$AA$47="Catastrófico"),CONCATENATE("R7C",'Mapa final'!$O$47),"")</f>
        <v/>
      </c>
      <c r="AJ42" s="70" t="str">
        <f>IF(AND('Mapa final'!$Y$48="Baja",'Mapa final'!$AA$48="Catastrófico"),CONCATENATE("R7C",'Mapa final'!$O$48),"")</f>
        <v/>
      </c>
      <c r="AK42" s="70" t="str">
        <f>IF(AND('Mapa final'!$Y$49="Baja",'Mapa final'!$AA$49="Catastrófico"),CONCATENATE("R7C",'Mapa final'!$O$49),"")</f>
        <v/>
      </c>
      <c r="AL42" s="70" t="str">
        <f>IF(AND('Mapa final'!$Y$50="Baja",'Mapa final'!$AA$50="Catastrófico"),CONCATENATE("R7C",'Mapa final'!$O$50),"")</f>
        <v/>
      </c>
      <c r="AM42" s="71" t="str">
        <f>IF(AND('Mapa final'!$Y$51="Baja",'Mapa final'!$AA$51="Catastrófico"),CONCATENATE("R7C",'Mapa final'!$O$51),"")</f>
        <v/>
      </c>
      <c r="AN42" s="97"/>
      <c r="AO42" s="416"/>
      <c r="AP42" s="417"/>
      <c r="AQ42" s="417"/>
      <c r="AR42" s="417"/>
      <c r="AS42" s="417"/>
      <c r="AT42" s="418"/>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row>
    <row r="43" spans="1:80" ht="15" customHeight="1" x14ac:dyDescent="0.25">
      <c r="A43" s="97"/>
      <c r="B43" s="297"/>
      <c r="C43" s="297"/>
      <c r="D43" s="298"/>
      <c r="E43" s="396"/>
      <c r="F43" s="395"/>
      <c r="G43" s="395"/>
      <c r="H43" s="395"/>
      <c r="I43" s="395"/>
      <c r="J43" s="90" t="str">
        <f>IF(AND('Mapa final'!$Y$52="Baja",'Mapa final'!$AA$52="Leve"),CONCATENATE("R8C",'Mapa final'!$O$52),"")</f>
        <v/>
      </c>
      <c r="K43" s="91" t="str">
        <f>IF(AND('Mapa final'!$Y$53="Baja",'Mapa final'!$AA$53="Leve"),CONCATENATE("R8C",'Mapa final'!$O$53),"")</f>
        <v/>
      </c>
      <c r="L43" s="91" t="str">
        <f>IF(AND('Mapa final'!$Y$54="Baja",'Mapa final'!$AA$54="Leve"),CONCATENATE("R8C",'Mapa final'!$O$54),"")</f>
        <v/>
      </c>
      <c r="M43" s="91" t="str">
        <f>IF(AND('Mapa final'!$Y$55="Baja",'Mapa final'!$AA$55="Leve"),CONCATENATE("R8C",'Mapa final'!$O$55),"")</f>
        <v/>
      </c>
      <c r="N43" s="91" t="str">
        <f>IF(AND('Mapa final'!$Y$56="Baja",'Mapa final'!$AA$56="Leve"),CONCATENATE("R8C",'Mapa final'!$O$56),"")</f>
        <v/>
      </c>
      <c r="O43" s="92" t="str">
        <f>IF(AND('Mapa final'!$Y$57="Baja",'Mapa final'!$AA$57="Leve"),CONCATENATE("R8C",'Mapa final'!$O$57),"")</f>
        <v/>
      </c>
      <c r="P43" s="81" t="str">
        <f>IF(AND('Mapa final'!$Y$52="Baja",'Mapa final'!$AA$52="Menor"),CONCATENATE("R8C",'Mapa final'!$O$52),"")</f>
        <v/>
      </c>
      <c r="Q43" s="82" t="str">
        <f>IF(AND('Mapa final'!$Y$53="Baja",'Mapa final'!$AA$53="Menor"),CONCATENATE("R8C",'Mapa final'!$O$53),"")</f>
        <v/>
      </c>
      <c r="R43" s="82" t="str">
        <f>IF(AND('Mapa final'!$Y$54="Baja",'Mapa final'!$AA$54="Menor"),CONCATENATE("R8C",'Mapa final'!$O$54),"")</f>
        <v/>
      </c>
      <c r="S43" s="82" t="str">
        <f>IF(AND('Mapa final'!$Y$55="Baja",'Mapa final'!$AA$55="Menor"),CONCATENATE("R8C",'Mapa final'!$O$55),"")</f>
        <v/>
      </c>
      <c r="T43" s="82" t="str">
        <f>IF(AND('Mapa final'!$Y$56="Baja",'Mapa final'!$AA$56="Menor"),CONCATENATE("R8C",'Mapa final'!$O$56),"")</f>
        <v/>
      </c>
      <c r="U43" s="83" t="str">
        <f>IF(AND('Mapa final'!$Y$57="Baja",'Mapa final'!$AA$57="Menor"),CONCATENATE("R8C",'Mapa final'!$O$57),"")</f>
        <v/>
      </c>
      <c r="V43" s="81" t="str">
        <f>IF(AND('Mapa final'!$Y$52="Baja",'Mapa final'!$AA$52="Moderado"),CONCATENATE("R8C",'Mapa final'!$O$52),"")</f>
        <v/>
      </c>
      <c r="W43" s="82" t="str">
        <f>IF(AND('Mapa final'!$Y$53="Baja",'Mapa final'!$AA$53="Moderado"),CONCATENATE("R8C",'Mapa final'!$O$53),"")</f>
        <v/>
      </c>
      <c r="X43" s="82" t="str">
        <f>IF(AND('Mapa final'!$Y$54="Baja",'Mapa final'!$AA$54="Moderado"),CONCATENATE("R8C",'Mapa final'!$O$54),"")</f>
        <v/>
      </c>
      <c r="Y43" s="82" t="str">
        <f>IF(AND('Mapa final'!$Y$55="Baja",'Mapa final'!$AA$55="Moderado"),CONCATENATE("R8C",'Mapa final'!$O$55),"")</f>
        <v/>
      </c>
      <c r="Z43" s="82" t="str">
        <f>IF(AND('Mapa final'!$Y$56="Baja",'Mapa final'!$AA$56="Moderado"),CONCATENATE("R8C",'Mapa final'!$O$56),"")</f>
        <v/>
      </c>
      <c r="AA43" s="83" t="str">
        <f>IF(AND('Mapa final'!$Y$57="Baja",'Mapa final'!$AA$57="Moderado"),CONCATENATE("R8C",'Mapa final'!$O$57),"")</f>
        <v/>
      </c>
      <c r="AB43" s="66" t="str">
        <f>IF(AND('Mapa final'!$Y$52="Baja",'Mapa final'!$AA$52="Mayor"),CONCATENATE("R8C",'Mapa final'!$O$52),"")</f>
        <v/>
      </c>
      <c r="AC43" s="67" t="str">
        <f>IF(AND('Mapa final'!$Y$53="Baja",'Mapa final'!$AA$53="Mayor"),CONCATENATE("R8C",'Mapa final'!$O$53),"")</f>
        <v/>
      </c>
      <c r="AD43" s="67" t="str">
        <f>IF(AND('Mapa final'!$Y$54="Baja",'Mapa final'!$AA$54="Mayor"),CONCATENATE("R8C",'Mapa final'!$O$54),"")</f>
        <v/>
      </c>
      <c r="AE43" s="67" t="str">
        <f>IF(AND('Mapa final'!$Y$55="Baja",'Mapa final'!$AA$55="Mayor"),CONCATENATE("R8C",'Mapa final'!$O$55),"")</f>
        <v/>
      </c>
      <c r="AF43" s="67" t="str">
        <f>IF(AND('Mapa final'!$Y$56="Baja",'Mapa final'!$AA$56="Mayor"),CONCATENATE("R8C",'Mapa final'!$O$56),"")</f>
        <v/>
      </c>
      <c r="AG43" s="68" t="str">
        <f>IF(AND('Mapa final'!$Y$57="Baja",'Mapa final'!$AA$57="Mayor"),CONCATENATE("R8C",'Mapa final'!$O$57),"")</f>
        <v/>
      </c>
      <c r="AH43" s="69" t="str">
        <f>IF(AND('Mapa final'!$Y$52="Baja",'Mapa final'!$AA$52="Catastrófico"),CONCATENATE("R8C",'Mapa final'!$O$52),"")</f>
        <v/>
      </c>
      <c r="AI43" s="70" t="str">
        <f>IF(AND('Mapa final'!$Y$53="Baja",'Mapa final'!$AA$53="Catastrófico"),CONCATENATE("R8C",'Mapa final'!$O$53),"")</f>
        <v/>
      </c>
      <c r="AJ43" s="70" t="str">
        <f>IF(AND('Mapa final'!$Y$54="Baja",'Mapa final'!$AA$54="Catastrófico"),CONCATENATE("R8C",'Mapa final'!$O$54),"")</f>
        <v/>
      </c>
      <c r="AK43" s="70" t="str">
        <f>IF(AND('Mapa final'!$Y$55="Baja",'Mapa final'!$AA$55="Catastrófico"),CONCATENATE("R8C",'Mapa final'!$O$55),"")</f>
        <v/>
      </c>
      <c r="AL43" s="70" t="str">
        <f>IF(AND('Mapa final'!$Y$56="Baja",'Mapa final'!$AA$56="Catastrófico"),CONCATENATE("R8C",'Mapa final'!$O$56),"")</f>
        <v/>
      </c>
      <c r="AM43" s="71" t="str">
        <f>IF(AND('Mapa final'!$Y$57="Baja",'Mapa final'!$AA$57="Catastrófico"),CONCATENATE("R8C",'Mapa final'!$O$57),"")</f>
        <v/>
      </c>
      <c r="AN43" s="97"/>
      <c r="AO43" s="416"/>
      <c r="AP43" s="417"/>
      <c r="AQ43" s="417"/>
      <c r="AR43" s="417"/>
      <c r="AS43" s="417"/>
      <c r="AT43" s="418"/>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row>
    <row r="44" spans="1:80" ht="15" customHeight="1" x14ac:dyDescent="0.25">
      <c r="A44" s="97"/>
      <c r="B44" s="297"/>
      <c r="C44" s="297"/>
      <c r="D44" s="298"/>
      <c r="E44" s="396"/>
      <c r="F44" s="395"/>
      <c r="G44" s="395"/>
      <c r="H44" s="395"/>
      <c r="I44" s="395"/>
      <c r="J44" s="90" t="str">
        <f>IF(AND('Mapa final'!$Y$58="Baja",'Mapa final'!$AA$58="Leve"),CONCATENATE("R9C",'Mapa final'!$O$58),"")</f>
        <v/>
      </c>
      <c r="K44" s="91" t="str">
        <f>IF(AND('Mapa final'!$Y$59="Baja",'Mapa final'!$AA$59="Leve"),CONCATENATE("R9C",'Mapa final'!$O$59),"")</f>
        <v/>
      </c>
      <c r="L44" s="91" t="str">
        <f>IF(AND('Mapa final'!$Y$60="Baja",'Mapa final'!$AA$60="Leve"),CONCATENATE("R9C",'Mapa final'!$O$60),"")</f>
        <v/>
      </c>
      <c r="M44" s="91" t="str">
        <f>IF(AND('Mapa final'!$Y$61="Baja",'Mapa final'!$AA$61="Leve"),CONCATENATE("R9C",'Mapa final'!$O$61),"")</f>
        <v/>
      </c>
      <c r="N44" s="91" t="str">
        <f>IF(AND('Mapa final'!$Y$62="Baja",'Mapa final'!$AA$62="Leve"),CONCATENATE("R9C",'Mapa final'!$O$62),"")</f>
        <v/>
      </c>
      <c r="O44" s="92" t="str">
        <f>IF(AND('Mapa final'!$Y$63="Baja",'Mapa final'!$AA$63="Leve"),CONCATENATE("R9C",'Mapa final'!$O$63),"")</f>
        <v/>
      </c>
      <c r="P44" s="81" t="str">
        <f>IF(AND('Mapa final'!$Y$58="Baja",'Mapa final'!$AA$58="Menor"),CONCATENATE("R9C",'Mapa final'!$O$58),"")</f>
        <v/>
      </c>
      <c r="Q44" s="82" t="str">
        <f>IF(AND('Mapa final'!$Y$59="Baja",'Mapa final'!$AA$59="Menor"),CONCATENATE("R9C",'Mapa final'!$O$59),"")</f>
        <v/>
      </c>
      <c r="R44" s="82" t="str">
        <f>IF(AND('Mapa final'!$Y$60="Baja",'Mapa final'!$AA$60="Menor"),CONCATENATE("R9C",'Mapa final'!$O$60),"")</f>
        <v/>
      </c>
      <c r="S44" s="82" t="str">
        <f>IF(AND('Mapa final'!$Y$61="Baja",'Mapa final'!$AA$61="Menor"),CONCATENATE("R9C",'Mapa final'!$O$61),"")</f>
        <v/>
      </c>
      <c r="T44" s="82" t="str">
        <f>IF(AND('Mapa final'!$Y$62="Baja",'Mapa final'!$AA$62="Menor"),CONCATENATE("R9C",'Mapa final'!$O$62),"")</f>
        <v/>
      </c>
      <c r="U44" s="83" t="str">
        <f>IF(AND('Mapa final'!$Y$63="Baja",'Mapa final'!$AA$63="Menor"),CONCATENATE("R9C",'Mapa final'!$O$63),"")</f>
        <v/>
      </c>
      <c r="V44" s="81" t="str">
        <f>IF(AND('Mapa final'!$Y$58="Baja",'Mapa final'!$AA$58="Moderado"),CONCATENATE("R9C",'Mapa final'!$O$58),"")</f>
        <v/>
      </c>
      <c r="W44" s="82" t="str">
        <f>IF(AND('Mapa final'!$Y$59="Baja",'Mapa final'!$AA$59="Moderado"),CONCATENATE("R9C",'Mapa final'!$O$59),"")</f>
        <v/>
      </c>
      <c r="X44" s="82" t="str">
        <f>IF(AND('Mapa final'!$Y$60="Baja",'Mapa final'!$AA$60="Moderado"),CONCATENATE("R9C",'Mapa final'!$O$60),"")</f>
        <v/>
      </c>
      <c r="Y44" s="82" t="str">
        <f>IF(AND('Mapa final'!$Y$61="Baja",'Mapa final'!$AA$61="Moderado"),CONCATENATE("R9C",'Mapa final'!$O$61),"")</f>
        <v/>
      </c>
      <c r="Z44" s="82" t="str">
        <f>IF(AND('Mapa final'!$Y$62="Baja",'Mapa final'!$AA$62="Moderado"),CONCATENATE("R9C",'Mapa final'!$O$62),"")</f>
        <v/>
      </c>
      <c r="AA44" s="83" t="str">
        <f>IF(AND('Mapa final'!$Y$63="Baja",'Mapa final'!$AA$63="Moderado"),CONCATENATE("R9C",'Mapa final'!$O$63),"")</f>
        <v/>
      </c>
      <c r="AB44" s="66" t="str">
        <f>IF(AND('Mapa final'!$Y$58="Baja",'Mapa final'!$AA$58="Mayor"),CONCATENATE("R9C",'Mapa final'!$O$58),"")</f>
        <v/>
      </c>
      <c r="AC44" s="67" t="str">
        <f>IF(AND('Mapa final'!$Y$59="Baja",'Mapa final'!$AA$59="Mayor"),CONCATENATE("R9C",'Mapa final'!$O$59),"")</f>
        <v/>
      </c>
      <c r="AD44" s="67" t="str">
        <f>IF(AND('Mapa final'!$Y$60="Baja",'Mapa final'!$AA$60="Mayor"),CONCATENATE("R9C",'Mapa final'!$O$60),"")</f>
        <v/>
      </c>
      <c r="AE44" s="67" t="str">
        <f>IF(AND('Mapa final'!$Y$61="Baja",'Mapa final'!$AA$61="Mayor"),CONCATENATE("R9C",'Mapa final'!$O$61),"")</f>
        <v/>
      </c>
      <c r="AF44" s="67" t="str">
        <f>IF(AND('Mapa final'!$Y$62="Baja",'Mapa final'!$AA$62="Mayor"),CONCATENATE("R9C",'Mapa final'!$O$62),"")</f>
        <v/>
      </c>
      <c r="AG44" s="68" t="str">
        <f>IF(AND('Mapa final'!$Y$63="Baja",'Mapa final'!$AA$63="Mayor"),CONCATENATE("R9C",'Mapa final'!$O$63),"")</f>
        <v/>
      </c>
      <c r="AH44" s="69" t="str">
        <f>IF(AND('Mapa final'!$Y$58="Baja",'Mapa final'!$AA$58="Catastrófico"),CONCATENATE("R9C",'Mapa final'!$O$58),"")</f>
        <v/>
      </c>
      <c r="AI44" s="70" t="str">
        <f>IF(AND('Mapa final'!$Y$59="Baja",'Mapa final'!$AA$59="Catastrófico"),CONCATENATE("R9C",'Mapa final'!$O$59),"")</f>
        <v/>
      </c>
      <c r="AJ44" s="70" t="str">
        <f>IF(AND('Mapa final'!$Y$60="Baja",'Mapa final'!$AA$60="Catastrófico"),CONCATENATE("R9C",'Mapa final'!$O$60),"")</f>
        <v/>
      </c>
      <c r="AK44" s="70" t="str">
        <f>IF(AND('Mapa final'!$Y$61="Baja",'Mapa final'!$AA$61="Catastrófico"),CONCATENATE("R9C",'Mapa final'!$O$61),"")</f>
        <v/>
      </c>
      <c r="AL44" s="70" t="str">
        <f>IF(AND('Mapa final'!$Y$62="Baja",'Mapa final'!$AA$62="Catastrófico"),CONCATENATE("R9C",'Mapa final'!$O$62),"")</f>
        <v/>
      </c>
      <c r="AM44" s="71" t="str">
        <f>IF(AND('Mapa final'!$Y$63="Baja",'Mapa final'!$AA$63="Catastrófico"),CONCATENATE("R9C",'Mapa final'!$O$63),"")</f>
        <v/>
      </c>
      <c r="AN44" s="97"/>
      <c r="AO44" s="416"/>
      <c r="AP44" s="417"/>
      <c r="AQ44" s="417"/>
      <c r="AR44" s="417"/>
      <c r="AS44" s="417"/>
      <c r="AT44" s="418"/>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row>
    <row r="45" spans="1:80" ht="15.75" customHeight="1" thickBot="1" x14ac:dyDescent="0.3">
      <c r="A45" s="97"/>
      <c r="B45" s="297"/>
      <c r="C45" s="297"/>
      <c r="D45" s="298"/>
      <c r="E45" s="397"/>
      <c r="F45" s="398"/>
      <c r="G45" s="398"/>
      <c r="H45" s="398"/>
      <c r="I45" s="398"/>
      <c r="J45" s="93" t="str">
        <f>IF(AND('Mapa final'!$Y$64="Baja",'Mapa final'!$AA$64="Leve"),CONCATENATE("R10C",'Mapa final'!$O$64),"")</f>
        <v/>
      </c>
      <c r="K45" s="94" t="str">
        <f>IF(AND('Mapa final'!$Y$65="Baja",'Mapa final'!$AA$65="Leve"),CONCATENATE("R10C",'Mapa final'!$O$65),"")</f>
        <v/>
      </c>
      <c r="L45" s="94" t="str">
        <f>IF(AND('Mapa final'!$Y$66="Baja",'Mapa final'!$AA$66="Leve"),CONCATENATE("R10C",'Mapa final'!$O$66),"")</f>
        <v/>
      </c>
      <c r="M45" s="94" t="str">
        <f>IF(AND('Mapa final'!$Y$67="Baja",'Mapa final'!$AA$67="Leve"),CONCATENATE("R10C",'Mapa final'!$O$67),"")</f>
        <v/>
      </c>
      <c r="N45" s="94" t="str">
        <f>IF(AND('Mapa final'!$Y$68="Baja",'Mapa final'!$AA$68="Leve"),CONCATENATE("R10C",'Mapa final'!$O$68),"")</f>
        <v/>
      </c>
      <c r="O45" s="95" t="str">
        <f>IF(AND('Mapa final'!$Y$69="Baja",'Mapa final'!$AA$69="Leve"),CONCATENATE("R10C",'Mapa final'!$O$69),"")</f>
        <v/>
      </c>
      <c r="P45" s="81" t="str">
        <f>IF(AND('Mapa final'!$Y$64="Baja",'Mapa final'!$AA$64="Menor"),CONCATENATE("R10C",'Mapa final'!$O$64),"")</f>
        <v/>
      </c>
      <c r="Q45" s="82" t="str">
        <f>IF(AND('Mapa final'!$Y$65="Baja",'Mapa final'!$AA$65="Menor"),CONCATENATE("R10C",'Mapa final'!$O$65),"")</f>
        <v/>
      </c>
      <c r="R45" s="82" t="str">
        <f>IF(AND('Mapa final'!$Y$66="Baja",'Mapa final'!$AA$66="Menor"),CONCATENATE("R10C",'Mapa final'!$O$66),"")</f>
        <v/>
      </c>
      <c r="S45" s="82" t="str">
        <f>IF(AND('Mapa final'!$Y$67="Baja",'Mapa final'!$AA$67="Menor"),CONCATENATE("R10C",'Mapa final'!$O$67),"")</f>
        <v/>
      </c>
      <c r="T45" s="82" t="str">
        <f>IF(AND('Mapa final'!$Y$68="Baja",'Mapa final'!$AA$68="Menor"),CONCATENATE("R10C",'Mapa final'!$O$68),"")</f>
        <v/>
      </c>
      <c r="U45" s="83" t="str">
        <f>IF(AND('Mapa final'!$Y$69="Baja",'Mapa final'!$AA$69="Menor"),CONCATENATE("R10C",'Mapa final'!$O$69),"")</f>
        <v/>
      </c>
      <c r="V45" s="84" t="str">
        <f>IF(AND('Mapa final'!$Y$64="Baja",'Mapa final'!$AA$64="Moderado"),CONCATENATE("R10C",'Mapa final'!$O$64),"")</f>
        <v/>
      </c>
      <c r="W45" s="85" t="str">
        <f>IF(AND('Mapa final'!$Y$65="Baja",'Mapa final'!$AA$65="Moderado"),CONCATENATE("R10C",'Mapa final'!$O$65),"")</f>
        <v/>
      </c>
      <c r="X45" s="85" t="str">
        <f>IF(AND('Mapa final'!$Y$66="Baja",'Mapa final'!$AA$66="Moderado"),CONCATENATE("R10C",'Mapa final'!$O$66),"")</f>
        <v/>
      </c>
      <c r="Y45" s="85" t="str">
        <f>IF(AND('Mapa final'!$Y$67="Baja",'Mapa final'!$AA$67="Moderado"),CONCATENATE("R10C",'Mapa final'!$O$67),"")</f>
        <v/>
      </c>
      <c r="Z45" s="85" t="str">
        <f>IF(AND('Mapa final'!$Y$68="Baja",'Mapa final'!$AA$68="Moderado"),CONCATENATE("R10C",'Mapa final'!$O$68),"")</f>
        <v/>
      </c>
      <c r="AA45" s="86" t="str">
        <f>IF(AND('Mapa final'!$Y$69="Baja",'Mapa final'!$AA$69="Moderado"),CONCATENATE("R10C",'Mapa final'!$O$69),"")</f>
        <v/>
      </c>
      <c r="AB45" s="72" t="str">
        <f>IF(AND('Mapa final'!$Y$64="Baja",'Mapa final'!$AA$64="Mayor"),CONCATENATE("R10C",'Mapa final'!$O$64),"")</f>
        <v/>
      </c>
      <c r="AC45" s="73" t="str">
        <f>IF(AND('Mapa final'!$Y$65="Baja",'Mapa final'!$AA$65="Mayor"),CONCATENATE("R10C",'Mapa final'!$O$65),"")</f>
        <v/>
      </c>
      <c r="AD45" s="73" t="str">
        <f>IF(AND('Mapa final'!$Y$66="Baja",'Mapa final'!$AA$66="Mayor"),CONCATENATE("R10C",'Mapa final'!$O$66),"")</f>
        <v/>
      </c>
      <c r="AE45" s="73" t="str">
        <f>IF(AND('Mapa final'!$Y$67="Baja",'Mapa final'!$AA$67="Mayor"),CONCATENATE("R10C",'Mapa final'!$O$67),"")</f>
        <v/>
      </c>
      <c r="AF45" s="73" t="str">
        <f>IF(AND('Mapa final'!$Y$68="Baja",'Mapa final'!$AA$68="Mayor"),CONCATENATE("R10C",'Mapa final'!$O$68),"")</f>
        <v/>
      </c>
      <c r="AG45" s="74" t="str">
        <f>IF(AND('Mapa final'!$Y$69="Baja",'Mapa final'!$AA$69="Mayor"),CONCATENATE("R10C",'Mapa final'!$O$69),"")</f>
        <v/>
      </c>
      <c r="AH45" s="75" t="str">
        <f>IF(AND('Mapa final'!$Y$64="Baja",'Mapa final'!$AA$64="Catastrófico"),CONCATENATE("R10C",'Mapa final'!$O$64),"")</f>
        <v/>
      </c>
      <c r="AI45" s="76" t="str">
        <f>IF(AND('Mapa final'!$Y$65="Baja",'Mapa final'!$AA$65="Catastrófico"),CONCATENATE("R10C",'Mapa final'!$O$65),"")</f>
        <v/>
      </c>
      <c r="AJ45" s="76" t="str">
        <f>IF(AND('Mapa final'!$Y$66="Baja",'Mapa final'!$AA$66="Catastrófico"),CONCATENATE("R10C",'Mapa final'!$O$66),"")</f>
        <v/>
      </c>
      <c r="AK45" s="76" t="str">
        <f>IF(AND('Mapa final'!$Y$67="Baja",'Mapa final'!$AA$67="Catastrófico"),CONCATENATE("R10C",'Mapa final'!$O$67),"")</f>
        <v/>
      </c>
      <c r="AL45" s="76" t="str">
        <f>IF(AND('Mapa final'!$Y$68="Baja",'Mapa final'!$AA$68="Catastrófico"),CONCATENATE("R10C",'Mapa final'!$O$68),"")</f>
        <v/>
      </c>
      <c r="AM45" s="77" t="str">
        <f>IF(AND('Mapa final'!$Y$69="Baja",'Mapa final'!$AA$69="Catastrófico"),CONCATENATE("R10C",'Mapa final'!$O$69),"")</f>
        <v/>
      </c>
      <c r="AN45" s="97"/>
      <c r="AO45" s="419"/>
      <c r="AP45" s="420"/>
      <c r="AQ45" s="420"/>
      <c r="AR45" s="420"/>
      <c r="AS45" s="420"/>
      <c r="AT45" s="421"/>
    </row>
    <row r="46" spans="1:80" ht="46.5" customHeight="1" x14ac:dyDescent="0.35">
      <c r="A46" s="97"/>
      <c r="B46" s="297"/>
      <c r="C46" s="297"/>
      <c r="D46" s="298"/>
      <c r="E46" s="392" t="s">
        <v>113</v>
      </c>
      <c r="F46" s="393"/>
      <c r="G46" s="393"/>
      <c r="H46" s="393"/>
      <c r="I46" s="410"/>
      <c r="J46" s="87" t="str">
        <f>IF(AND('Mapa final'!$Y$10="Muy Baja",'Mapa final'!$AA$10="Leve"),CONCATENATE("R1C",'Mapa final'!$O$10),"")</f>
        <v/>
      </c>
      <c r="K46" s="88" t="str">
        <f>IF(AND('Mapa final'!$Y$11="Muy Baja",'Mapa final'!$AA$11="Leve"),CONCATENATE("R1C",'Mapa final'!$O$11),"")</f>
        <v/>
      </c>
      <c r="L46" s="88" t="str">
        <f>IF(AND('Mapa final'!$Y$12="Muy Baja",'Mapa final'!$AA$12="Leve"),CONCATENATE("R1C",'Mapa final'!$O$12),"")</f>
        <v/>
      </c>
      <c r="M46" s="88" t="str">
        <f>IF(AND('Mapa final'!$Y$13="Muy Baja",'Mapa final'!$AA$13="Leve"),CONCATENATE("R1C",'Mapa final'!$O$13),"")</f>
        <v/>
      </c>
      <c r="N46" s="88" t="str">
        <f>IF(AND('Mapa final'!$Y$14="Muy Baja",'Mapa final'!$AA$14="Leve"),CONCATENATE("R1C",'Mapa final'!$O$14),"")</f>
        <v/>
      </c>
      <c r="O46" s="89" t="str">
        <f>IF(AND('Mapa final'!$Y$15="Muy Baja",'Mapa final'!$AA$15="Leve"),CONCATENATE("R1C",'Mapa final'!$O$15),"")</f>
        <v/>
      </c>
      <c r="P46" s="87" t="str">
        <f>IF(AND('Mapa final'!$Y$10="Muy Baja",'Mapa final'!$AA$10="Menor"),CONCATENATE("R1C",'Mapa final'!$O$10),"")</f>
        <v/>
      </c>
      <c r="Q46" s="88" t="str">
        <f>IF(AND('Mapa final'!$Y$11="Muy Baja",'Mapa final'!$AA$11="Menor"),CONCATENATE("R1C",'Mapa final'!$O$11),"")</f>
        <v/>
      </c>
      <c r="R46" s="88" t="str">
        <f>IF(AND('Mapa final'!$Y$12="Muy Baja",'Mapa final'!$AA$12="Menor"),CONCATENATE("R1C",'Mapa final'!$O$12),"")</f>
        <v/>
      </c>
      <c r="S46" s="88" t="str">
        <f>IF(AND('Mapa final'!$Y$13="Muy Baja",'Mapa final'!$AA$13="Menor"),CONCATENATE("R1C",'Mapa final'!$O$13),"")</f>
        <v/>
      </c>
      <c r="T46" s="88" t="str">
        <f>IF(AND('Mapa final'!$Y$14="Muy Baja",'Mapa final'!$AA$14="Menor"),CONCATENATE("R1C",'Mapa final'!$O$14),"")</f>
        <v/>
      </c>
      <c r="U46" s="89" t="str">
        <f>IF(AND('Mapa final'!$Y$15="Muy Baja",'Mapa final'!$AA$15="Menor"),CONCATENATE("R1C",'Mapa final'!$O$15),"")</f>
        <v/>
      </c>
      <c r="V46" s="78" t="str">
        <f>IF(AND('Mapa final'!$Y$10="Muy Baja",'Mapa final'!$AA$10="Moderado"),CONCATENATE("R1C",'Mapa final'!$O$10),"")</f>
        <v/>
      </c>
      <c r="W46" s="96" t="str">
        <f>IF(AND('Mapa final'!$Y$11="Muy Baja",'Mapa final'!$AA$11="Moderado"),CONCATENATE("R1C",'Mapa final'!$O$11),"")</f>
        <v/>
      </c>
      <c r="X46" s="79" t="str">
        <f>IF(AND('Mapa final'!$Y$12="Muy Baja",'Mapa final'!$AA$12="Moderado"),CONCATENATE("R1C",'Mapa final'!$O$12),"")</f>
        <v/>
      </c>
      <c r="Y46" s="79" t="str">
        <f>IF(AND('Mapa final'!$Y$13="Muy Baja",'Mapa final'!$AA$13="Moderado"),CONCATENATE("R1C",'Mapa final'!$O$13),"")</f>
        <v/>
      </c>
      <c r="Z46" s="79" t="str">
        <f>IF(AND('Mapa final'!$Y$14="Muy Baja",'Mapa final'!$AA$14="Moderado"),CONCATENATE("R1C",'Mapa final'!$O$14),"")</f>
        <v/>
      </c>
      <c r="AA46" s="80" t="str">
        <f>IF(AND('Mapa final'!$Y$15="Muy Baja",'Mapa final'!$AA$15="Moderado"),CONCATENATE("R1C",'Mapa final'!$O$15),"")</f>
        <v/>
      </c>
      <c r="AB46" s="60" t="str">
        <f>IF(AND('Mapa final'!$Y$10="Muy Baja",'Mapa final'!$AA$10="Mayor"),CONCATENATE("R1C",'Mapa final'!$O$10),"")</f>
        <v/>
      </c>
      <c r="AC46" s="61" t="str">
        <f>IF(AND('Mapa final'!$Y$11="Muy Baja",'Mapa final'!$AA$11="Mayor"),CONCATENATE("R1C",'Mapa final'!$O$11),"")</f>
        <v/>
      </c>
      <c r="AD46" s="61" t="str">
        <f>IF(AND('Mapa final'!$Y$12="Muy Baja",'Mapa final'!$AA$12="Mayor"),CONCATENATE("R1C",'Mapa final'!$O$12),"")</f>
        <v/>
      </c>
      <c r="AE46" s="61" t="str">
        <f>IF(AND('Mapa final'!$Y$13="Muy Baja",'Mapa final'!$AA$13="Mayor"),CONCATENATE("R1C",'Mapa final'!$O$13),"")</f>
        <v/>
      </c>
      <c r="AF46" s="61" t="str">
        <f>IF(AND('Mapa final'!$Y$14="Muy Baja",'Mapa final'!$AA$14="Mayor"),CONCATENATE("R1C",'Mapa final'!$O$14),"")</f>
        <v/>
      </c>
      <c r="AG46" s="62" t="str">
        <f>IF(AND('Mapa final'!$Y$15="Muy Baja",'Mapa final'!$AA$15="Mayor"),CONCATENATE("R1C",'Mapa final'!$O$15),"")</f>
        <v/>
      </c>
      <c r="AH46" s="63" t="str">
        <f>IF(AND('Mapa final'!$Y$10="Muy Baja",'Mapa final'!$AA$10="Catastrófico"),CONCATENATE("R1C",'Mapa final'!$O$10),"")</f>
        <v/>
      </c>
      <c r="AI46" s="64" t="str">
        <f>IF(AND('Mapa final'!$Y$11="Muy Baja",'Mapa final'!$AA$11="Catastrófico"),CONCATENATE("R1C",'Mapa final'!$O$11),"")</f>
        <v/>
      </c>
      <c r="AJ46" s="64" t="str">
        <f>IF(AND('Mapa final'!$Y$12="Muy Baja",'Mapa final'!$AA$12="Catastrófico"),CONCATENATE("R1C",'Mapa final'!$O$12),"")</f>
        <v/>
      </c>
      <c r="AK46" s="64" t="str">
        <f>IF(AND('Mapa final'!$Y$13="Muy Baja",'Mapa final'!$AA$13="Catastrófico"),CONCATENATE("R1C",'Mapa final'!$O$13),"")</f>
        <v/>
      </c>
      <c r="AL46" s="64" t="str">
        <f>IF(AND('Mapa final'!$Y$14="Muy Baja",'Mapa final'!$AA$14="Catastrófico"),CONCATENATE("R1C",'Mapa final'!$O$14),"")</f>
        <v/>
      </c>
      <c r="AM46" s="65" t="str">
        <f>IF(AND('Mapa final'!$Y$15="Muy Baja",'Mapa final'!$AA$15="Catastrófico"),CONCATENATE("R1C",'Mapa final'!$O$15),"")</f>
        <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ht="46.5" customHeight="1" x14ac:dyDescent="0.25">
      <c r="A47" s="97"/>
      <c r="B47" s="297"/>
      <c r="C47" s="297"/>
      <c r="D47" s="298"/>
      <c r="E47" s="394"/>
      <c r="F47" s="395"/>
      <c r="G47" s="395"/>
      <c r="H47" s="395"/>
      <c r="I47" s="411"/>
      <c r="J47" s="90" t="str">
        <f>IF(AND('Mapa final'!$Y$16="Muy Baja",'Mapa final'!$AA$16="Leve"),CONCATENATE("R2C",'Mapa final'!$O$16),"")</f>
        <v/>
      </c>
      <c r="K47" s="91" t="str">
        <f>IF(AND('Mapa final'!$Y$17="Muy Baja",'Mapa final'!$AA$17="Leve"),CONCATENATE("R2C",'Mapa final'!$O$17),"")</f>
        <v/>
      </c>
      <c r="L47" s="91" t="str">
        <f>IF(AND('Mapa final'!$Y$18="Muy Baja",'Mapa final'!$AA$18="Leve"),CONCATENATE("R2C",'Mapa final'!$O$18),"")</f>
        <v/>
      </c>
      <c r="M47" s="91" t="str">
        <f>IF(AND('Mapa final'!$Y$19="Muy Baja",'Mapa final'!$AA$19="Leve"),CONCATENATE("R2C",'Mapa final'!$O$19),"")</f>
        <v/>
      </c>
      <c r="N47" s="91" t="str">
        <f>IF(AND('Mapa final'!$Y$20="Muy Baja",'Mapa final'!$AA$20="Leve"),CONCATENATE("R2C",'Mapa final'!$O$20),"")</f>
        <v/>
      </c>
      <c r="O47" s="92" t="str">
        <f>IF(AND('Mapa final'!$Y$21="Muy Baja",'Mapa final'!$AA$21="Leve"),CONCATENATE("R2C",'Mapa final'!$O$21),"")</f>
        <v/>
      </c>
      <c r="P47" s="90" t="str">
        <f>IF(AND('Mapa final'!$Y$16="Muy Baja",'Mapa final'!$AA$16="Menor"),CONCATENATE("R2C",'Mapa final'!$O$16),"")</f>
        <v/>
      </c>
      <c r="Q47" s="91" t="str">
        <f>IF(AND('Mapa final'!$Y$17="Muy Baja",'Mapa final'!$AA$17="Menor"),CONCATENATE("R2C",'Mapa final'!$O$17),"")</f>
        <v/>
      </c>
      <c r="R47" s="91" t="str">
        <f>IF(AND('Mapa final'!$Y$18="Muy Baja",'Mapa final'!$AA$18="Menor"),CONCATENATE("R2C",'Mapa final'!$O$18),"")</f>
        <v/>
      </c>
      <c r="S47" s="91" t="str">
        <f>IF(AND('Mapa final'!$Y$19="Muy Baja",'Mapa final'!$AA$19="Menor"),CONCATENATE("R2C",'Mapa final'!$O$19),"")</f>
        <v/>
      </c>
      <c r="T47" s="91" t="str">
        <f>IF(AND('Mapa final'!$Y$20="Muy Baja",'Mapa final'!$AA$20="Menor"),CONCATENATE("R2C",'Mapa final'!$O$20),"")</f>
        <v/>
      </c>
      <c r="U47" s="92" t="str">
        <f>IF(AND('Mapa final'!$Y$21="Muy Baja",'Mapa final'!$AA$21="Menor"),CONCATENATE("R2C",'Mapa final'!$O$21),"")</f>
        <v/>
      </c>
      <c r="V47" s="81" t="str">
        <f>IF(AND('Mapa final'!$Y$16="Muy Baja",'Mapa final'!$AA$16="Moderado"),CONCATENATE("R2C",'Mapa final'!$O$16),"")</f>
        <v/>
      </c>
      <c r="W47" s="82" t="str">
        <f>IF(AND('Mapa final'!$Y$17="Muy Baja",'Mapa final'!$AA$17="Moderado"),CONCATENATE("R2C",'Mapa final'!$O$17),"")</f>
        <v/>
      </c>
      <c r="X47" s="82" t="str">
        <f>IF(AND('Mapa final'!$Y$18="Muy Baja",'Mapa final'!$AA$18="Moderado"),CONCATENATE("R2C",'Mapa final'!$O$18),"")</f>
        <v/>
      </c>
      <c r="Y47" s="82" t="str">
        <f>IF(AND('Mapa final'!$Y$19="Muy Baja",'Mapa final'!$AA$19="Moderado"),CONCATENATE("R2C",'Mapa final'!$O$19),"")</f>
        <v/>
      </c>
      <c r="Z47" s="82" t="str">
        <f>IF(AND('Mapa final'!$Y$20="Muy Baja",'Mapa final'!$AA$20="Moderado"),CONCATENATE("R2C",'Mapa final'!$O$20),"")</f>
        <v/>
      </c>
      <c r="AA47" s="83" t="str">
        <f>IF(AND('Mapa final'!$Y$21="Muy Baja",'Mapa final'!$AA$21="Moderado"),CONCATENATE("R2C",'Mapa final'!$O$21),"")</f>
        <v/>
      </c>
      <c r="AB47" s="66" t="str">
        <f>IF(AND('Mapa final'!$Y$16="Muy Baja",'Mapa final'!$AA$16="Mayor"),CONCATENATE("R2C",'Mapa final'!$O$16),"")</f>
        <v/>
      </c>
      <c r="AC47" s="67" t="str">
        <f>IF(AND('Mapa final'!$Y$17="Muy Baja",'Mapa final'!$AA$17="Mayor"),CONCATENATE("R2C",'Mapa final'!$O$17),"")</f>
        <v/>
      </c>
      <c r="AD47" s="67" t="str">
        <f>IF(AND('Mapa final'!$Y$18="Muy Baja",'Mapa final'!$AA$18="Mayor"),CONCATENATE("R2C",'Mapa final'!$O$18),"")</f>
        <v/>
      </c>
      <c r="AE47" s="67" t="str">
        <f>IF(AND('Mapa final'!$Y$19="Muy Baja",'Mapa final'!$AA$19="Mayor"),CONCATENATE("R2C",'Mapa final'!$O$19),"")</f>
        <v/>
      </c>
      <c r="AF47" s="67" t="str">
        <f>IF(AND('Mapa final'!$Y$20="Muy Baja",'Mapa final'!$AA$20="Mayor"),CONCATENATE("R2C",'Mapa final'!$O$20),"")</f>
        <v/>
      </c>
      <c r="AG47" s="68" t="str">
        <f>IF(AND('Mapa final'!$Y$21="Muy Baja",'Mapa final'!$AA$21="Mayor"),CONCATENATE("R2C",'Mapa final'!$O$21),"")</f>
        <v/>
      </c>
      <c r="AH47" s="69" t="str">
        <f>IF(AND('Mapa final'!$Y$16="Muy Baja",'Mapa final'!$AA$16="Catastrófico"),CONCATENATE("R2C",'Mapa final'!$O$16),"")</f>
        <v/>
      </c>
      <c r="AI47" s="70" t="str">
        <f>IF(AND('Mapa final'!$Y$17="Muy Baja",'Mapa final'!$AA$17="Catastrófico"),CONCATENATE("R2C",'Mapa final'!$O$17),"")</f>
        <v/>
      </c>
      <c r="AJ47" s="70" t="str">
        <f>IF(AND('Mapa final'!$Y$18="Muy Baja",'Mapa final'!$AA$18="Catastrófico"),CONCATENATE("R2C",'Mapa final'!$O$18),"")</f>
        <v/>
      </c>
      <c r="AK47" s="70" t="str">
        <f>IF(AND('Mapa final'!$Y$19="Muy Baja",'Mapa final'!$AA$19="Catastrófico"),CONCATENATE("R2C",'Mapa final'!$O$19),"")</f>
        <v/>
      </c>
      <c r="AL47" s="70" t="str">
        <f>IF(AND('Mapa final'!$Y$20="Muy Baja",'Mapa final'!$AA$20="Catastrófico"),CONCATENATE("R2C",'Mapa final'!$O$20),"")</f>
        <v/>
      </c>
      <c r="AM47" s="71" t="str">
        <f>IF(AND('Mapa final'!$Y$21="Muy Baja",'Mapa final'!$AA$21="Catastrófico"),CONCATENATE("R2C",'Mapa final'!$O$21),"")</f>
        <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ht="15" customHeight="1" x14ac:dyDescent="0.25">
      <c r="A48" s="97"/>
      <c r="B48" s="297"/>
      <c r="C48" s="297"/>
      <c r="D48" s="298"/>
      <c r="E48" s="394"/>
      <c r="F48" s="395"/>
      <c r="G48" s="395"/>
      <c r="H48" s="395"/>
      <c r="I48" s="411"/>
      <c r="J48" s="90" t="str">
        <f>IF(AND('Mapa final'!$Y$22="Muy Baja",'Mapa final'!$AA$22="Leve"),CONCATENATE("R3C",'Mapa final'!$O$22),"")</f>
        <v/>
      </c>
      <c r="K48" s="91" t="str">
        <f>IF(AND('Mapa final'!$Y$23="Muy Baja",'Mapa final'!$AA$23="Leve"),CONCATENATE("R3C",'Mapa final'!$O$23),"")</f>
        <v/>
      </c>
      <c r="L48" s="91" t="str">
        <f>IF(AND('Mapa final'!$Y$24="Muy Baja",'Mapa final'!$AA$24="Leve"),CONCATENATE("R3C",'Mapa final'!$O$24),"")</f>
        <v/>
      </c>
      <c r="M48" s="91" t="str">
        <f>IF(AND('Mapa final'!$Y$25="Muy Baja",'Mapa final'!$AA$25="Leve"),CONCATENATE("R3C",'Mapa final'!$O$25),"")</f>
        <v/>
      </c>
      <c r="N48" s="91" t="str">
        <f>IF(AND('Mapa final'!$Y$26="Muy Baja",'Mapa final'!$AA$26="Leve"),CONCATENATE("R3C",'Mapa final'!$O$26),"")</f>
        <v/>
      </c>
      <c r="O48" s="92" t="str">
        <f>IF(AND('Mapa final'!$Y$27="Muy Baja",'Mapa final'!$AA$27="Leve"),CONCATENATE("R3C",'Mapa final'!$O$27),"")</f>
        <v/>
      </c>
      <c r="P48" s="90" t="str">
        <f>IF(AND('Mapa final'!$Y$22="Muy Baja",'Mapa final'!$AA$22="Menor"),CONCATENATE("R3C",'Mapa final'!$O$22),"")</f>
        <v/>
      </c>
      <c r="Q48" s="91" t="str">
        <f>IF(AND('Mapa final'!$Y$23="Muy Baja",'Mapa final'!$AA$23="Menor"),CONCATENATE("R3C",'Mapa final'!$O$23),"")</f>
        <v/>
      </c>
      <c r="R48" s="91" t="str">
        <f>IF(AND('Mapa final'!$Y$24="Muy Baja",'Mapa final'!$AA$24="Menor"),CONCATENATE("R3C",'Mapa final'!$O$24),"")</f>
        <v/>
      </c>
      <c r="S48" s="91" t="str">
        <f>IF(AND('Mapa final'!$Y$25="Muy Baja",'Mapa final'!$AA$25="Menor"),CONCATENATE("R3C",'Mapa final'!$O$25),"")</f>
        <v/>
      </c>
      <c r="T48" s="91" t="str">
        <f>IF(AND('Mapa final'!$Y$26="Muy Baja",'Mapa final'!$AA$26="Menor"),CONCATENATE("R3C",'Mapa final'!$O$26),"")</f>
        <v/>
      </c>
      <c r="U48" s="92" t="str">
        <f>IF(AND('Mapa final'!$Y$27="Muy Baja",'Mapa final'!$AA$27="Menor"),CONCATENATE("R3C",'Mapa final'!$O$27),"")</f>
        <v/>
      </c>
      <c r="V48" s="81" t="str">
        <f>IF(AND('Mapa final'!$Y$22="Muy Baja",'Mapa final'!$AA$22="Moderado"),CONCATENATE("R3C",'Mapa final'!$O$22),"")</f>
        <v/>
      </c>
      <c r="W48" s="82" t="str">
        <f>IF(AND('Mapa final'!$Y$23="Muy Baja",'Mapa final'!$AA$23="Moderado"),CONCATENATE("R3C",'Mapa final'!$O$23),"")</f>
        <v/>
      </c>
      <c r="X48" s="82" t="str">
        <f>IF(AND('Mapa final'!$Y$24="Muy Baja",'Mapa final'!$AA$24="Moderado"),CONCATENATE("R3C",'Mapa final'!$O$24),"")</f>
        <v/>
      </c>
      <c r="Y48" s="82" t="str">
        <f>IF(AND('Mapa final'!$Y$25="Muy Baja",'Mapa final'!$AA$25="Moderado"),CONCATENATE("R3C",'Mapa final'!$O$25),"")</f>
        <v/>
      </c>
      <c r="Z48" s="82" t="str">
        <f>IF(AND('Mapa final'!$Y$26="Muy Baja",'Mapa final'!$AA$26="Moderado"),CONCATENATE("R3C",'Mapa final'!$O$26),"")</f>
        <v/>
      </c>
      <c r="AA48" s="83" t="str">
        <f>IF(AND('Mapa final'!$Y$27="Muy Baja",'Mapa final'!$AA$27="Moderado"),CONCATENATE("R3C",'Mapa final'!$O$27),"")</f>
        <v/>
      </c>
      <c r="AB48" s="66" t="str">
        <f>IF(AND('Mapa final'!$Y$22="Muy Baja",'Mapa final'!$AA$22="Mayor"),CONCATENATE("R3C",'Mapa final'!$O$22),"")</f>
        <v/>
      </c>
      <c r="AC48" s="67" t="str">
        <f>IF(AND('Mapa final'!$Y$23="Muy Baja",'Mapa final'!$AA$23="Mayor"),CONCATENATE("R3C",'Mapa final'!$O$23),"")</f>
        <v/>
      </c>
      <c r="AD48" s="67" t="str">
        <f>IF(AND('Mapa final'!$Y$24="Muy Baja",'Mapa final'!$AA$24="Mayor"),CONCATENATE("R3C",'Mapa final'!$O$24),"")</f>
        <v/>
      </c>
      <c r="AE48" s="67" t="str">
        <f>IF(AND('Mapa final'!$Y$25="Muy Baja",'Mapa final'!$AA$25="Mayor"),CONCATENATE("R3C",'Mapa final'!$O$25),"")</f>
        <v/>
      </c>
      <c r="AF48" s="67" t="str">
        <f>IF(AND('Mapa final'!$Y$26="Muy Baja",'Mapa final'!$AA$26="Mayor"),CONCATENATE("R3C",'Mapa final'!$O$26),"")</f>
        <v/>
      </c>
      <c r="AG48" s="68" t="str">
        <f>IF(AND('Mapa final'!$Y$27="Muy Baja",'Mapa final'!$AA$27="Mayor"),CONCATENATE("R3C",'Mapa final'!$O$27),"")</f>
        <v/>
      </c>
      <c r="AH48" s="69" t="str">
        <f>IF(AND('Mapa final'!$Y$22="Muy Baja",'Mapa final'!$AA$22="Catastrófico"),CONCATENATE("R3C",'Mapa final'!$O$22),"")</f>
        <v/>
      </c>
      <c r="AI48" s="70" t="str">
        <f>IF(AND('Mapa final'!$Y$23="Muy Baja",'Mapa final'!$AA$23="Catastrófico"),CONCATENATE("R3C",'Mapa final'!$O$23),"")</f>
        <v/>
      </c>
      <c r="AJ48" s="70" t="str">
        <f>IF(AND('Mapa final'!$Y$24="Muy Baja",'Mapa final'!$AA$24="Catastrófico"),CONCATENATE("R3C",'Mapa final'!$O$24),"")</f>
        <v/>
      </c>
      <c r="AK48" s="70" t="str">
        <f>IF(AND('Mapa final'!$Y$25="Muy Baja",'Mapa final'!$AA$25="Catastrófico"),CONCATENATE("R3C",'Mapa final'!$O$25),"")</f>
        <v/>
      </c>
      <c r="AL48" s="70" t="str">
        <f>IF(AND('Mapa final'!$Y$26="Muy Baja",'Mapa final'!$AA$26="Catastrófico"),CONCATENATE("R3C",'Mapa final'!$O$26),"")</f>
        <v/>
      </c>
      <c r="AM48" s="71" t="str">
        <f>IF(AND('Mapa final'!$Y$27="Muy Baja",'Mapa final'!$AA$27="Catastrófico"),CONCATENATE("R3C",'Mapa final'!$O$27),"")</f>
        <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ht="15" customHeight="1" x14ac:dyDescent="0.25">
      <c r="A49" s="97"/>
      <c r="B49" s="297"/>
      <c r="C49" s="297"/>
      <c r="D49" s="298"/>
      <c r="E49" s="396"/>
      <c r="F49" s="395"/>
      <c r="G49" s="395"/>
      <c r="H49" s="395"/>
      <c r="I49" s="411"/>
      <c r="J49" s="90" t="str">
        <f>IF(AND('Mapa final'!$Y$28="Muy Baja",'Mapa final'!$AA$28="Leve"),CONCATENATE("R4C",'Mapa final'!$O$28),"")</f>
        <v/>
      </c>
      <c r="K49" s="91" t="str">
        <f>IF(AND('Mapa final'!$Y$29="Muy Baja",'Mapa final'!$AA$29="Leve"),CONCATENATE("R4C",'Mapa final'!$O$29),"")</f>
        <v/>
      </c>
      <c r="L49" s="91" t="str">
        <f>IF(AND('Mapa final'!$Y$30="Muy Baja",'Mapa final'!$AA$30="Leve"),CONCATENATE("R4C",'Mapa final'!$O$30),"")</f>
        <v/>
      </c>
      <c r="M49" s="91" t="str">
        <f>IF(AND('Mapa final'!$Y$31="Muy Baja",'Mapa final'!$AA$31="Leve"),CONCATENATE("R4C",'Mapa final'!$O$31),"")</f>
        <v/>
      </c>
      <c r="N49" s="91" t="str">
        <f>IF(AND('Mapa final'!$Y$32="Muy Baja",'Mapa final'!$AA$32="Leve"),CONCATENATE("R4C",'Mapa final'!$O$32),"")</f>
        <v/>
      </c>
      <c r="O49" s="92" t="str">
        <f>IF(AND('Mapa final'!$Y$33="Muy Baja",'Mapa final'!$AA$33="Leve"),CONCATENATE("R4C",'Mapa final'!$O$33),"")</f>
        <v/>
      </c>
      <c r="P49" s="90" t="str">
        <f>IF(AND('Mapa final'!$Y$28="Muy Baja",'Mapa final'!$AA$28="Menor"),CONCATENATE("R4C",'Mapa final'!$O$28),"")</f>
        <v/>
      </c>
      <c r="Q49" s="91" t="str">
        <f>IF(AND('Mapa final'!$Y$29="Muy Baja",'Mapa final'!$AA$29="Menor"),CONCATENATE("R4C",'Mapa final'!$O$29),"")</f>
        <v/>
      </c>
      <c r="R49" s="91" t="str">
        <f>IF(AND('Mapa final'!$Y$30="Muy Baja",'Mapa final'!$AA$30="Menor"),CONCATENATE("R4C",'Mapa final'!$O$30),"")</f>
        <v/>
      </c>
      <c r="S49" s="91" t="str">
        <f>IF(AND('Mapa final'!$Y$31="Muy Baja",'Mapa final'!$AA$31="Menor"),CONCATENATE("R4C",'Mapa final'!$O$31),"")</f>
        <v/>
      </c>
      <c r="T49" s="91" t="str">
        <f>IF(AND('Mapa final'!$Y$32="Muy Baja",'Mapa final'!$AA$32="Menor"),CONCATENATE("R4C",'Mapa final'!$O$32),"")</f>
        <v/>
      </c>
      <c r="U49" s="92" t="str">
        <f>IF(AND('Mapa final'!$Y$33="Muy Baja",'Mapa final'!$AA$33="Menor"),CONCATENATE("R4C",'Mapa final'!$O$33),"")</f>
        <v/>
      </c>
      <c r="V49" s="81" t="str">
        <f>IF(AND('Mapa final'!$Y$28="Muy Baja",'Mapa final'!$AA$28="Moderado"),CONCATENATE("R4C",'Mapa final'!$O$28),"")</f>
        <v/>
      </c>
      <c r="W49" s="82" t="str">
        <f>IF(AND('Mapa final'!$Y$29="Muy Baja",'Mapa final'!$AA$29="Moderado"),CONCATENATE("R4C",'Mapa final'!$O$29),"")</f>
        <v/>
      </c>
      <c r="X49" s="82" t="str">
        <f>IF(AND('Mapa final'!$Y$30="Muy Baja",'Mapa final'!$AA$30="Moderado"),CONCATENATE("R4C",'Mapa final'!$O$30),"")</f>
        <v/>
      </c>
      <c r="Y49" s="82" t="str">
        <f>IF(AND('Mapa final'!$Y$31="Muy Baja",'Mapa final'!$AA$31="Moderado"),CONCATENATE("R4C",'Mapa final'!$O$31),"")</f>
        <v/>
      </c>
      <c r="Z49" s="82" t="str">
        <f>IF(AND('Mapa final'!$Y$32="Muy Baja",'Mapa final'!$AA$32="Moderado"),CONCATENATE("R4C",'Mapa final'!$O$32),"")</f>
        <v/>
      </c>
      <c r="AA49" s="83" t="str">
        <f>IF(AND('Mapa final'!$Y$33="Muy Baja",'Mapa final'!$AA$33="Moderado"),CONCATENATE("R4C",'Mapa final'!$O$33),"")</f>
        <v/>
      </c>
      <c r="AB49" s="66" t="str">
        <f>IF(AND('Mapa final'!$Y$28="Muy Baja",'Mapa final'!$AA$28="Mayor"),CONCATENATE("R4C",'Mapa final'!$O$28),"")</f>
        <v/>
      </c>
      <c r="AC49" s="67" t="str">
        <f>IF(AND('Mapa final'!$Y$29="Muy Baja",'Mapa final'!$AA$29="Mayor"),CONCATENATE("R4C",'Mapa final'!$O$29),"")</f>
        <v/>
      </c>
      <c r="AD49" s="67" t="str">
        <f>IF(AND('Mapa final'!$Y$30="Muy Baja",'Mapa final'!$AA$30="Mayor"),CONCATENATE("R4C",'Mapa final'!$O$30),"")</f>
        <v/>
      </c>
      <c r="AE49" s="67" t="str">
        <f>IF(AND('Mapa final'!$Y$31="Muy Baja",'Mapa final'!$AA$31="Mayor"),CONCATENATE("R4C",'Mapa final'!$O$31),"")</f>
        <v/>
      </c>
      <c r="AF49" s="67" t="str">
        <f>IF(AND('Mapa final'!$Y$32="Muy Baja",'Mapa final'!$AA$32="Mayor"),CONCATENATE("R4C",'Mapa final'!$O$32),"")</f>
        <v/>
      </c>
      <c r="AG49" s="68" t="str">
        <f>IF(AND('Mapa final'!$Y$33="Muy Baja",'Mapa final'!$AA$33="Mayor"),CONCATENATE("R4C",'Mapa final'!$O$33),"")</f>
        <v/>
      </c>
      <c r="AH49" s="69" t="str">
        <f>IF(AND('Mapa final'!$Y$28="Muy Baja",'Mapa final'!$AA$28="Catastrófico"),CONCATENATE("R4C",'Mapa final'!$O$28),"")</f>
        <v/>
      </c>
      <c r="AI49" s="70" t="str">
        <f>IF(AND('Mapa final'!$Y$29="Muy Baja",'Mapa final'!$AA$29="Catastrófico"),CONCATENATE("R4C",'Mapa final'!$O$29),"")</f>
        <v/>
      </c>
      <c r="AJ49" s="70" t="str">
        <f>IF(AND('Mapa final'!$Y$30="Muy Baja",'Mapa final'!$AA$30="Catastrófico"),CONCATENATE("R4C",'Mapa final'!$O$30),"")</f>
        <v/>
      </c>
      <c r="AK49" s="70" t="str">
        <f>IF(AND('Mapa final'!$Y$31="Muy Baja",'Mapa final'!$AA$31="Catastrófico"),CONCATENATE("R4C",'Mapa final'!$O$31),"")</f>
        <v/>
      </c>
      <c r="AL49" s="70" t="str">
        <f>IF(AND('Mapa final'!$Y$32="Muy Baja",'Mapa final'!$AA$32="Catastrófico"),CONCATENATE("R4C",'Mapa final'!$O$32),"")</f>
        <v/>
      </c>
      <c r="AM49" s="71" t="str">
        <f>IF(AND('Mapa final'!$Y$33="Muy Baja",'Mapa final'!$AA$33="Catastrófico"),CONCATENATE("R4C",'Mapa final'!$O$33),"")</f>
        <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ht="15" customHeight="1" x14ac:dyDescent="0.25">
      <c r="A50" s="97"/>
      <c r="B50" s="297"/>
      <c r="C50" s="297"/>
      <c r="D50" s="298"/>
      <c r="E50" s="396"/>
      <c r="F50" s="395"/>
      <c r="G50" s="395"/>
      <c r="H50" s="395"/>
      <c r="I50" s="411"/>
      <c r="J50" s="90" t="str">
        <f>IF(AND('Mapa final'!$Y$34="Muy Baja",'Mapa final'!$AA$34="Leve"),CONCATENATE("R5C",'Mapa final'!$O$34),"")</f>
        <v/>
      </c>
      <c r="K50" s="91" t="str">
        <f>IF(AND('Mapa final'!$Y$35="Muy Baja",'Mapa final'!$AA$35="Leve"),CONCATENATE("R5C",'Mapa final'!$O$35),"")</f>
        <v/>
      </c>
      <c r="L50" s="91" t="str">
        <f>IF(AND('Mapa final'!$Y$36="Muy Baja",'Mapa final'!$AA$36="Leve"),CONCATENATE("R5C",'Mapa final'!$O$36),"")</f>
        <v/>
      </c>
      <c r="M50" s="91" t="str">
        <f>IF(AND('Mapa final'!$Y$37="Muy Baja",'Mapa final'!$AA$37="Leve"),CONCATENATE("R5C",'Mapa final'!$O$37),"")</f>
        <v/>
      </c>
      <c r="N50" s="91" t="str">
        <f>IF(AND('Mapa final'!$Y$38="Muy Baja",'Mapa final'!$AA$38="Leve"),CONCATENATE("R5C",'Mapa final'!$O$38),"")</f>
        <v/>
      </c>
      <c r="O50" s="92" t="str">
        <f>IF(AND('Mapa final'!$Y$39="Muy Baja",'Mapa final'!$AA$39="Leve"),CONCATENATE("R5C",'Mapa final'!$O$39),"")</f>
        <v/>
      </c>
      <c r="P50" s="90" t="str">
        <f>IF(AND('Mapa final'!$Y$34="Muy Baja",'Mapa final'!$AA$34="Menor"),CONCATENATE("R5C",'Mapa final'!$O$34),"")</f>
        <v/>
      </c>
      <c r="Q50" s="91" t="str">
        <f>IF(AND('Mapa final'!$Y$35="Muy Baja",'Mapa final'!$AA$35="Menor"),CONCATENATE("R5C",'Mapa final'!$O$35),"")</f>
        <v/>
      </c>
      <c r="R50" s="91" t="str">
        <f>IF(AND('Mapa final'!$Y$36="Muy Baja",'Mapa final'!$AA$36="Menor"),CONCATENATE("R5C",'Mapa final'!$O$36),"")</f>
        <v/>
      </c>
      <c r="S50" s="91" t="str">
        <f>IF(AND('Mapa final'!$Y$37="Muy Baja",'Mapa final'!$AA$37="Menor"),CONCATENATE("R5C",'Mapa final'!$O$37),"")</f>
        <v/>
      </c>
      <c r="T50" s="91" t="str">
        <f>IF(AND('Mapa final'!$Y$38="Muy Baja",'Mapa final'!$AA$38="Menor"),CONCATENATE("R5C",'Mapa final'!$O$38),"")</f>
        <v/>
      </c>
      <c r="U50" s="92" t="str">
        <f>IF(AND('Mapa final'!$Y$39="Muy Baja",'Mapa final'!$AA$39="Menor"),CONCATENATE("R5C",'Mapa final'!$O$39),"")</f>
        <v/>
      </c>
      <c r="V50" s="81" t="str">
        <f>IF(AND('Mapa final'!$Y$34="Muy Baja",'Mapa final'!$AA$34="Moderado"),CONCATENATE("R5C",'Mapa final'!$O$34),"")</f>
        <v/>
      </c>
      <c r="W50" s="82" t="str">
        <f>IF(AND('Mapa final'!$Y$35="Muy Baja",'Mapa final'!$AA$35="Moderado"),CONCATENATE("R5C",'Mapa final'!$O$35),"")</f>
        <v/>
      </c>
      <c r="X50" s="82" t="str">
        <f>IF(AND('Mapa final'!$Y$36="Muy Baja",'Mapa final'!$AA$36="Moderado"),CONCATENATE("R5C",'Mapa final'!$O$36),"")</f>
        <v/>
      </c>
      <c r="Y50" s="82" t="str">
        <f>IF(AND('Mapa final'!$Y$37="Muy Baja",'Mapa final'!$AA$37="Moderado"),CONCATENATE("R5C",'Mapa final'!$O$37),"")</f>
        <v/>
      </c>
      <c r="Z50" s="82" t="str">
        <f>IF(AND('Mapa final'!$Y$38="Muy Baja",'Mapa final'!$AA$38="Moderado"),CONCATENATE("R5C",'Mapa final'!$O$38),"")</f>
        <v/>
      </c>
      <c r="AA50" s="83" t="str">
        <f>IF(AND('Mapa final'!$Y$39="Muy Baja",'Mapa final'!$AA$39="Moderado"),CONCATENATE("R5C",'Mapa final'!$O$39),"")</f>
        <v/>
      </c>
      <c r="AB50" s="66" t="str">
        <f>IF(AND('Mapa final'!$Y$34="Muy Baja",'Mapa final'!$AA$34="Mayor"),CONCATENATE("R5C",'Mapa final'!$O$34),"")</f>
        <v/>
      </c>
      <c r="AC50" s="67" t="str">
        <f>IF(AND('Mapa final'!$Y$35="Muy Baja",'Mapa final'!$AA$35="Mayor"),CONCATENATE("R5C",'Mapa final'!$O$35),"")</f>
        <v/>
      </c>
      <c r="AD50" s="67" t="str">
        <f>IF(AND('Mapa final'!$Y$36="Muy Baja",'Mapa final'!$AA$36="Mayor"),CONCATENATE("R5C",'Mapa final'!$O$36),"")</f>
        <v/>
      </c>
      <c r="AE50" s="67" t="str">
        <f>IF(AND('Mapa final'!$Y$37="Muy Baja",'Mapa final'!$AA$37="Mayor"),CONCATENATE("R5C",'Mapa final'!$O$37),"")</f>
        <v/>
      </c>
      <c r="AF50" s="67" t="str">
        <f>IF(AND('Mapa final'!$Y$38="Muy Baja",'Mapa final'!$AA$38="Mayor"),CONCATENATE("R5C",'Mapa final'!$O$38),"")</f>
        <v/>
      </c>
      <c r="AG50" s="68" t="str">
        <f>IF(AND('Mapa final'!$Y$39="Muy Baja",'Mapa final'!$AA$39="Mayor"),CONCATENATE("R5C",'Mapa final'!$O$39),"")</f>
        <v/>
      </c>
      <c r="AH50" s="69" t="str">
        <f>IF(AND('Mapa final'!$Y$34="Muy Baja",'Mapa final'!$AA$34="Catastrófico"),CONCATENATE("R5C",'Mapa final'!$O$34),"")</f>
        <v/>
      </c>
      <c r="AI50" s="70" t="str">
        <f>IF(AND('Mapa final'!$Y$35="Muy Baja",'Mapa final'!$AA$35="Catastrófico"),CONCATENATE("R5C",'Mapa final'!$O$35),"")</f>
        <v/>
      </c>
      <c r="AJ50" s="70" t="str">
        <f>IF(AND('Mapa final'!$Y$36="Muy Baja",'Mapa final'!$AA$36="Catastrófico"),CONCATENATE("R5C",'Mapa final'!$O$36),"")</f>
        <v/>
      </c>
      <c r="AK50" s="70" t="str">
        <f>IF(AND('Mapa final'!$Y$37="Muy Baja",'Mapa final'!$AA$37="Catastrófico"),CONCATENATE("R5C",'Mapa final'!$O$37),"")</f>
        <v/>
      </c>
      <c r="AL50" s="70" t="str">
        <f>IF(AND('Mapa final'!$Y$38="Muy Baja",'Mapa final'!$AA$38="Catastrófico"),CONCATENATE("R5C",'Mapa final'!$O$38),"")</f>
        <v/>
      </c>
      <c r="AM50" s="71" t="str">
        <f>IF(AND('Mapa final'!$Y$39="Muy Baja",'Mapa final'!$AA$39="Catastrófico"),CONCATENATE("R5C",'Mapa final'!$O$39),"")</f>
        <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 customHeight="1" x14ac:dyDescent="0.25">
      <c r="A51" s="97"/>
      <c r="B51" s="297"/>
      <c r="C51" s="297"/>
      <c r="D51" s="298"/>
      <c r="E51" s="396"/>
      <c r="F51" s="395"/>
      <c r="G51" s="395"/>
      <c r="H51" s="395"/>
      <c r="I51" s="411"/>
      <c r="J51" s="90" t="str">
        <f>IF(AND('Mapa final'!$Y$40="Muy Baja",'Mapa final'!$AA$40="Leve"),CONCATENATE("R6C",'Mapa final'!$O$40),"")</f>
        <v/>
      </c>
      <c r="K51" s="91" t="str">
        <f>IF(AND('Mapa final'!$Y$41="Muy Baja",'Mapa final'!$AA$41="Leve"),CONCATENATE("R6C",'Mapa final'!$O$41),"")</f>
        <v/>
      </c>
      <c r="L51" s="91" t="str">
        <f>IF(AND('Mapa final'!$Y$42="Muy Baja",'Mapa final'!$AA$42="Leve"),CONCATENATE("R6C",'Mapa final'!$O$42),"")</f>
        <v/>
      </c>
      <c r="M51" s="91" t="str">
        <f>IF(AND('Mapa final'!$Y$43="Muy Baja",'Mapa final'!$AA$43="Leve"),CONCATENATE("R6C",'Mapa final'!$O$43),"")</f>
        <v/>
      </c>
      <c r="N51" s="91" t="str">
        <f>IF(AND('Mapa final'!$Y$44="Muy Baja",'Mapa final'!$AA$44="Leve"),CONCATENATE("R6C",'Mapa final'!$O$44),"")</f>
        <v/>
      </c>
      <c r="O51" s="92" t="str">
        <f>IF(AND('Mapa final'!$Y$45="Muy Baja",'Mapa final'!$AA$45="Leve"),CONCATENATE("R6C",'Mapa final'!$O$45),"")</f>
        <v/>
      </c>
      <c r="P51" s="90" t="str">
        <f>IF(AND('Mapa final'!$Y$40="Muy Baja",'Mapa final'!$AA$40="Menor"),CONCATENATE("R6C",'Mapa final'!$O$40),"")</f>
        <v/>
      </c>
      <c r="Q51" s="91" t="str">
        <f>IF(AND('Mapa final'!$Y$41="Muy Baja",'Mapa final'!$AA$41="Menor"),CONCATENATE("R6C",'Mapa final'!$O$41),"")</f>
        <v/>
      </c>
      <c r="R51" s="91" t="str">
        <f>IF(AND('Mapa final'!$Y$42="Muy Baja",'Mapa final'!$AA$42="Menor"),CONCATENATE("R6C",'Mapa final'!$O$42),"")</f>
        <v/>
      </c>
      <c r="S51" s="91" t="str">
        <f>IF(AND('Mapa final'!$Y$43="Muy Baja",'Mapa final'!$AA$43="Menor"),CONCATENATE("R6C",'Mapa final'!$O$43),"")</f>
        <v/>
      </c>
      <c r="T51" s="91" t="str">
        <f>IF(AND('Mapa final'!$Y$44="Muy Baja",'Mapa final'!$AA$44="Menor"),CONCATENATE("R6C",'Mapa final'!$O$44),"")</f>
        <v/>
      </c>
      <c r="U51" s="92" t="str">
        <f>IF(AND('Mapa final'!$Y$45="Muy Baja",'Mapa final'!$AA$45="Menor"),CONCATENATE("R6C",'Mapa final'!$O$45),"")</f>
        <v/>
      </c>
      <c r="V51" s="81" t="str">
        <f>IF(AND('Mapa final'!$Y$40="Muy Baja",'Mapa final'!$AA$40="Moderado"),CONCATENATE("R6C",'Mapa final'!$O$40),"")</f>
        <v/>
      </c>
      <c r="W51" s="82" t="str">
        <f>IF(AND('Mapa final'!$Y$41="Muy Baja",'Mapa final'!$AA$41="Moderado"),CONCATENATE("R6C",'Mapa final'!$O$41),"")</f>
        <v/>
      </c>
      <c r="X51" s="82" t="str">
        <f>IF(AND('Mapa final'!$Y$42="Muy Baja",'Mapa final'!$AA$42="Moderado"),CONCATENATE("R6C",'Mapa final'!$O$42),"")</f>
        <v/>
      </c>
      <c r="Y51" s="82" t="str">
        <f>IF(AND('Mapa final'!$Y$43="Muy Baja",'Mapa final'!$AA$43="Moderado"),CONCATENATE("R6C",'Mapa final'!$O$43),"")</f>
        <v/>
      </c>
      <c r="Z51" s="82" t="str">
        <f>IF(AND('Mapa final'!$Y$44="Muy Baja",'Mapa final'!$AA$44="Moderado"),CONCATENATE("R6C",'Mapa final'!$O$44),"")</f>
        <v/>
      </c>
      <c r="AA51" s="83" t="str">
        <f>IF(AND('Mapa final'!$Y$45="Muy Baja",'Mapa final'!$AA$45="Moderado"),CONCATENATE("R6C",'Mapa final'!$O$45),"")</f>
        <v/>
      </c>
      <c r="AB51" s="66" t="str">
        <f>IF(AND('Mapa final'!$Y$40="Muy Baja",'Mapa final'!$AA$40="Mayor"),CONCATENATE("R6C",'Mapa final'!$O$40),"")</f>
        <v/>
      </c>
      <c r="AC51" s="67" t="str">
        <f>IF(AND('Mapa final'!$Y$41="Muy Baja",'Mapa final'!$AA$41="Mayor"),CONCATENATE("R6C",'Mapa final'!$O$41),"")</f>
        <v/>
      </c>
      <c r="AD51" s="67" t="str">
        <f>IF(AND('Mapa final'!$Y$42="Muy Baja",'Mapa final'!$AA$42="Mayor"),CONCATENATE("R6C",'Mapa final'!$O$42),"")</f>
        <v/>
      </c>
      <c r="AE51" s="67" t="str">
        <f>IF(AND('Mapa final'!$Y$43="Muy Baja",'Mapa final'!$AA$43="Mayor"),CONCATENATE("R6C",'Mapa final'!$O$43),"")</f>
        <v/>
      </c>
      <c r="AF51" s="67" t="str">
        <f>IF(AND('Mapa final'!$Y$44="Muy Baja",'Mapa final'!$AA$44="Mayor"),CONCATENATE("R6C",'Mapa final'!$O$44),"")</f>
        <v/>
      </c>
      <c r="AG51" s="68" t="str">
        <f>IF(AND('Mapa final'!$Y$45="Muy Baja",'Mapa final'!$AA$45="Mayor"),CONCATENATE("R6C",'Mapa final'!$O$45),"")</f>
        <v/>
      </c>
      <c r="AH51" s="69" t="str">
        <f>IF(AND('Mapa final'!$Y$40="Muy Baja",'Mapa final'!$AA$40="Catastrófico"),CONCATENATE("R6C",'Mapa final'!$O$40),"")</f>
        <v/>
      </c>
      <c r="AI51" s="70" t="str">
        <f>IF(AND('Mapa final'!$Y$41="Muy Baja",'Mapa final'!$AA$41="Catastrófico"),CONCATENATE("R6C",'Mapa final'!$O$41),"")</f>
        <v/>
      </c>
      <c r="AJ51" s="70" t="str">
        <f>IF(AND('Mapa final'!$Y$42="Muy Baja",'Mapa final'!$AA$42="Catastrófico"),CONCATENATE("R6C",'Mapa final'!$O$42),"")</f>
        <v/>
      </c>
      <c r="AK51" s="70" t="str">
        <f>IF(AND('Mapa final'!$Y$43="Muy Baja",'Mapa final'!$AA$43="Catastrófico"),CONCATENATE("R6C",'Mapa final'!$O$43),"")</f>
        <v/>
      </c>
      <c r="AL51" s="70" t="str">
        <f>IF(AND('Mapa final'!$Y$44="Muy Baja",'Mapa final'!$AA$44="Catastrófico"),CONCATENATE("R6C",'Mapa final'!$O$44),"")</f>
        <v/>
      </c>
      <c r="AM51" s="71" t="str">
        <f>IF(AND('Mapa final'!$Y$45="Muy Baja",'Mapa final'!$AA$45="Catastrófico"),CONCATENATE("R6C",'Mapa final'!$O$45),"")</f>
        <v/>
      </c>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ht="15" customHeight="1" x14ac:dyDescent="0.25">
      <c r="A52" s="97"/>
      <c r="B52" s="297"/>
      <c r="C52" s="297"/>
      <c r="D52" s="298"/>
      <c r="E52" s="396"/>
      <c r="F52" s="395"/>
      <c r="G52" s="395"/>
      <c r="H52" s="395"/>
      <c r="I52" s="411"/>
      <c r="J52" s="90" t="str">
        <f>IF(AND('Mapa final'!$Y$46="Muy Baja",'Mapa final'!$AA$46="Leve"),CONCATENATE("R7C",'Mapa final'!$O$46),"")</f>
        <v/>
      </c>
      <c r="K52" s="91" t="str">
        <f>IF(AND('Mapa final'!$Y$47="Muy Baja",'Mapa final'!$AA$47="Leve"),CONCATENATE("R7C",'Mapa final'!$O$47),"")</f>
        <v/>
      </c>
      <c r="L52" s="91" t="str">
        <f>IF(AND('Mapa final'!$Y$48="Muy Baja",'Mapa final'!$AA$48="Leve"),CONCATENATE("R7C",'Mapa final'!$O$48),"")</f>
        <v/>
      </c>
      <c r="M52" s="91" t="str">
        <f>IF(AND('Mapa final'!$Y$49="Muy Baja",'Mapa final'!$AA$49="Leve"),CONCATENATE("R7C",'Mapa final'!$O$49),"")</f>
        <v/>
      </c>
      <c r="N52" s="91" t="str">
        <f>IF(AND('Mapa final'!$Y$50="Muy Baja",'Mapa final'!$AA$50="Leve"),CONCATENATE("R7C",'Mapa final'!$O$50),"")</f>
        <v/>
      </c>
      <c r="O52" s="92" t="str">
        <f>IF(AND('Mapa final'!$Y$51="Muy Baja",'Mapa final'!$AA$51="Leve"),CONCATENATE("R7C",'Mapa final'!$O$51),"")</f>
        <v/>
      </c>
      <c r="P52" s="90" t="str">
        <f>IF(AND('Mapa final'!$Y$46="Muy Baja",'Mapa final'!$AA$46="Menor"),CONCATENATE("R7C",'Mapa final'!$O$46),"")</f>
        <v/>
      </c>
      <c r="Q52" s="91" t="str">
        <f>IF(AND('Mapa final'!$Y$47="Muy Baja",'Mapa final'!$AA$47="Menor"),CONCATENATE("R7C",'Mapa final'!$O$47),"")</f>
        <v/>
      </c>
      <c r="R52" s="91" t="str">
        <f>IF(AND('Mapa final'!$Y$48="Muy Baja",'Mapa final'!$AA$48="Menor"),CONCATENATE("R7C",'Mapa final'!$O$48),"")</f>
        <v/>
      </c>
      <c r="S52" s="91" t="str">
        <f>IF(AND('Mapa final'!$Y$49="Muy Baja",'Mapa final'!$AA$49="Menor"),CONCATENATE("R7C",'Mapa final'!$O$49),"")</f>
        <v/>
      </c>
      <c r="T52" s="91" t="str">
        <f>IF(AND('Mapa final'!$Y$50="Muy Baja",'Mapa final'!$AA$50="Menor"),CONCATENATE("R7C",'Mapa final'!$O$50),"")</f>
        <v/>
      </c>
      <c r="U52" s="92" t="str">
        <f>IF(AND('Mapa final'!$Y$51="Muy Baja",'Mapa final'!$AA$51="Menor"),CONCATENATE("R7C",'Mapa final'!$O$51),"")</f>
        <v/>
      </c>
      <c r="V52" s="81" t="str">
        <f>IF(AND('Mapa final'!$Y$46="Muy Baja",'Mapa final'!$AA$46="Moderado"),CONCATENATE("R7C",'Mapa final'!$O$46),"")</f>
        <v/>
      </c>
      <c r="W52" s="82" t="str">
        <f>IF(AND('Mapa final'!$Y$47="Muy Baja",'Mapa final'!$AA$47="Moderado"),CONCATENATE("R7C",'Mapa final'!$O$47),"")</f>
        <v/>
      </c>
      <c r="X52" s="82" t="str">
        <f>IF(AND('Mapa final'!$Y$48="Muy Baja",'Mapa final'!$AA$48="Moderado"),CONCATENATE("R7C",'Mapa final'!$O$48),"")</f>
        <v/>
      </c>
      <c r="Y52" s="82" t="str">
        <f>IF(AND('Mapa final'!$Y$49="Muy Baja",'Mapa final'!$AA$49="Moderado"),CONCATENATE("R7C",'Mapa final'!$O$49),"")</f>
        <v/>
      </c>
      <c r="Z52" s="82" t="str">
        <f>IF(AND('Mapa final'!$Y$50="Muy Baja",'Mapa final'!$AA$50="Moderado"),CONCATENATE("R7C",'Mapa final'!$O$50),"")</f>
        <v/>
      </c>
      <c r="AA52" s="83" t="str">
        <f>IF(AND('Mapa final'!$Y$51="Muy Baja",'Mapa final'!$AA$51="Moderado"),CONCATENATE("R7C",'Mapa final'!$O$51),"")</f>
        <v/>
      </c>
      <c r="AB52" s="66" t="str">
        <f>IF(AND('Mapa final'!$Y$46="Muy Baja",'Mapa final'!$AA$46="Mayor"),CONCATENATE("R7C",'Mapa final'!$O$46),"")</f>
        <v/>
      </c>
      <c r="AC52" s="67" t="str">
        <f>IF(AND('Mapa final'!$Y$47="Muy Baja",'Mapa final'!$AA$47="Mayor"),CONCATENATE("R7C",'Mapa final'!$O$47),"")</f>
        <v/>
      </c>
      <c r="AD52" s="67" t="str">
        <f>IF(AND('Mapa final'!$Y$48="Muy Baja",'Mapa final'!$AA$48="Mayor"),CONCATENATE("R7C",'Mapa final'!$O$48),"")</f>
        <v/>
      </c>
      <c r="AE52" s="67" t="str">
        <f>IF(AND('Mapa final'!$Y$49="Muy Baja",'Mapa final'!$AA$49="Mayor"),CONCATENATE("R7C",'Mapa final'!$O$49),"")</f>
        <v/>
      </c>
      <c r="AF52" s="67" t="str">
        <f>IF(AND('Mapa final'!$Y$50="Muy Baja",'Mapa final'!$AA$50="Mayor"),CONCATENATE("R7C",'Mapa final'!$O$50),"")</f>
        <v/>
      </c>
      <c r="AG52" s="68" t="str">
        <f>IF(AND('Mapa final'!$Y$51="Muy Baja",'Mapa final'!$AA$51="Mayor"),CONCATENATE("R7C",'Mapa final'!$O$51),"")</f>
        <v/>
      </c>
      <c r="AH52" s="69" t="str">
        <f>IF(AND('Mapa final'!$Y$46="Muy Baja",'Mapa final'!$AA$46="Catastrófico"),CONCATENATE("R7C",'Mapa final'!$O$46),"")</f>
        <v/>
      </c>
      <c r="AI52" s="70" t="str">
        <f>IF(AND('Mapa final'!$Y$47="Muy Baja",'Mapa final'!$AA$47="Catastrófico"),CONCATENATE("R7C",'Mapa final'!$O$47),"")</f>
        <v/>
      </c>
      <c r="AJ52" s="70" t="str">
        <f>IF(AND('Mapa final'!$Y$48="Muy Baja",'Mapa final'!$AA$48="Catastrófico"),CONCATENATE("R7C",'Mapa final'!$O$48),"")</f>
        <v/>
      </c>
      <c r="AK52" s="70" t="str">
        <f>IF(AND('Mapa final'!$Y$49="Muy Baja",'Mapa final'!$AA$49="Catastrófico"),CONCATENATE("R7C",'Mapa final'!$O$49),"")</f>
        <v/>
      </c>
      <c r="AL52" s="70" t="str">
        <f>IF(AND('Mapa final'!$Y$50="Muy Baja",'Mapa final'!$AA$50="Catastrófico"),CONCATENATE("R7C",'Mapa final'!$O$50),"")</f>
        <v/>
      </c>
      <c r="AM52" s="71" t="str">
        <f>IF(AND('Mapa final'!$Y$51="Muy Baja",'Mapa final'!$AA$51="Catastrófico"),CONCATENATE("R7C",'Mapa final'!$O$51),"")</f>
        <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297"/>
      <c r="C53" s="297"/>
      <c r="D53" s="298"/>
      <c r="E53" s="396"/>
      <c r="F53" s="395"/>
      <c r="G53" s="395"/>
      <c r="H53" s="395"/>
      <c r="I53" s="411"/>
      <c r="J53" s="90" t="str">
        <f>IF(AND('Mapa final'!$Y$52="Muy Baja",'Mapa final'!$AA$52="Leve"),CONCATENATE("R8C",'Mapa final'!$O$52),"")</f>
        <v/>
      </c>
      <c r="K53" s="91" t="str">
        <f>IF(AND('Mapa final'!$Y$53="Muy Baja",'Mapa final'!$AA$53="Leve"),CONCATENATE("R8C",'Mapa final'!$O$53),"")</f>
        <v/>
      </c>
      <c r="L53" s="91" t="str">
        <f>IF(AND('Mapa final'!$Y$54="Muy Baja",'Mapa final'!$AA$54="Leve"),CONCATENATE("R8C",'Mapa final'!$O$54),"")</f>
        <v/>
      </c>
      <c r="M53" s="91" t="str">
        <f>IF(AND('Mapa final'!$Y$55="Muy Baja",'Mapa final'!$AA$55="Leve"),CONCATENATE("R8C",'Mapa final'!$O$55),"")</f>
        <v/>
      </c>
      <c r="N53" s="91" t="str">
        <f>IF(AND('Mapa final'!$Y$56="Muy Baja",'Mapa final'!$AA$56="Leve"),CONCATENATE("R8C",'Mapa final'!$O$56),"")</f>
        <v/>
      </c>
      <c r="O53" s="92" t="str">
        <f>IF(AND('Mapa final'!$Y$57="Muy Baja",'Mapa final'!$AA$57="Leve"),CONCATENATE("R8C",'Mapa final'!$O$57),"")</f>
        <v/>
      </c>
      <c r="P53" s="90" t="str">
        <f>IF(AND('Mapa final'!$Y$52="Muy Baja",'Mapa final'!$AA$52="Menor"),CONCATENATE("R8C",'Mapa final'!$O$52),"")</f>
        <v/>
      </c>
      <c r="Q53" s="91" t="str">
        <f>IF(AND('Mapa final'!$Y$53="Muy Baja",'Mapa final'!$AA$53="Menor"),CONCATENATE("R8C",'Mapa final'!$O$53),"")</f>
        <v/>
      </c>
      <c r="R53" s="91" t="str">
        <f>IF(AND('Mapa final'!$Y$54="Muy Baja",'Mapa final'!$AA$54="Menor"),CONCATENATE("R8C",'Mapa final'!$O$54),"")</f>
        <v/>
      </c>
      <c r="S53" s="91" t="str">
        <f>IF(AND('Mapa final'!$Y$55="Muy Baja",'Mapa final'!$AA$55="Menor"),CONCATENATE("R8C",'Mapa final'!$O$55),"")</f>
        <v/>
      </c>
      <c r="T53" s="91" t="str">
        <f>IF(AND('Mapa final'!$Y$56="Muy Baja",'Mapa final'!$AA$56="Menor"),CONCATENATE("R8C",'Mapa final'!$O$56),"")</f>
        <v/>
      </c>
      <c r="U53" s="92" t="str">
        <f>IF(AND('Mapa final'!$Y$57="Muy Baja",'Mapa final'!$AA$57="Menor"),CONCATENATE("R8C",'Mapa final'!$O$57),"")</f>
        <v/>
      </c>
      <c r="V53" s="81" t="str">
        <f>IF(AND('Mapa final'!$Y$52="Muy Baja",'Mapa final'!$AA$52="Moderado"),CONCATENATE("R8C",'Mapa final'!$O$52),"")</f>
        <v/>
      </c>
      <c r="W53" s="82" t="str">
        <f>IF(AND('Mapa final'!$Y$53="Muy Baja",'Mapa final'!$AA$53="Moderado"),CONCATENATE("R8C",'Mapa final'!$O$53),"")</f>
        <v/>
      </c>
      <c r="X53" s="82" t="str">
        <f>IF(AND('Mapa final'!$Y$54="Muy Baja",'Mapa final'!$AA$54="Moderado"),CONCATENATE("R8C",'Mapa final'!$O$54),"")</f>
        <v/>
      </c>
      <c r="Y53" s="82" t="str">
        <f>IF(AND('Mapa final'!$Y$55="Muy Baja",'Mapa final'!$AA$55="Moderado"),CONCATENATE("R8C",'Mapa final'!$O$55),"")</f>
        <v/>
      </c>
      <c r="Z53" s="82" t="str">
        <f>IF(AND('Mapa final'!$Y$56="Muy Baja",'Mapa final'!$AA$56="Moderado"),CONCATENATE("R8C",'Mapa final'!$O$56),"")</f>
        <v/>
      </c>
      <c r="AA53" s="83" t="str">
        <f>IF(AND('Mapa final'!$Y$57="Muy Baja",'Mapa final'!$AA$57="Moderado"),CONCATENATE("R8C",'Mapa final'!$O$57),"")</f>
        <v/>
      </c>
      <c r="AB53" s="66" t="str">
        <f>IF(AND('Mapa final'!$Y$52="Muy Baja",'Mapa final'!$AA$52="Mayor"),CONCATENATE("R8C",'Mapa final'!$O$52),"")</f>
        <v/>
      </c>
      <c r="AC53" s="67" t="str">
        <f>IF(AND('Mapa final'!$Y$53="Muy Baja",'Mapa final'!$AA$53="Mayor"),CONCATENATE("R8C",'Mapa final'!$O$53),"")</f>
        <v/>
      </c>
      <c r="AD53" s="67" t="str">
        <f>IF(AND('Mapa final'!$Y$54="Muy Baja",'Mapa final'!$AA$54="Mayor"),CONCATENATE("R8C",'Mapa final'!$O$54),"")</f>
        <v/>
      </c>
      <c r="AE53" s="67" t="str">
        <f>IF(AND('Mapa final'!$Y$55="Muy Baja",'Mapa final'!$AA$55="Mayor"),CONCATENATE("R8C",'Mapa final'!$O$55),"")</f>
        <v/>
      </c>
      <c r="AF53" s="67" t="str">
        <f>IF(AND('Mapa final'!$Y$56="Muy Baja",'Mapa final'!$AA$56="Mayor"),CONCATENATE("R8C",'Mapa final'!$O$56),"")</f>
        <v/>
      </c>
      <c r="AG53" s="68" t="str">
        <f>IF(AND('Mapa final'!$Y$57="Muy Baja",'Mapa final'!$AA$57="Mayor"),CONCATENATE("R8C",'Mapa final'!$O$57),"")</f>
        <v/>
      </c>
      <c r="AH53" s="69" t="str">
        <f>IF(AND('Mapa final'!$Y$52="Muy Baja",'Mapa final'!$AA$52="Catastrófico"),CONCATENATE("R8C",'Mapa final'!$O$52),"")</f>
        <v/>
      </c>
      <c r="AI53" s="70" t="str">
        <f>IF(AND('Mapa final'!$Y$53="Muy Baja",'Mapa final'!$AA$53="Catastrófico"),CONCATENATE("R8C",'Mapa final'!$O$53),"")</f>
        <v/>
      </c>
      <c r="AJ53" s="70" t="str">
        <f>IF(AND('Mapa final'!$Y$54="Muy Baja",'Mapa final'!$AA$54="Catastrófico"),CONCATENATE("R8C",'Mapa final'!$O$54),"")</f>
        <v/>
      </c>
      <c r="AK53" s="70" t="str">
        <f>IF(AND('Mapa final'!$Y$55="Muy Baja",'Mapa final'!$AA$55="Catastrófico"),CONCATENATE("R8C",'Mapa final'!$O$55),"")</f>
        <v/>
      </c>
      <c r="AL53" s="70" t="str">
        <f>IF(AND('Mapa final'!$Y$56="Muy Baja",'Mapa final'!$AA$56="Catastrófico"),CONCATENATE("R8C",'Mapa final'!$O$56),"")</f>
        <v/>
      </c>
      <c r="AM53" s="71" t="str">
        <f>IF(AND('Mapa final'!$Y$57="Muy Baja",'Mapa final'!$AA$57="Catastrófico"),CONCATENATE("R8C",'Mapa final'!$O$57),"")</f>
        <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297"/>
      <c r="C54" s="297"/>
      <c r="D54" s="298"/>
      <c r="E54" s="396"/>
      <c r="F54" s="395"/>
      <c r="G54" s="395"/>
      <c r="H54" s="395"/>
      <c r="I54" s="411"/>
      <c r="J54" s="90" t="str">
        <f>IF(AND('Mapa final'!$Y$58="Muy Baja",'Mapa final'!$AA$58="Leve"),CONCATENATE("R9C",'Mapa final'!$O$58),"")</f>
        <v/>
      </c>
      <c r="K54" s="91" t="str">
        <f>IF(AND('Mapa final'!$Y$59="Muy Baja",'Mapa final'!$AA$59="Leve"),CONCATENATE("R9C",'Mapa final'!$O$59),"")</f>
        <v/>
      </c>
      <c r="L54" s="91" t="str">
        <f>IF(AND('Mapa final'!$Y$60="Muy Baja",'Mapa final'!$AA$60="Leve"),CONCATENATE("R9C",'Mapa final'!$O$60),"")</f>
        <v/>
      </c>
      <c r="M54" s="91" t="str">
        <f>IF(AND('Mapa final'!$Y$61="Muy Baja",'Mapa final'!$AA$61="Leve"),CONCATENATE("R9C",'Mapa final'!$O$61),"")</f>
        <v/>
      </c>
      <c r="N54" s="91" t="str">
        <f>IF(AND('Mapa final'!$Y$62="Muy Baja",'Mapa final'!$AA$62="Leve"),CONCATENATE("R9C",'Mapa final'!$O$62),"")</f>
        <v/>
      </c>
      <c r="O54" s="92" t="str">
        <f>IF(AND('Mapa final'!$Y$63="Muy Baja",'Mapa final'!$AA$63="Leve"),CONCATENATE("R9C",'Mapa final'!$O$63),"")</f>
        <v/>
      </c>
      <c r="P54" s="90" t="str">
        <f>IF(AND('Mapa final'!$Y$58="Muy Baja",'Mapa final'!$AA$58="Menor"),CONCATENATE("R9C",'Mapa final'!$O$58),"")</f>
        <v/>
      </c>
      <c r="Q54" s="91" t="str">
        <f>IF(AND('Mapa final'!$Y$59="Muy Baja",'Mapa final'!$AA$59="Menor"),CONCATENATE("R9C",'Mapa final'!$O$59),"")</f>
        <v/>
      </c>
      <c r="R54" s="91" t="str">
        <f>IF(AND('Mapa final'!$Y$60="Muy Baja",'Mapa final'!$AA$60="Menor"),CONCATENATE("R9C",'Mapa final'!$O$60),"")</f>
        <v/>
      </c>
      <c r="S54" s="91" t="str">
        <f>IF(AND('Mapa final'!$Y$61="Muy Baja",'Mapa final'!$AA$61="Menor"),CONCATENATE("R9C",'Mapa final'!$O$61),"")</f>
        <v/>
      </c>
      <c r="T54" s="91" t="str">
        <f>IF(AND('Mapa final'!$Y$62="Muy Baja",'Mapa final'!$AA$62="Menor"),CONCATENATE("R9C",'Mapa final'!$O$62),"")</f>
        <v/>
      </c>
      <c r="U54" s="92" t="str">
        <f>IF(AND('Mapa final'!$Y$63="Muy Baja",'Mapa final'!$AA$63="Menor"),CONCATENATE("R9C",'Mapa final'!$O$63),"")</f>
        <v/>
      </c>
      <c r="V54" s="81" t="str">
        <f>IF(AND('Mapa final'!$Y$58="Muy Baja",'Mapa final'!$AA$58="Moderado"),CONCATENATE("R9C",'Mapa final'!$O$58),"")</f>
        <v/>
      </c>
      <c r="W54" s="82" t="str">
        <f>IF(AND('Mapa final'!$Y$59="Muy Baja",'Mapa final'!$AA$59="Moderado"),CONCATENATE("R9C",'Mapa final'!$O$59),"")</f>
        <v/>
      </c>
      <c r="X54" s="82" t="str">
        <f>IF(AND('Mapa final'!$Y$60="Muy Baja",'Mapa final'!$AA$60="Moderado"),CONCATENATE("R9C",'Mapa final'!$O$60),"")</f>
        <v/>
      </c>
      <c r="Y54" s="82" t="str">
        <f>IF(AND('Mapa final'!$Y$61="Muy Baja",'Mapa final'!$AA$61="Moderado"),CONCATENATE("R9C",'Mapa final'!$O$61),"")</f>
        <v/>
      </c>
      <c r="Z54" s="82" t="str">
        <f>IF(AND('Mapa final'!$Y$62="Muy Baja",'Mapa final'!$AA$62="Moderado"),CONCATENATE("R9C",'Mapa final'!$O$62),"")</f>
        <v/>
      </c>
      <c r="AA54" s="83" t="str">
        <f>IF(AND('Mapa final'!$Y$63="Muy Baja",'Mapa final'!$AA$63="Moderado"),CONCATENATE("R9C",'Mapa final'!$O$63),"")</f>
        <v/>
      </c>
      <c r="AB54" s="66" t="str">
        <f>IF(AND('Mapa final'!$Y$58="Muy Baja",'Mapa final'!$AA$58="Mayor"),CONCATENATE("R9C",'Mapa final'!$O$58),"")</f>
        <v/>
      </c>
      <c r="AC54" s="67" t="str">
        <f>IF(AND('Mapa final'!$Y$59="Muy Baja",'Mapa final'!$AA$59="Mayor"),CONCATENATE("R9C",'Mapa final'!$O$59),"")</f>
        <v/>
      </c>
      <c r="AD54" s="67" t="str">
        <f>IF(AND('Mapa final'!$Y$60="Muy Baja",'Mapa final'!$AA$60="Mayor"),CONCATENATE("R9C",'Mapa final'!$O$60),"")</f>
        <v/>
      </c>
      <c r="AE54" s="67" t="str">
        <f>IF(AND('Mapa final'!$Y$61="Muy Baja",'Mapa final'!$AA$61="Mayor"),CONCATENATE("R9C",'Mapa final'!$O$61),"")</f>
        <v/>
      </c>
      <c r="AF54" s="67" t="str">
        <f>IF(AND('Mapa final'!$Y$62="Muy Baja",'Mapa final'!$AA$62="Mayor"),CONCATENATE("R9C",'Mapa final'!$O$62),"")</f>
        <v/>
      </c>
      <c r="AG54" s="68" t="str">
        <f>IF(AND('Mapa final'!$Y$63="Muy Baja",'Mapa final'!$AA$63="Mayor"),CONCATENATE("R9C",'Mapa final'!$O$63),"")</f>
        <v/>
      </c>
      <c r="AH54" s="69" t="str">
        <f>IF(AND('Mapa final'!$Y$58="Muy Baja",'Mapa final'!$AA$58="Catastrófico"),CONCATENATE("R9C",'Mapa final'!$O$58),"")</f>
        <v/>
      </c>
      <c r="AI54" s="70" t="str">
        <f>IF(AND('Mapa final'!$Y$59="Muy Baja",'Mapa final'!$AA$59="Catastrófico"),CONCATENATE("R9C",'Mapa final'!$O$59),"")</f>
        <v/>
      </c>
      <c r="AJ54" s="70" t="str">
        <f>IF(AND('Mapa final'!$Y$60="Muy Baja",'Mapa final'!$AA$60="Catastrófico"),CONCATENATE("R9C",'Mapa final'!$O$60),"")</f>
        <v/>
      </c>
      <c r="AK54" s="70" t="str">
        <f>IF(AND('Mapa final'!$Y$61="Muy Baja",'Mapa final'!$AA$61="Catastrófico"),CONCATENATE("R9C",'Mapa final'!$O$61),"")</f>
        <v/>
      </c>
      <c r="AL54" s="70" t="str">
        <f>IF(AND('Mapa final'!$Y$62="Muy Baja",'Mapa final'!$AA$62="Catastrófico"),CONCATENATE("R9C",'Mapa final'!$O$62),"")</f>
        <v/>
      </c>
      <c r="AM54" s="71" t="str">
        <f>IF(AND('Mapa final'!$Y$63="Muy Baja",'Mapa final'!$AA$63="Catastrófico"),CONCATENATE("R9C",'Mapa final'!$O$63),"")</f>
        <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ht="15.75" customHeight="1" thickBot="1" x14ac:dyDescent="0.3">
      <c r="A55" s="97"/>
      <c r="B55" s="297"/>
      <c r="C55" s="297"/>
      <c r="D55" s="298"/>
      <c r="E55" s="397"/>
      <c r="F55" s="398"/>
      <c r="G55" s="398"/>
      <c r="H55" s="398"/>
      <c r="I55" s="412"/>
      <c r="J55" s="93" t="str">
        <f>IF(AND('Mapa final'!$Y$64="Muy Baja",'Mapa final'!$AA$64="Leve"),CONCATENATE("R10C",'Mapa final'!$O$64),"")</f>
        <v/>
      </c>
      <c r="K55" s="94" t="str">
        <f>IF(AND('Mapa final'!$Y$65="Muy Baja",'Mapa final'!$AA$65="Leve"),CONCATENATE("R10C",'Mapa final'!$O$65),"")</f>
        <v/>
      </c>
      <c r="L55" s="94" t="str">
        <f>IF(AND('Mapa final'!$Y$66="Muy Baja",'Mapa final'!$AA$66="Leve"),CONCATENATE("R10C",'Mapa final'!$O$66),"")</f>
        <v/>
      </c>
      <c r="M55" s="94" t="str">
        <f>IF(AND('Mapa final'!$Y$67="Muy Baja",'Mapa final'!$AA$67="Leve"),CONCATENATE("R10C",'Mapa final'!$O$67),"")</f>
        <v/>
      </c>
      <c r="N55" s="94" t="str">
        <f>IF(AND('Mapa final'!$Y$68="Muy Baja",'Mapa final'!$AA$68="Leve"),CONCATENATE("R10C",'Mapa final'!$O$68),"")</f>
        <v/>
      </c>
      <c r="O55" s="95" t="str">
        <f>IF(AND('Mapa final'!$Y$69="Muy Baja",'Mapa final'!$AA$69="Leve"),CONCATENATE("R10C",'Mapa final'!$O$69),"")</f>
        <v/>
      </c>
      <c r="P55" s="93" t="str">
        <f>IF(AND('Mapa final'!$Y$64="Muy Baja",'Mapa final'!$AA$64="Menor"),CONCATENATE("R10C",'Mapa final'!$O$64),"")</f>
        <v/>
      </c>
      <c r="Q55" s="94" t="str">
        <f>IF(AND('Mapa final'!$Y$65="Muy Baja",'Mapa final'!$AA$65="Menor"),CONCATENATE("R10C",'Mapa final'!$O$65),"")</f>
        <v/>
      </c>
      <c r="R55" s="94" t="str">
        <f>IF(AND('Mapa final'!$Y$66="Muy Baja",'Mapa final'!$AA$66="Menor"),CONCATENATE("R10C",'Mapa final'!$O$66),"")</f>
        <v/>
      </c>
      <c r="S55" s="94" t="str">
        <f>IF(AND('Mapa final'!$Y$67="Muy Baja",'Mapa final'!$AA$67="Menor"),CONCATENATE("R10C",'Mapa final'!$O$67),"")</f>
        <v/>
      </c>
      <c r="T55" s="94" t="str">
        <f>IF(AND('Mapa final'!$Y$68="Muy Baja",'Mapa final'!$AA$68="Menor"),CONCATENATE("R10C",'Mapa final'!$O$68),"")</f>
        <v/>
      </c>
      <c r="U55" s="95" t="str">
        <f>IF(AND('Mapa final'!$Y$69="Muy Baja",'Mapa final'!$AA$69="Menor"),CONCATENATE("R10C",'Mapa final'!$O$69),"")</f>
        <v/>
      </c>
      <c r="V55" s="84" t="str">
        <f>IF(AND('Mapa final'!$Y$64="Muy Baja",'Mapa final'!$AA$64="Moderado"),CONCATENATE("R10C",'Mapa final'!$O$64),"")</f>
        <v/>
      </c>
      <c r="W55" s="85" t="str">
        <f>IF(AND('Mapa final'!$Y$65="Muy Baja",'Mapa final'!$AA$65="Moderado"),CONCATENATE("R10C",'Mapa final'!$O$65),"")</f>
        <v/>
      </c>
      <c r="X55" s="85" t="str">
        <f>IF(AND('Mapa final'!$Y$66="Muy Baja",'Mapa final'!$AA$66="Moderado"),CONCATENATE("R10C",'Mapa final'!$O$66),"")</f>
        <v/>
      </c>
      <c r="Y55" s="85" t="str">
        <f>IF(AND('Mapa final'!$Y$67="Muy Baja",'Mapa final'!$AA$67="Moderado"),CONCATENATE("R10C",'Mapa final'!$O$67),"")</f>
        <v/>
      </c>
      <c r="Z55" s="85" t="str">
        <f>IF(AND('Mapa final'!$Y$68="Muy Baja",'Mapa final'!$AA$68="Moderado"),CONCATENATE("R10C",'Mapa final'!$O$68),"")</f>
        <v/>
      </c>
      <c r="AA55" s="86" t="str">
        <f>IF(AND('Mapa final'!$Y$69="Muy Baja",'Mapa final'!$AA$69="Moderado"),CONCATENATE("R10C",'Mapa final'!$O$69),"")</f>
        <v/>
      </c>
      <c r="AB55" s="72" t="str">
        <f>IF(AND('Mapa final'!$Y$64="Muy Baja",'Mapa final'!$AA$64="Mayor"),CONCATENATE("R10C",'Mapa final'!$O$64),"")</f>
        <v/>
      </c>
      <c r="AC55" s="73" t="str">
        <f>IF(AND('Mapa final'!$Y$65="Muy Baja",'Mapa final'!$AA$65="Mayor"),CONCATENATE("R10C",'Mapa final'!$O$65),"")</f>
        <v/>
      </c>
      <c r="AD55" s="73" t="str">
        <f>IF(AND('Mapa final'!$Y$66="Muy Baja",'Mapa final'!$AA$66="Mayor"),CONCATENATE("R10C",'Mapa final'!$O$66),"")</f>
        <v/>
      </c>
      <c r="AE55" s="73" t="str">
        <f>IF(AND('Mapa final'!$Y$67="Muy Baja",'Mapa final'!$AA$67="Mayor"),CONCATENATE("R10C",'Mapa final'!$O$67),"")</f>
        <v/>
      </c>
      <c r="AF55" s="73" t="str">
        <f>IF(AND('Mapa final'!$Y$68="Muy Baja",'Mapa final'!$AA$68="Mayor"),CONCATENATE("R10C",'Mapa final'!$O$68),"")</f>
        <v/>
      </c>
      <c r="AG55" s="74" t="str">
        <f>IF(AND('Mapa final'!$Y$69="Muy Baja",'Mapa final'!$AA$69="Mayor"),CONCATENATE("R10C",'Mapa final'!$O$69),"")</f>
        <v/>
      </c>
      <c r="AH55" s="75" t="str">
        <f>IF(AND('Mapa final'!$Y$64="Muy Baja",'Mapa final'!$AA$64="Catastrófico"),CONCATENATE("R10C",'Mapa final'!$O$64),"")</f>
        <v/>
      </c>
      <c r="AI55" s="76" t="str">
        <f>IF(AND('Mapa final'!$Y$65="Muy Baja",'Mapa final'!$AA$65="Catastrófico"),CONCATENATE("R10C",'Mapa final'!$O$65),"")</f>
        <v/>
      </c>
      <c r="AJ55" s="76" t="str">
        <f>IF(AND('Mapa final'!$Y$66="Muy Baja",'Mapa final'!$AA$66="Catastrófico"),CONCATENATE("R10C",'Mapa final'!$O$66),"")</f>
        <v/>
      </c>
      <c r="AK55" s="76" t="str">
        <f>IF(AND('Mapa final'!$Y$67="Muy Baja",'Mapa final'!$AA$67="Catastrófico"),CONCATENATE("R10C",'Mapa final'!$O$67),"")</f>
        <v/>
      </c>
      <c r="AL55" s="76" t="str">
        <f>IF(AND('Mapa final'!$Y$68="Muy Baja",'Mapa final'!$AA$68="Catastrófico"),CONCATENATE("R10C",'Mapa final'!$O$68),"")</f>
        <v/>
      </c>
      <c r="AM55" s="77" t="str">
        <f>IF(AND('Mapa final'!$Y$69="Muy Baja",'Mapa final'!$AA$69="Catastrófico"),CONCATENATE("R10C",'Mapa final'!$O$69),"")</f>
        <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392" t="s">
        <v>112</v>
      </c>
      <c r="K56" s="393"/>
      <c r="L56" s="393"/>
      <c r="M56" s="393"/>
      <c r="N56" s="393"/>
      <c r="O56" s="410"/>
      <c r="P56" s="392" t="s">
        <v>111</v>
      </c>
      <c r="Q56" s="393"/>
      <c r="R56" s="393"/>
      <c r="S56" s="393"/>
      <c r="T56" s="393"/>
      <c r="U56" s="410"/>
      <c r="V56" s="392" t="s">
        <v>110</v>
      </c>
      <c r="W56" s="393"/>
      <c r="X56" s="393"/>
      <c r="Y56" s="393"/>
      <c r="Z56" s="393"/>
      <c r="AA56" s="410"/>
      <c r="AB56" s="392" t="s">
        <v>109</v>
      </c>
      <c r="AC56" s="431"/>
      <c r="AD56" s="393"/>
      <c r="AE56" s="393"/>
      <c r="AF56" s="393"/>
      <c r="AG56" s="410"/>
      <c r="AH56" s="392" t="s">
        <v>108</v>
      </c>
      <c r="AI56" s="393"/>
      <c r="AJ56" s="393"/>
      <c r="AK56" s="393"/>
      <c r="AL56" s="393"/>
      <c r="AM56" s="410"/>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396"/>
      <c r="K57" s="395"/>
      <c r="L57" s="395"/>
      <c r="M57" s="395"/>
      <c r="N57" s="395"/>
      <c r="O57" s="411"/>
      <c r="P57" s="396"/>
      <c r="Q57" s="395"/>
      <c r="R57" s="395"/>
      <c r="S57" s="395"/>
      <c r="T57" s="395"/>
      <c r="U57" s="411"/>
      <c r="V57" s="396"/>
      <c r="W57" s="395"/>
      <c r="X57" s="395"/>
      <c r="Y57" s="395"/>
      <c r="Z57" s="395"/>
      <c r="AA57" s="411"/>
      <c r="AB57" s="396"/>
      <c r="AC57" s="395"/>
      <c r="AD57" s="395"/>
      <c r="AE57" s="395"/>
      <c r="AF57" s="395"/>
      <c r="AG57" s="411"/>
      <c r="AH57" s="396"/>
      <c r="AI57" s="395"/>
      <c r="AJ57" s="395"/>
      <c r="AK57" s="395"/>
      <c r="AL57" s="395"/>
      <c r="AM57" s="411"/>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396"/>
      <c r="K58" s="395"/>
      <c r="L58" s="395"/>
      <c r="M58" s="395"/>
      <c r="N58" s="395"/>
      <c r="O58" s="411"/>
      <c r="P58" s="396"/>
      <c r="Q58" s="395"/>
      <c r="R58" s="395"/>
      <c r="S58" s="395"/>
      <c r="T58" s="395"/>
      <c r="U58" s="411"/>
      <c r="V58" s="396"/>
      <c r="W58" s="395"/>
      <c r="X58" s="395"/>
      <c r="Y58" s="395"/>
      <c r="Z58" s="395"/>
      <c r="AA58" s="411"/>
      <c r="AB58" s="396"/>
      <c r="AC58" s="395"/>
      <c r="AD58" s="395"/>
      <c r="AE58" s="395"/>
      <c r="AF58" s="395"/>
      <c r="AG58" s="411"/>
      <c r="AH58" s="396"/>
      <c r="AI58" s="395"/>
      <c r="AJ58" s="395"/>
      <c r="AK58" s="395"/>
      <c r="AL58" s="395"/>
      <c r="AM58" s="411"/>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396"/>
      <c r="K59" s="395"/>
      <c r="L59" s="395"/>
      <c r="M59" s="395"/>
      <c r="N59" s="395"/>
      <c r="O59" s="411"/>
      <c r="P59" s="396"/>
      <c r="Q59" s="395"/>
      <c r="R59" s="395"/>
      <c r="S59" s="395"/>
      <c r="T59" s="395"/>
      <c r="U59" s="411"/>
      <c r="V59" s="396"/>
      <c r="W59" s="395"/>
      <c r="X59" s="395"/>
      <c r="Y59" s="395"/>
      <c r="Z59" s="395"/>
      <c r="AA59" s="411"/>
      <c r="AB59" s="396"/>
      <c r="AC59" s="395"/>
      <c r="AD59" s="395"/>
      <c r="AE59" s="395"/>
      <c r="AF59" s="395"/>
      <c r="AG59" s="411"/>
      <c r="AH59" s="396"/>
      <c r="AI59" s="395"/>
      <c r="AJ59" s="395"/>
      <c r="AK59" s="395"/>
      <c r="AL59" s="395"/>
      <c r="AM59" s="411"/>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396"/>
      <c r="K60" s="395"/>
      <c r="L60" s="395"/>
      <c r="M60" s="395"/>
      <c r="N60" s="395"/>
      <c r="O60" s="411"/>
      <c r="P60" s="396"/>
      <c r="Q60" s="395"/>
      <c r="R60" s="395"/>
      <c r="S60" s="395"/>
      <c r="T60" s="395"/>
      <c r="U60" s="411"/>
      <c r="V60" s="396"/>
      <c r="W60" s="395"/>
      <c r="X60" s="395"/>
      <c r="Y60" s="395"/>
      <c r="Z60" s="395"/>
      <c r="AA60" s="411"/>
      <c r="AB60" s="396"/>
      <c r="AC60" s="395"/>
      <c r="AD60" s="395"/>
      <c r="AE60" s="395"/>
      <c r="AF60" s="395"/>
      <c r="AG60" s="411"/>
      <c r="AH60" s="396"/>
      <c r="AI60" s="395"/>
      <c r="AJ60" s="395"/>
      <c r="AK60" s="395"/>
      <c r="AL60" s="395"/>
      <c r="AM60" s="411"/>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ht="15.75" thickBot="1" x14ac:dyDescent="0.3">
      <c r="A61" s="97"/>
      <c r="B61" s="97"/>
      <c r="C61" s="97"/>
      <c r="D61" s="97"/>
      <c r="E61" s="97"/>
      <c r="F61" s="97"/>
      <c r="G61" s="97"/>
      <c r="H61" s="97"/>
      <c r="I61" s="97"/>
      <c r="J61" s="397"/>
      <c r="K61" s="398"/>
      <c r="L61" s="398"/>
      <c r="M61" s="398"/>
      <c r="N61" s="398"/>
      <c r="O61" s="412"/>
      <c r="P61" s="397"/>
      <c r="Q61" s="398"/>
      <c r="R61" s="398"/>
      <c r="S61" s="398"/>
      <c r="T61" s="398"/>
      <c r="U61" s="412"/>
      <c r="V61" s="397"/>
      <c r="W61" s="398"/>
      <c r="X61" s="398"/>
      <c r="Y61" s="398"/>
      <c r="Z61" s="398"/>
      <c r="AA61" s="412"/>
      <c r="AB61" s="397"/>
      <c r="AC61" s="398"/>
      <c r="AD61" s="398"/>
      <c r="AE61" s="398"/>
      <c r="AF61" s="398"/>
      <c r="AG61" s="412"/>
      <c r="AH61" s="397"/>
      <c r="AI61" s="398"/>
      <c r="AJ61" s="398"/>
      <c r="AK61" s="398"/>
      <c r="AL61" s="398"/>
      <c r="AM61" s="412"/>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row>
    <row r="63" spans="1:80" ht="15" customHeight="1" x14ac:dyDescent="0.25">
      <c r="A63" s="9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7"/>
      <c r="AV63" s="97"/>
      <c r="AW63" s="97"/>
      <c r="AX63" s="97"/>
      <c r="AY63" s="97"/>
      <c r="AZ63" s="97"/>
      <c r="BA63" s="97"/>
      <c r="BB63" s="97"/>
      <c r="BC63" s="97"/>
      <c r="BD63" s="97"/>
      <c r="BE63" s="97"/>
      <c r="BF63" s="97"/>
      <c r="BG63" s="97"/>
      <c r="BH63" s="97"/>
    </row>
    <row r="64" spans="1:80" ht="15" customHeight="1" x14ac:dyDescent="0.25">
      <c r="A64" s="9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7"/>
      <c r="AV64" s="97"/>
      <c r="AW64" s="97"/>
      <c r="AX64" s="97"/>
      <c r="AY64" s="97"/>
      <c r="AZ64" s="97"/>
      <c r="BA64" s="97"/>
      <c r="BB64" s="97"/>
      <c r="BC64" s="97"/>
      <c r="BD64" s="97"/>
      <c r="BE64" s="97"/>
      <c r="BF64" s="97"/>
      <c r="BG64" s="97"/>
      <c r="BH64" s="97"/>
    </row>
    <row r="65" spans="1:6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row>
    <row r="66" spans="1:6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row>
    <row r="67" spans="1:6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row>
    <row r="68" spans="1:6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row>
    <row r="69" spans="1:6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row>
    <row r="70" spans="1:6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row>
    <row r="71" spans="1:6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row>
    <row r="72" spans="1:6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row>
    <row r="73" spans="1:6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row>
    <row r="74" spans="1:6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row>
    <row r="75" spans="1:6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row>
    <row r="79" spans="1:6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row>
    <row r="80" spans="1:6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row>
    <row r="81" spans="1:60"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row>
    <row r="82" spans="1:60"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row>
    <row r="83" spans="1:60"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row>
    <row r="84" spans="1:60"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row>
    <row r="85" spans="1:60"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row>
    <row r="86" spans="1:60"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row>
    <row r="87" spans="1:60"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row>
    <row r="88" spans="1:60"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row>
    <row r="89" spans="1:60"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row>
    <row r="90" spans="1:60"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row>
    <row r="91" spans="1:60"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row>
    <row r="92" spans="1:60"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row>
    <row r="93" spans="1:60"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row>
    <row r="94" spans="1:60"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row>
    <row r="95" spans="1:60"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row>
    <row r="96" spans="1:60"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60"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row>
    <row r="98" spans="1:60"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row>
    <row r="99" spans="1:60"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row>
    <row r="100" spans="1:60"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row>
    <row r="101" spans="1:60"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row>
    <row r="102" spans="1:60"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row>
    <row r="103" spans="1:60"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row>
    <row r="104" spans="1:60"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row>
    <row r="105" spans="1:60"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row>
    <row r="106" spans="1:60"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row>
    <row r="107" spans="1:60"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row>
    <row r="108" spans="1:60"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row>
    <row r="109" spans="1:60"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row>
    <row r="110" spans="1:60"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row>
    <row r="111" spans="1:60"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row>
    <row r="112" spans="1:60"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row>
    <row r="113" spans="1:60"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row>
    <row r="114" spans="1:60"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row>
    <row r="115" spans="1:60"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row>
    <row r="116" spans="1:60"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row>
    <row r="117" spans="1:60"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row>
    <row r="118" spans="1:60"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row>
    <row r="119" spans="1:60"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row>
    <row r="120" spans="1:60"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row>
    <row r="121" spans="1:60"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row>
    <row r="122" spans="1:60" x14ac:dyDescent="0.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row>
    <row r="123" spans="1:60" x14ac:dyDescent="0.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row>
    <row r="124" spans="1:60" x14ac:dyDescent="0.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row>
    <row r="125" spans="1:60" x14ac:dyDescent="0.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row>
    <row r="126" spans="1:60" x14ac:dyDescent="0.2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row>
    <row r="127" spans="1:60" x14ac:dyDescent="0.2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row>
    <row r="128" spans="1:60" x14ac:dyDescent="0.2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row>
    <row r="129" spans="1:60" x14ac:dyDescent="0.2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row>
    <row r="130" spans="1:60" x14ac:dyDescent="0.2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row>
    <row r="131" spans="1:60" x14ac:dyDescent="0.2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row>
    <row r="132" spans="1:60"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row>
    <row r="133" spans="1:60"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row>
    <row r="134" spans="1:60" x14ac:dyDescent="0.2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row>
    <row r="135" spans="1:60" x14ac:dyDescent="0.2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row>
    <row r="136" spans="1:60" x14ac:dyDescent="0.2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row>
    <row r="137" spans="1:60" x14ac:dyDescent="0.2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row>
    <row r="138" spans="1:60"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row>
    <row r="139" spans="1:60" x14ac:dyDescent="0.2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row>
    <row r="140" spans="1:60" x14ac:dyDescent="0.2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row>
    <row r="141" spans="1:60" x14ac:dyDescent="0.2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row>
    <row r="142" spans="1:60" x14ac:dyDescent="0.2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row>
    <row r="143" spans="1:60" x14ac:dyDescent="0.2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row>
    <row r="144" spans="1:60" x14ac:dyDescent="0.2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row>
    <row r="145" spans="1:60" x14ac:dyDescent="0.2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row>
    <row r="146" spans="1:60" x14ac:dyDescent="0.2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row>
    <row r="147" spans="1:60" x14ac:dyDescent="0.2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row>
    <row r="148" spans="1:60" x14ac:dyDescent="0.2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row>
    <row r="149" spans="1:60" x14ac:dyDescent="0.2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row>
    <row r="150" spans="1:60" x14ac:dyDescent="0.2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row>
    <row r="151" spans="1:60" x14ac:dyDescent="0.2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row>
    <row r="152" spans="1:60" x14ac:dyDescent="0.2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row>
    <row r="153" spans="1:60" x14ac:dyDescent="0.2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row>
    <row r="154" spans="1:60" x14ac:dyDescent="0.2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row>
    <row r="155" spans="1:60" x14ac:dyDescent="0.2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row>
    <row r="156" spans="1:60" x14ac:dyDescent="0.2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row>
    <row r="157" spans="1:60" x14ac:dyDescent="0.2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row>
    <row r="158" spans="1:60" x14ac:dyDescent="0.2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row>
    <row r="159" spans="1:60" x14ac:dyDescent="0.2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row>
    <row r="160" spans="1:60" x14ac:dyDescent="0.2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row>
    <row r="161" spans="1:60" x14ac:dyDescent="0.2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row>
    <row r="162" spans="1:60" x14ac:dyDescent="0.2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row>
    <row r="163" spans="1:60" x14ac:dyDescent="0.2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row>
    <row r="164" spans="1:60" x14ac:dyDescent="0.2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row>
    <row r="165" spans="1:60" x14ac:dyDescent="0.2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row>
    <row r="166" spans="1:60" x14ac:dyDescent="0.2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row>
    <row r="167" spans="1:60" x14ac:dyDescent="0.2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row>
    <row r="168" spans="1:60" x14ac:dyDescent="0.2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row>
    <row r="169" spans="1:60" x14ac:dyDescent="0.2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row>
    <row r="170" spans="1:60" x14ac:dyDescent="0.2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row>
    <row r="171" spans="1:60" x14ac:dyDescent="0.2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row>
    <row r="172" spans="1:60" x14ac:dyDescent="0.2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row>
    <row r="173" spans="1:60" x14ac:dyDescent="0.2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row>
    <row r="174" spans="1:60" x14ac:dyDescent="0.2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row>
    <row r="175" spans="1:60" x14ac:dyDescent="0.2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row>
    <row r="176" spans="1:60" x14ac:dyDescent="0.2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row>
    <row r="177" spans="1:60" x14ac:dyDescent="0.2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row>
    <row r="178" spans="1:60" x14ac:dyDescent="0.2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row>
    <row r="179" spans="1:60"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row>
    <row r="180" spans="1:60" x14ac:dyDescent="0.2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row>
    <row r="181" spans="1:60" x14ac:dyDescent="0.2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row>
    <row r="182" spans="1:60" x14ac:dyDescent="0.2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row>
    <row r="183" spans="1:60" x14ac:dyDescent="0.2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row>
    <row r="184" spans="1:60" x14ac:dyDescent="0.2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row>
    <row r="185" spans="1:60" x14ac:dyDescent="0.2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row>
    <row r="186" spans="1:60" x14ac:dyDescent="0.2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row>
    <row r="187" spans="1:60" x14ac:dyDescent="0.2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row>
    <row r="188" spans="1:60" x14ac:dyDescent="0.2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row>
    <row r="189" spans="1:60" x14ac:dyDescent="0.2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row>
    <row r="190" spans="1:60" x14ac:dyDescent="0.2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row>
    <row r="191" spans="1:60" x14ac:dyDescent="0.25">
      <c r="A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row>
    <row r="192" spans="1:60" x14ac:dyDescent="0.25">
      <c r="A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row>
    <row r="193" spans="1:60" x14ac:dyDescent="0.25">
      <c r="A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row>
    <row r="194" spans="1:60" x14ac:dyDescent="0.25">
      <c r="A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row>
    <row r="195" spans="1:60" x14ac:dyDescent="0.25">
      <c r="A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row>
    <row r="196" spans="1:60" x14ac:dyDescent="0.25">
      <c r="A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row>
    <row r="197" spans="1:60" x14ac:dyDescent="0.25">
      <c r="A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row>
    <row r="198" spans="1:60" x14ac:dyDescent="0.25">
      <c r="A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row>
    <row r="199" spans="1:60" x14ac:dyDescent="0.25">
      <c r="A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row>
    <row r="200" spans="1:60" x14ac:dyDescent="0.25">
      <c r="A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row>
    <row r="201" spans="1:60" x14ac:dyDescent="0.25">
      <c r="A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row>
    <row r="202" spans="1:60" x14ac:dyDescent="0.25">
      <c r="A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row>
    <row r="203" spans="1:60" x14ac:dyDescent="0.25">
      <c r="A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row>
    <row r="204" spans="1:60" x14ac:dyDescent="0.25">
      <c r="A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row>
    <row r="205" spans="1:60" x14ac:dyDescent="0.25">
      <c r="A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row>
    <row r="206" spans="1:60" x14ac:dyDescent="0.25">
      <c r="A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row>
    <row r="207" spans="1:60" x14ac:dyDescent="0.25">
      <c r="A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row>
    <row r="208" spans="1:60" x14ac:dyDescent="0.25">
      <c r="A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row>
    <row r="209" spans="1:60" x14ac:dyDescent="0.25">
      <c r="A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row>
    <row r="210" spans="1:60" x14ac:dyDescent="0.25">
      <c r="A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row>
    <row r="211" spans="1:60" x14ac:dyDescent="0.25">
      <c r="A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row>
    <row r="212" spans="1:60" x14ac:dyDescent="0.25">
      <c r="A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row>
    <row r="213" spans="1:60" x14ac:dyDescent="0.25">
      <c r="A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row>
    <row r="214" spans="1:60" x14ac:dyDescent="0.25">
      <c r="A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row>
    <row r="215" spans="1:60" x14ac:dyDescent="0.25">
      <c r="A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row>
    <row r="216" spans="1:60" x14ac:dyDescent="0.25">
      <c r="A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row>
    <row r="217" spans="1:60" x14ac:dyDescent="0.25">
      <c r="A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row>
    <row r="218" spans="1:60" x14ac:dyDescent="0.25">
      <c r="A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row>
    <row r="219" spans="1:60" x14ac:dyDescent="0.25">
      <c r="A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row>
    <row r="220" spans="1:60" x14ac:dyDescent="0.25">
      <c r="A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row>
    <row r="221" spans="1:60" x14ac:dyDescent="0.25">
      <c r="A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row>
    <row r="222" spans="1:60" x14ac:dyDescent="0.25">
      <c r="A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row>
    <row r="223" spans="1:60" x14ac:dyDescent="0.25">
      <c r="A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row>
    <row r="224" spans="1:60" x14ac:dyDescent="0.25">
      <c r="A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row>
    <row r="225" spans="1:60" x14ac:dyDescent="0.25">
      <c r="A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row>
    <row r="226" spans="1:60" x14ac:dyDescent="0.25">
      <c r="A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row>
    <row r="227" spans="1:60" x14ac:dyDescent="0.25">
      <c r="A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row>
    <row r="228" spans="1:60" x14ac:dyDescent="0.25">
      <c r="A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row>
    <row r="229" spans="1:60" x14ac:dyDescent="0.25">
      <c r="A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row>
    <row r="230" spans="1:60" x14ac:dyDescent="0.25">
      <c r="A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row>
    <row r="231" spans="1:60" x14ac:dyDescent="0.25">
      <c r="A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row>
    <row r="232" spans="1:60" x14ac:dyDescent="0.25">
      <c r="A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row>
    <row r="233" spans="1:60" x14ac:dyDescent="0.25">
      <c r="A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row>
    <row r="234" spans="1:60" x14ac:dyDescent="0.25">
      <c r="A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row>
    <row r="235" spans="1:60" x14ac:dyDescent="0.25">
      <c r="A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row>
    <row r="236" spans="1:60" x14ac:dyDescent="0.25">
      <c r="A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row>
    <row r="237" spans="1:60" x14ac:dyDescent="0.25">
      <c r="A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row>
    <row r="238" spans="1:60" x14ac:dyDescent="0.25">
      <c r="A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row>
    <row r="239" spans="1:60" x14ac:dyDescent="0.25">
      <c r="A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row>
    <row r="240" spans="1:60" x14ac:dyDescent="0.25">
      <c r="A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row>
    <row r="241" spans="1:60" x14ac:dyDescent="0.25">
      <c r="A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row>
    <row r="242" spans="1:60" x14ac:dyDescent="0.25">
      <c r="A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row>
    <row r="243" spans="1:60" x14ac:dyDescent="0.25">
      <c r="A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row>
    <row r="244" spans="1:60" x14ac:dyDescent="0.25">
      <c r="A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row>
    <row r="245" spans="1:60" x14ac:dyDescent="0.25">
      <c r="A245" s="97"/>
    </row>
    <row r="246" spans="1:60" x14ac:dyDescent="0.25">
      <c r="A246" s="97"/>
    </row>
    <row r="247" spans="1:60" x14ac:dyDescent="0.25">
      <c r="A247" s="97"/>
    </row>
    <row r="248" spans="1:60" x14ac:dyDescent="0.25">
      <c r="A248" s="9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5" zoomScale="101"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7"/>
      <c r="B1" s="432" t="s">
        <v>55</v>
      </c>
      <c r="C1" s="432"/>
      <c r="D1" s="432"/>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7"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7" ht="25.5" x14ac:dyDescent="0.25">
      <c r="A3" s="97"/>
      <c r="B3" s="11"/>
      <c r="C3" s="12" t="s">
        <v>52</v>
      </c>
      <c r="D3" s="12" t="s">
        <v>4</v>
      </c>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7" ht="51" x14ac:dyDescent="0.25">
      <c r="A4" s="97"/>
      <c r="B4" s="13" t="s">
        <v>51</v>
      </c>
      <c r="C4" s="14" t="s">
        <v>102</v>
      </c>
      <c r="D4" s="15">
        <v>0.2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7" ht="51" x14ac:dyDescent="0.25">
      <c r="A5" s="97"/>
      <c r="B5" s="16" t="s">
        <v>53</v>
      </c>
      <c r="C5" s="17" t="s">
        <v>103</v>
      </c>
      <c r="D5" s="18">
        <v>0.4</v>
      </c>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7" ht="51" x14ac:dyDescent="0.25">
      <c r="A6" s="97"/>
      <c r="B6" s="19" t="s">
        <v>107</v>
      </c>
      <c r="C6" s="17" t="s">
        <v>104</v>
      </c>
      <c r="D6" s="18">
        <v>0.6</v>
      </c>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7" ht="76.5" x14ac:dyDescent="0.25">
      <c r="A7" s="97"/>
      <c r="B7" s="20" t="s">
        <v>6</v>
      </c>
      <c r="C7" s="17" t="s">
        <v>105</v>
      </c>
      <c r="D7" s="18">
        <v>0.8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37" ht="51" x14ac:dyDescent="0.25">
      <c r="A8" s="97"/>
      <c r="B8" s="21" t="s">
        <v>54</v>
      </c>
      <c r="C8" s="17" t="s">
        <v>106</v>
      </c>
      <c r="D8" s="18">
        <v>1</v>
      </c>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7" x14ac:dyDescent="0.25">
      <c r="A9" s="97"/>
      <c r="B9" s="121"/>
      <c r="C9" s="121"/>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ht="16.5" x14ac:dyDescent="0.25">
      <c r="A10" s="97"/>
      <c r="B10" s="122"/>
      <c r="C10" s="121"/>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x14ac:dyDescent="0.25">
      <c r="A11" s="97"/>
      <c r="B11" s="121"/>
      <c r="C11" s="121"/>
      <c r="D11" s="12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x14ac:dyDescent="0.25">
      <c r="A12" s="97"/>
      <c r="B12" s="121"/>
      <c r="C12" s="121"/>
      <c r="D12" s="12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x14ac:dyDescent="0.25">
      <c r="A13" s="97"/>
      <c r="B13" s="121"/>
      <c r="C13" s="121"/>
      <c r="D13" s="12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x14ac:dyDescent="0.25">
      <c r="A14" s="97"/>
      <c r="B14" s="121"/>
      <c r="C14" s="121"/>
      <c r="D14" s="121"/>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x14ac:dyDescent="0.25">
      <c r="A15" s="97"/>
      <c r="B15" s="121"/>
      <c r="C15" s="121"/>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x14ac:dyDescent="0.25">
      <c r="A16" s="97"/>
      <c r="B16" s="121"/>
      <c r="C16" s="121"/>
      <c r="D16" s="12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x14ac:dyDescent="0.25">
      <c r="A17" s="97"/>
      <c r="B17" s="121"/>
      <c r="C17" s="121"/>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x14ac:dyDescent="0.25">
      <c r="A18" s="97"/>
      <c r="B18" s="121"/>
      <c r="C18" s="121"/>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x14ac:dyDescent="0.2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x14ac:dyDescent="0.2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x14ac:dyDescent="0.2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x14ac:dyDescent="0.2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x14ac:dyDescent="0.2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x14ac:dyDescent="0.2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x14ac:dyDescent="0.2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x14ac:dyDescent="0.2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x14ac:dyDescent="0.2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1" x14ac:dyDescent="0.25">
      <c r="A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x14ac:dyDescent="0.25">
      <c r="A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x14ac:dyDescent="0.25">
      <c r="A35" s="97"/>
    </row>
    <row r="36" spans="1:31" x14ac:dyDescent="0.25">
      <c r="A36" s="97"/>
    </row>
    <row r="37" spans="1:31" x14ac:dyDescent="0.25">
      <c r="A37" s="97"/>
    </row>
    <row r="38" spans="1:31" x14ac:dyDescent="0.25">
      <c r="A38" s="97"/>
    </row>
    <row r="39" spans="1:31" x14ac:dyDescent="0.25">
      <c r="A39" s="97"/>
    </row>
    <row r="40" spans="1:31" x14ac:dyDescent="0.25">
      <c r="A40" s="97"/>
    </row>
    <row r="41" spans="1:31" x14ac:dyDescent="0.25">
      <c r="A41" s="97"/>
    </row>
    <row r="42" spans="1:31" x14ac:dyDescent="0.25">
      <c r="A42" s="97"/>
    </row>
    <row r="43" spans="1:31" x14ac:dyDescent="0.25">
      <c r="A43" s="97"/>
    </row>
    <row r="44" spans="1:31" x14ac:dyDescent="0.25">
      <c r="A44" s="97"/>
    </row>
    <row r="45" spans="1:31" x14ac:dyDescent="0.25">
      <c r="A45" s="97"/>
    </row>
    <row r="46" spans="1:31" x14ac:dyDescent="0.25">
      <c r="A46" s="97"/>
    </row>
    <row r="47" spans="1:31" x14ac:dyDescent="0.25">
      <c r="A47" s="97"/>
    </row>
    <row r="48" spans="1:3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6" zoomScaleNormal="60" workbookViewId="0">
      <selection activeCell="D8" sqref="D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7"/>
      <c r="B1" s="433" t="s">
        <v>63</v>
      </c>
      <c r="C1" s="433"/>
      <c r="D1" s="433"/>
      <c r="E1" s="97"/>
      <c r="F1" s="97"/>
      <c r="G1" s="97"/>
      <c r="H1" s="97"/>
      <c r="I1" s="97"/>
      <c r="J1" s="97"/>
      <c r="K1" s="97"/>
      <c r="L1" s="97"/>
      <c r="M1" s="97"/>
      <c r="N1" s="97"/>
      <c r="O1" s="97"/>
      <c r="P1" s="97"/>
      <c r="Q1" s="97"/>
      <c r="R1" s="97"/>
      <c r="S1" s="97"/>
      <c r="T1" s="97"/>
      <c r="U1" s="97"/>
    </row>
    <row r="2" spans="1:21" x14ac:dyDescent="0.25">
      <c r="A2" s="97"/>
      <c r="B2" s="97"/>
      <c r="C2" s="97"/>
      <c r="D2" s="97"/>
      <c r="E2" s="97"/>
      <c r="F2" s="97"/>
      <c r="G2" s="97"/>
      <c r="H2" s="97"/>
      <c r="I2" s="97"/>
      <c r="J2" s="97"/>
      <c r="K2" s="97"/>
      <c r="L2" s="97"/>
      <c r="M2" s="97"/>
      <c r="N2" s="97"/>
      <c r="O2" s="97"/>
      <c r="P2" s="97"/>
      <c r="Q2" s="97"/>
      <c r="R2" s="97"/>
      <c r="S2" s="97"/>
      <c r="T2" s="97"/>
      <c r="U2" s="97"/>
    </row>
    <row r="3" spans="1:21" ht="30" x14ac:dyDescent="0.25">
      <c r="A3" s="97"/>
      <c r="B3" s="118"/>
      <c r="C3" s="38" t="s">
        <v>56</v>
      </c>
      <c r="D3" s="38" t="s">
        <v>57</v>
      </c>
      <c r="E3" s="97"/>
      <c r="F3" s="97"/>
      <c r="G3" s="97"/>
      <c r="H3" s="97"/>
      <c r="I3" s="97"/>
      <c r="J3" s="97"/>
      <c r="K3" s="97"/>
      <c r="L3" s="97"/>
      <c r="M3" s="97"/>
      <c r="N3" s="97"/>
      <c r="O3" s="97"/>
      <c r="P3" s="97"/>
      <c r="Q3" s="97"/>
      <c r="R3" s="97"/>
      <c r="S3" s="97"/>
      <c r="T3" s="97"/>
      <c r="U3" s="97"/>
    </row>
    <row r="4" spans="1:21" ht="33.75" x14ac:dyDescent="0.25">
      <c r="A4" s="117" t="s">
        <v>83</v>
      </c>
      <c r="B4" s="41" t="s">
        <v>101</v>
      </c>
      <c r="C4" s="46" t="s">
        <v>158</v>
      </c>
      <c r="D4" s="39" t="s">
        <v>97</v>
      </c>
      <c r="E4" s="97"/>
      <c r="F4" s="97"/>
      <c r="G4" s="97"/>
      <c r="H4" s="97"/>
      <c r="I4" s="97"/>
      <c r="J4" s="97"/>
      <c r="K4" s="97"/>
      <c r="L4" s="97"/>
      <c r="M4" s="97"/>
      <c r="N4" s="97"/>
      <c r="O4" s="97"/>
      <c r="P4" s="97"/>
      <c r="Q4" s="97"/>
      <c r="R4" s="97"/>
      <c r="S4" s="97"/>
      <c r="T4" s="97"/>
      <c r="U4" s="97"/>
    </row>
    <row r="5" spans="1:21" ht="67.5" x14ac:dyDescent="0.25">
      <c r="A5" s="117" t="s">
        <v>84</v>
      </c>
      <c r="B5" s="42" t="s">
        <v>59</v>
      </c>
      <c r="C5" s="47" t="s">
        <v>93</v>
      </c>
      <c r="D5" s="40" t="s">
        <v>98</v>
      </c>
      <c r="E5" s="97"/>
      <c r="F5" s="97"/>
      <c r="G5" s="97"/>
      <c r="H5" s="97"/>
      <c r="I5" s="97"/>
      <c r="J5" s="97"/>
      <c r="K5" s="97"/>
      <c r="L5" s="97"/>
      <c r="M5" s="97"/>
      <c r="N5" s="97"/>
      <c r="O5" s="97"/>
      <c r="P5" s="97"/>
      <c r="Q5" s="97"/>
      <c r="R5" s="97"/>
      <c r="S5" s="97"/>
      <c r="T5" s="97"/>
      <c r="U5" s="97"/>
    </row>
    <row r="6" spans="1:21" ht="67.5" x14ac:dyDescent="0.25">
      <c r="A6" s="117" t="s">
        <v>81</v>
      </c>
      <c r="B6" s="43" t="s">
        <v>60</v>
      </c>
      <c r="C6" s="47" t="s">
        <v>94</v>
      </c>
      <c r="D6" s="40" t="s">
        <v>100</v>
      </c>
      <c r="E6" s="97"/>
      <c r="F6" s="97"/>
      <c r="G6" s="97"/>
      <c r="H6" s="97"/>
      <c r="I6" s="97"/>
      <c r="J6" s="97"/>
      <c r="K6" s="97"/>
      <c r="L6" s="97"/>
      <c r="M6" s="97"/>
      <c r="N6" s="97"/>
      <c r="O6" s="97"/>
      <c r="P6" s="97"/>
      <c r="Q6" s="97"/>
      <c r="R6" s="97"/>
      <c r="S6" s="97"/>
      <c r="T6" s="97"/>
      <c r="U6" s="97"/>
    </row>
    <row r="7" spans="1:21" ht="101.25" x14ac:dyDescent="0.25">
      <c r="A7" s="117" t="s">
        <v>7</v>
      </c>
      <c r="B7" s="44" t="s">
        <v>61</v>
      </c>
      <c r="C7" s="47" t="s">
        <v>95</v>
      </c>
      <c r="D7" s="40" t="s">
        <v>99</v>
      </c>
      <c r="E7" s="97"/>
      <c r="F7" s="97"/>
      <c r="G7" s="97"/>
      <c r="H7" s="97"/>
      <c r="I7" s="97"/>
      <c r="J7" s="97"/>
      <c r="K7" s="97"/>
      <c r="L7" s="97"/>
      <c r="M7" s="97"/>
      <c r="N7" s="97"/>
      <c r="O7" s="97"/>
      <c r="P7" s="97"/>
      <c r="Q7" s="97"/>
      <c r="R7" s="97"/>
      <c r="S7" s="97"/>
      <c r="T7" s="97"/>
      <c r="U7" s="97"/>
    </row>
    <row r="8" spans="1:21" ht="67.5" x14ac:dyDescent="0.25">
      <c r="A8" s="117" t="s">
        <v>85</v>
      </c>
      <c r="B8" s="45" t="s">
        <v>62</v>
      </c>
      <c r="C8" s="47" t="s">
        <v>96</v>
      </c>
      <c r="D8" s="40" t="s">
        <v>118</v>
      </c>
      <c r="E8" s="97"/>
      <c r="F8" s="97"/>
      <c r="G8" s="97"/>
      <c r="H8" s="97"/>
      <c r="I8" s="97"/>
      <c r="J8" s="97"/>
      <c r="K8" s="97"/>
      <c r="L8" s="97"/>
      <c r="M8" s="97"/>
      <c r="N8" s="97"/>
      <c r="O8" s="97"/>
      <c r="P8" s="97"/>
      <c r="Q8" s="97"/>
      <c r="R8" s="97"/>
      <c r="S8" s="97"/>
      <c r="T8" s="97"/>
      <c r="U8" s="97"/>
    </row>
    <row r="9" spans="1:21" ht="20.25" x14ac:dyDescent="0.25">
      <c r="A9" s="117"/>
      <c r="B9" s="117"/>
      <c r="C9" s="119"/>
      <c r="D9" s="119"/>
      <c r="E9" s="97"/>
      <c r="F9" s="97"/>
      <c r="G9" s="97"/>
      <c r="H9" s="97"/>
      <c r="I9" s="97"/>
      <c r="J9" s="97"/>
      <c r="K9" s="97"/>
      <c r="L9" s="97"/>
      <c r="M9" s="97"/>
      <c r="N9" s="97"/>
      <c r="O9" s="97"/>
      <c r="P9" s="97"/>
      <c r="Q9" s="97"/>
      <c r="R9" s="97"/>
      <c r="S9" s="97"/>
      <c r="T9" s="97"/>
      <c r="U9" s="97"/>
    </row>
    <row r="10" spans="1:21" ht="16.5" x14ac:dyDescent="0.25">
      <c r="A10" s="117"/>
      <c r="B10" s="120"/>
      <c r="C10" s="120"/>
      <c r="D10" s="120"/>
      <c r="E10" s="97"/>
      <c r="F10" s="97"/>
      <c r="G10" s="97"/>
      <c r="H10" s="97"/>
      <c r="I10" s="97"/>
      <c r="J10" s="97"/>
      <c r="K10" s="97"/>
      <c r="L10" s="97"/>
      <c r="M10" s="97"/>
      <c r="N10" s="97"/>
      <c r="O10" s="97"/>
      <c r="P10" s="97"/>
      <c r="Q10" s="97"/>
      <c r="R10" s="97"/>
      <c r="S10" s="97"/>
      <c r="T10" s="97"/>
      <c r="U10" s="97"/>
    </row>
    <row r="11" spans="1:21" x14ac:dyDescent="0.25">
      <c r="A11" s="117"/>
      <c r="B11" s="117" t="s">
        <v>91</v>
      </c>
      <c r="C11" s="117" t="s">
        <v>146</v>
      </c>
      <c r="D11" s="117" t="s">
        <v>153</v>
      </c>
      <c r="E11" s="97"/>
      <c r="F11" s="97"/>
      <c r="G11" s="97"/>
      <c r="H11" s="97"/>
      <c r="I11" s="97"/>
      <c r="J11" s="97"/>
      <c r="K11" s="97"/>
      <c r="L11" s="97"/>
      <c r="M11" s="97"/>
      <c r="N11" s="97"/>
      <c r="O11" s="97"/>
      <c r="P11" s="97"/>
      <c r="Q11" s="97"/>
      <c r="R11" s="97"/>
      <c r="S11" s="97"/>
      <c r="T11" s="97"/>
      <c r="U11" s="97"/>
    </row>
    <row r="12" spans="1:21" x14ac:dyDescent="0.25">
      <c r="A12" s="117"/>
      <c r="B12" s="117" t="s">
        <v>89</v>
      </c>
      <c r="C12" s="117" t="s">
        <v>150</v>
      </c>
      <c r="D12" s="117" t="s">
        <v>154</v>
      </c>
      <c r="E12" s="97"/>
      <c r="F12" s="97"/>
      <c r="G12" s="97"/>
      <c r="H12" s="97"/>
      <c r="I12" s="97"/>
      <c r="J12" s="97"/>
      <c r="K12" s="97"/>
      <c r="L12" s="97"/>
      <c r="M12" s="97"/>
      <c r="N12" s="97"/>
      <c r="O12" s="97"/>
      <c r="P12" s="97"/>
      <c r="Q12" s="97"/>
      <c r="R12" s="97"/>
      <c r="S12" s="97"/>
      <c r="T12" s="97"/>
      <c r="U12" s="97"/>
    </row>
    <row r="13" spans="1:21" x14ac:dyDescent="0.25">
      <c r="A13" s="117"/>
      <c r="B13" s="117"/>
      <c r="C13" s="117" t="s">
        <v>149</v>
      </c>
      <c r="D13" s="117" t="s">
        <v>155</v>
      </c>
      <c r="E13" s="97"/>
      <c r="F13" s="97"/>
      <c r="G13" s="97"/>
      <c r="H13" s="97"/>
      <c r="I13" s="97"/>
      <c r="J13" s="97"/>
      <c r="K13" s="97"/>
      <c r="L13" s="97"/>
      <c r="M13" s="97"/>
      <c r="N13" s="97"/>
      <c r="O13" s="97"/>
      <c r="P13" s="97"/>
      <c r="Q13" s="97"/>
      <c r="R13" s="97"/>
      <c r="S13" s="97"/>
      <c r="T13" s="97"/>
      <c r="U13" s="97"/>
    </row>
    <row r="14" spans="1:21" x14ac:dyDescent="0.25">
      <c r="A14" s="117"/>
      <c r="B14" s="117"/>
      <c r="C14" s="117" t="s">
        <v>151</v>
      </c>
      <c r="D14" s="117" t="s">
        <v>156</v>
      </c>
      <c r="E14" s="97"/>
      <c r="F14" s="97"/>
      <c r="G14" s="97"/>
      <c r="H14" s="97"/>
      <c r="I14" s="97"/>
      <c r="J14" s="97"/>
      <c r="K14" s="97"/>
      <c r="L14" s="97"/>
      <c r="M14" s="97"/>
      <c r="N14" s="97"/>
      <c r="O14" s="97"/>
      <c r="P14" s="97"/>
      <c r="Q14" s="97"/>
      <c r="R14" s="97"/>
      <c r="S14" s="97"/>
      <c r="T14" s="97"/>
      <c r="U14" s="97"/>
    </row>
    <row r="15" spans="1:21" x14ac:dyDescent="0.25">
      <c r="A15" s="117"/>
      <c r="B15" s="117"/>
      <c r="C15" s="117" t="s">
        <v>152</v>
      </c>
      <c r="D15" s="117" t="s">
        <v>157</v>
      </c>
      <c r="E15" s="97"/>
      <c r="F15" s="97"/>
      <c r="G15" s="97"/>
      <c r="H15" s="97"/>
      <c r="I15" s="97"/>
      <c r="J15" s="97"/>
      <c r="K15" s="97"/>
      <c r="L15" s="97"/>
      <c r="M15" s="97"/>
      <c r="N15" s="97"/>
      <c r="O15" s="97"/>
      <c r="P15" s="97"/>
      <c r="Q15" s="97"/>
      <c r="R15" s="97"/>
      <c r="S15" s="97"/>
      <c r="T15" s="97"/>
      <c r="U15" s="97"/>
    </row>
    <row r="16" spans="1:21" x14ac:dyDescent="0.25">
      <c r="A16" s="117"/>
      <c r="B16" s="117"/>
      <c r="C16" s="117"/>
      <c r="D16" s="117"/>
      <c r="E16" s="97"/>
      <c r="F16" s="97"/>
      <c r="G16" s="97"/>
      <c r="H16" s="97"/>
      <c r="I16" s="97"/>
      <c r="J16" s="97"/>
      <c r="K16" s="97"/>
      <c r="L16" s="97"/>
      <c r="M16" s="97"/>
      <c r="N16" s="97"/>
      <c r="O16" s="97"/>
    </row>
    <row r="17" spans="1:15" x14ac:dyDescent="0.25">
      <c r="A17" s="117"/>
      <c r="B17" s="117"/>
      <c r="C17" s="117"/>
      <c r="D17" s="117"/>
      <c r="E17" s="97"/>
      <c r="F17" s="97"/>
      <c r="G17" s="97"/>
      <c r="H17" s="97"/>
      <c r="I17" s="97"/>
      <c r="J17" s="97"/>
      <c r="K17" s="97"/>
      <c r="L17" s="97"/>
      <c r="M17" s="97"/>
      <c r="N17" s="97"/>
      <c r="O17" s="97"/>
    </row>
    <row r="18" spans="1:15" x14ac:dyDescent="0.25">
      <c r="A18" s="117"/>
      <c r="B18" s="121"/>
      <c r="C18" s="121"/>
      <c r="D18" s="121"/>
      <c r="E18" s="97"/>
      <c r="F18" s="97"/>
      <c r="G18" s="97"/>
      <c r="H18" s="97"/>
      <c r="I18" s="97"/>
      <c r="J18" s="97"/>
      <c r="K18" s="97"/>
      <c r="L18" s="97"/>
      <c r="M18" s="97"/>
      <c r="N18" s="97"/>
      <c r="O18" s="97"/>
    </row>
    <row r="19" spans="1:15" x14ac:dyDescent="0.25">
      <c r="A19" s="117"/>
      <c r="B19" s="121"/>
      <c r="C19" s="121"/>
      <c r="D19" s="121"/>
      <c r="E19" s="97"/>
      <c r="F19" s="97"/>
      <c r="G19" s="97"/>
      <c r="H19" s="97"/>
      <c r="I19" s="97"/>
      <c r="J19" s="97"/>
      <c r="K19" s="97"/>
      <c r="L19" s="97"/>
      <c r="M19" s="97"/>
      <c r="N19" s="97"/>
      <c r="O19" s="97"/>
    </row>
    <row r="20" spans="1:15" x14ac:dyDescent="0.25">
      <c r="A20" s="117"/>
      <c r="B20" s="121"/>
      <c r="C20" s="121"/>
      <c r="D20" s="121"/>
      <c r="E20" s="97"/>
      <c r="F20" s="97"/>
      <c r="G20" s="97"/>
      <c r="H20" s="97"/>
      <c r="I20" s="97"/>
      <c r="J20" s="97"/>
      <c r="K20" s="97"/>
      <c r="L20" s="97"/>
      <c r="M20" s="97"/>
      <c r="N20" s="97"/>
      <c r="O20" s="97"/>
    </row>
    <row r="21" spans="1:15" x14ac:dyDescent="0.25">
      <c r="A21" s="117"/>
      <c r="B21" s="121"/>
      <c r="C21" s="121"/>
      <c r="D21" s="121"/>
      <c r="E21" s="97"/>
      <c r="F21" s="97"/>
      <c r="G21" s="97"/>
      <c r="H21" s="97"/>
      <c r="I21" s="97"/>
      <c r="J21" s="97"/>
      <c r="K21" s="97"/>
      <c r="L21" s="97"/>
      <c r="M21" s="97"/>
      <c r="N21" s="97"/>
      <c r="O21" s="97"/>
    </row>
    <row r="22" spans="1:15" ht="20.25" x14ac:dyDescent="0.25">
      <c r="A22" s="117"/>
      <c r="B22" s="117"/>
      <c r="C22" s="119"/>
      <c r="D22" s="119"/>
      <c r="E22" s="97"/>
      <c r="F22" s="97"/>
      <c r="G22" s="97"/>
      <c r="H22" s="97"/>
      <c r="I22" s="97"/>
      <c r="J22" s="97"/>
      <c r="K22" s="97"/>
      <c r="L22" s="97"/>
      <c r="M22" s="97"/>
      <c r="N22" s="97"/>
      <c r="O22" s="97"/>
    </row>
    <row r="23" spans="1:15" ht="20.25" x14ac:dyDescent="0.25">
      <c r="A23" s="117"/>
      <c r="B23" s="117"/>
      <c r="C23" s="119"/>
      <c r="D23" s="119"/>
      <c r="E23" s="97"/>
      <c r="F23" s="97"/>
      <c r="G23" s="97"/>
      <c r="H23" s="97"/>
      <c r="I23" s="97"/>
      <c r="J23" s="97"/>
      <c r="K23" s="97"/>
      <c r="L23" s="97"/>
      <c r="M23" s="97"/>
      <c r="N23" s="97"/>
      <c r="O23" s="97"/>
    </row>
    <row r="24" spans="1:15" ht="20.25" x14ac:dyDescent="0.25">
      <c r="A24" s="117"/>
      <c r="B24" s="117"/>
      <c r="C24" s="119"/>
      <c r="D24" s="119"/>
      <c r="E24" s="97"/>
      <c r="F24" s="97"/>
      <c r="G24" s="97"/>
      <c r="H24" s="97"/>
      <c r="I24" s="97"/>
      <c r="J24" s="97"/>
      <c r="K24" s="97"/>
      <c r="L24" s="97"/>
      <c r="M24" s="97"/>
      <c r="N24" s="97"/>
      <c r="O24" s="97"/>
    </row>
    <row r="25" spans="1:15" ht="20.25" x14ac:dyDescent="0.25">
      <c r="A25" s="117"/>
      <c r="B25" s="117"/>
      <c r="C25" s="119"/>
      <c r="D25" s="119"/>
      <c r="E25" s="97"/>
      <c r="F25" s="97"/>
      <c r="G25" s="97"/>
      <c r="H25" s="97"/>
      <c r="I25" s="97"/>
      <c r="J25" s="97"/>
      <c r="K25" s="97"/>
      <c r="L25" s="97"/>
      <c r="M25" s="97"/>
      <c r="N25" s="97"/>
      <c r="O25" s="97"/>
    </row>
    <row r="26" spans="1:15" ht="20.25" x14ac:dyDescent="0.25">
      <c r="A26" s="117"/>
      <c r="B26" s="117"/>
      <c r="C26" s="119"/>
      <c r="D26" s="119"/>
      <c r="E26" s="97"/>
      <c r="F26" s="97"/>
      <c r="G26" s="97"/>
      <c r="H26" s="97"/>
      <c r="I26" s="97"/>
      <c r="J26" s="97"/>
      <c r="K26" s="97"/>
      <c r="L26" s="97"/>
      <c r="M26" s="97"/>
      <c r="N26" s="97"/>
      <c r="O26" s="97"/>
    </row>
    <row r="27" spans="1:15" ht="20.25" x14ac:dyDescent="0.25">
      <c r="A27" s="117"/>
      <c r="B27" s="117"/>
      <c r="C27" s="119"/>
      <c r="D27" s="119"/>
      <c r="E27" s="97"/>
      <c r="F27" s="97"/>
      <c r="G27" s="97"/>
      <c r="H27" s="97"/>
      <c r="I27" s="97"/>
      <c r="J27" s="97"/>
      <c r="K27" s="97"/>
      <c r="L27" s="97"/>
      <c r="M27" s="97"/>
      <c r="N27" s="97"/>
      <c r="O27" s="97"/>
    </row>
    <row r="28" spans="1:15" ht="20.25" x14ac:dyDescent="0.25">
      <c r="A28" s="117"/>
      <c r="B28" s="117"/>
      <c r="C28" s="119"/>
      <c r="D28" s="119"/>
      <c r="E28" s="97"/>
      <c r="F28" s="97"/>
      <c r="G28" s="97"/>
      <c r="H28" s="97"/>
      <c r="I28" s="97"/>
      <c r="J28" s="97"/>
      <c r="K28" s="97"/>
      <c r="L28" s="97"/>
      <c r="M28" s="97"/>
      <c r="N28" s="97"/>
      <c r="O28" s="97"/>
    </row>
    <row r="29" spans="1:15" ht="20.25" x14ac:dyDescent="0.25">
      <c r="A29" s="117"/>
      <c r="B29" s="117"/>
      <c r="C29" s="119"/>
      <c r="D29" s="119"/>
      <c r="E29" s="97"/>
      <c r="F29" s="97"/>
      <c r="G29" s="97"/>
      <c r="H29" s="97"/>
      <c r="I29" s="97"/>
      <c r="J29" s="97"/>
      <c r="K29" s="97"/>
      <c r="L29" s="97"/>
      <c r="M29" s="97"/>
      <c r="N29" s="97"/>
      <c r="O29" s="97"/>
    </row>
    <row r="30" spans="1:15" ht="20.25" x14ac:dyDescent="0.25">
      <c r="A30" s="117"/>
      <c r="B30" s="117"/>
      <c r="C30" s="119"/>
      <c r="D30" s="119"/>
      <c r="E30" s="97"/>
      <c r="F30" s="97"/>
      <c r="G30" s="97"/>
      <c r="H30" s="97"/>
      <c r="I30" s="97"/>
      <c r="J30" s="97"/>
      <c r="K30" s="97"/>
      <c r="L30" s="97"/>
      <c r="M30" s="97"/>
      <c r="N30" s="97"/>
      <c r="O30" s="97"/>
    </row>
    <row r="31" spans="1:15" ht="20.25" x14ac:dyDescent="0.25">
      <c r="A31" s="117"/>
      <c r="B31" s="117"/>
      <c r="C31" s="119"/>
      <c r="D31" s="119"/>
      <c r="E31" s="97"/>
      <c r="F31" s="97"/>
      <c r="G31" s="97"/>
      <c r="H31" s="97"/>
      <c r="I31" s="97"/>
      <c r="J31" s="97"/>
      <c r="K31" s="97"/>
      <c r="L31" s="97"/>
      <c r="M31" s="97"/>
      <c r="N31" s="97"/>
      <c r="O31" s="97"/>
    </row>
    <row r="32" spans="1:15" ht="20.25" x14ac:dyDescent="0.25">
      <c r="A32" s="117"/>
      <c r="B32" s="117"/>
      <c r="C32" s="119"/>
      <c r="D32" s="119"/>
      <c r="E32" s="97"/>
      <c r="F32" s="97"/>
      <c r="G32" s="97"/>
      <c r="H32" s="97"/>
      <c r="I32" s="97"/>
      <c r="J32" s="97"/>
      <c r="K32" s="97"/>
      <c r="L32" s="97"/>
      <c r="M32" s="97"/>
      <c r="N32" s="97"/>
      <c r="O32" s="97"/>
    </row>
    <row r="33" spans="1:15" ht="20.25" x14ac:dyDescent="0.25">
      <c r="A33" s="117"/>
      <c r="B33" s="117"/>
      <c r="C33" s="119"/>
      <c r="D33" s="119"/>
      <c r="E33" s="97"/>
      <c r="F33" s="97"/>
      <c r="G33" s="97"/>
      <c r="H33" s="97"/>
      <c r="I33" s="97"/>
      <c r="J33" s="97"/>
      <c r="K33" s="97"/>
      <c r="L33" s="97"/>
      <c r="M33" s="97"/>
      <c r="N33" s="97"/>
      <c r="O33" s="97"/>
    </row>
    <row r="34" spans="1:15" ht="20.25" x14ac:dyDescent="0.25">
      <c r="A34" s="117"/>
      <c r="B34" s="117"/>
      <c r="C34" s="119"/>
      <c r="D34" s="119"/>
      <c r="E34" s="97"/>
      <c r="F34" s="97"/>
      <c r="G34" s="97"/>
      <c r="H34" s="97"/>
      <c r="I34" s="97"/>
      <c r="J34" s="97"/>
      <c r="K34" s="97"/>
      <c r="L34" s="97"/>
      <c r="M34" s="97"/>
      <c r="N34" s="97"/>
      <c r="O34" s="97"/>
    </row>
    <row r="35" spans="1:15" ht="20.25" x14ac:dyDescent="0.25">
      <c r="A35" s="117"/>
      <c r="B35" s="117"/>
      <c r="C35" s="119"/>
      <c r="D35" s="119"/>
      <c r="E35" s="97"/>
      <c r="F35" s="97"/>
      <c r="G35" s="97"/>
      <c r="H35" s="97"/>
      <c r="I35" s="97"/>
      <c r="J35" s="97"/>
      <c r="K35" s="97"/>
      <c r="L35" s="97"/>
      <c r="M35" s="97"/>
      <c r="N35" s="97"/>
      <c r="O35" s="97"/>
    </row>
    <row r="36" spans="1:15" ht="20.25" x14ac:dyDescent="0.25">
      <c r="A36" s="117"/>
      <c r="B36" s="117"/>
      <c r="C36" s="119"/>
      <c r="D36" s="119"/>
      <c r="E36" s="97"/>
      <c r="F36" s="97"/>
      <c r="G36" s="97"/>
      <c r="H36" s="97"/>
      <c r="I36" s="97"/>
      <c r="J36" s="97"/>
      <c r="K36" s="97"/>
      <c r="L36" s="97"/>
      <c r="M36" s="97"/>
      <c r="N36" s="97"/>
      <c r="O36" s="97"/>
    </row>
    <row r="37" spans="1:15" ht="20.25" x14ac:dyDescent="0.25">
      <c r="A37" s="117"/>
      <c r="B37" s="117"/>
      <c r="C37" s="119"/>
      <c r="D37" s="119"/>
      <c r="E37" s="97"/>
      <c r="F37" s="97"/>
      <c r="G37" s="97"/>
      <c r="H37" s="97"/>
      <c r="I37" s="97"/>
      <c r="J37" s="97"/>
      <c r="K37" s="97"/>
      <c r="L37" s="97"/>
      <c r="M37" s="97"/>
      <c r="N37" s="97"/>
      <c r="O37" s="97"/>
    </row>
    <row r="38" spans="1:15" ht="20.25" x14ac:dyDescent="0.25">
      <c r="A38" s="117"/>
      <c r="B38" s="117"/>
      <c r="C38" s="119"/>
      <c r="D38" s="119"/>
      <c r="E38" s="97"/>
      <c r="F38" s="97"/>
      <c r="G38" s="97"/>
      <c r="H38" s="97"/>
      <c r="I38" s="97"/>
      <c r="J38" s="97"/>
      <c r="K38" s="97"/>
      <c r="L38" s="97"/>
      <c r="M38" s="97"/>
      <c r="N38" s="97"/>
      <c r="O38" s="97"/>
    </row>
    <row r="39" spans="1:15" ht="20.25" x14ac:dyDescent="0.25">
      <c r="A39" s="117"/>
      <c r="B39" s="117"/>
      <c r="C39" s="119"/>
      <c r="D39" s="119"/>
      <c r="E39" s="97"/>
      <c r="F39" s="97"/>
      <c r="G39" s="97"/>
      <c r="H39" s="97"/>
      <c r="I39" s="97"/>
      <c r="J39" s="97"/>
      <c r="K39" s="97"/>
      <c r="L39" s="97"/>
      <c r="M39" s="97"/>
      <c r="N39" s="97"/>
      <c r="O39" s="97"/>
    </row>
    <row r="40" spans="1:15" ht="20.25" x14ac:dyDescent="0.25">
      <c r="A40" s="117"/>
      <c r="B40" s="117"/>
      <c r="C40" s="119"/>
      <c r="D40" s="119"/>
      <c r="E40" s="97"/>
      <c r="F40" s="97"/>
      <c r="G40" s="97"/>
      <c r="H40" s="97"/>
      <c r="I40" s="97"/>
      <c r="J40" s="97"/>
      <c r="K40" s="97"/>
      <c r="L40" s="97"/>
      <c r="M40" s="97"/>
      <c r="N40" s="97"/>
      <c r="O40" s="97"/>
    </row>
    <row r="41" spans="1:15" ht="20.25" x14ac:dyDescent="0.25">
      <c r="A41" s="117"/>
      <c r="B41" s="117"/>
      <c r="C41" s="119"/>
      <c r="D41" s="119"/>
      <c r="E41" s="97"/>
      <c r="F41" s="97"/>
      <c r="G41" s="97"/>
      <c r="H41" s="97"/>
      <c r="I41" s="97"/>
      <c r="J41" s="97"/>
      <c r="K41" s="97"/>
      <c r="L41" s="97"/>
      <c r="M41" s="97"/>
      <c r="N41" s="97"/>
      <c r="O41" s="97"/>
    </row>
    <row r="42" spans="1:15" ht="20.25" x14ac:dyDescent="0.25">
      <c r="A42" s="117"/>
      <c r="B42" s="117"/>
      <c r="C42" s="119"/>
      <c r="D42" s="119"/>
      <c r="E42" s="97"/>
      <c r="F42" s="97"/>
      <c r="G42" s="97"/>
      <c r="H42" s="97"/>
      <c r="I42" s="97"/>
      <c r="J42" s="97"/>
      <c r="K42" s="97"/>
      <c r="L42" s="97"/>
      <c r="M42" s="97"/>
      <c r="N42" s="97"/>
      <c r="O42" s="97"/>
    </row>
    <row r="43" spans="1:15" ht="20.25" x14ac:dyDescent="0.25">
      <c r="A43" s="117"/>
      <c r="B43" s="117"/>
      <c r="C43" s="119"/>
      <c r="D43" s="119"/>
      <c r="E43" s="97"/>
      <c r="F43" s="97"/>
      <c r="G43" s="97"/>
      <c r="H43" s="97"/>
      <c r="I43" s="97"/>
      <c r="J43" s="97"/>
      <c r="K43" s="97"/>
      <c r="L43" s="97"/>
      <c r="M43" s="97"/>
      <c r="N43" s="97"/>
      <c r="O43" s="97"/>
    </row>
    <row r="44" spans="1:15" ht="20.25" x14ac:dyDescent="0.25">
      <c r="A44" s="117"/>
      <c r="B44" s="117"/>
      <c r="C44" s="119"/>
      <c r="D44" s="119"/>
      <c r="E44" s="97"/>
      <c r="F44" s="97"/>
      <c r="G44" s="97"/>
      <c r="H44" s="97"/>
      <c r="I44" s="97"/>
      <c r="J44" s="97"/>
      <c r="K44" s="97"/>
      <c r="L44" s="97"/>
      <c r="M44" s="97"/>
      <c r="N44" s="97"/>
      <c r="O44" s="97"/>
    </row>
    <row r="45" spans="1:15" ht="20.25" x14ac:dyDescent="0.25">
      <c r="A45" s="117"/>
      <c r="B45" s="117"/>
      <c r="C45" s="119"/>
      <c r="D45" s="119"/>
      <c r="E45" s="97"/>
      <c r="F45" s="97"/>
      <c r="G45" s="97"/>
      <c r="H45" s="97"/>
      <c r="I45" s="97"/>
      <c r="J45" s="97"/>
      <c r="K45" s="97"/>
      <c r="L45" s="97"/>
      <c r="M45" s="97"/>
      <c r="N45" s="97"/>
      <c r="O45" s="97"/>
    </row>
    <row r="46" spans="1:15" ht="20.25" x14ac:dyDescent="0.25">
      <c r="A46" s="117"/>
      <c r="B46" s="117"/>
      <c r="C46" s="119"/>
      <c r="D46" s="119"/>
      <c r="E46" s="97"/>
      <c r="F46" s="97"/>
      <c r="G46" s="97"/>
      <c r="H46" s="97"/>
      <c r="I46" s="97"/>
      <c r="J46" s="97"/>
      <c r="K46" s="97"/>
      <c r="L46" s="97"/>
      <c r="M46" s="97"/>
      <c r="N46" s="97"/>
      <c r="O46" s="97"/>
    </row>
    <row r="47" spans="1:15" ht="20.25" x14ac:dyDescent="0.25">
      <c r="A47" s="117"/>
      <c r="B47" s="117"/>
      <c r="C47" s="119"/>
      <c r="D47" s="119"/>
      <c r="E47" s="97"/>
      <c r="F47" s="97"/>
      <c r="G47" s="97"/>
      <c r="H47" s="97"/>
      <c r="I47" s="97"/>
      <c r="J47" s="97"/>
      <c r="K47" s="97"/>
      <c r="L47" s="97"/>
      <c r="M47" s="97"/>
      <c r="N47" s="97"/>
      <c r="O47" s="97"/>
    </row>
    <row r="48" spans="1:15" ht="20.25" x14ac:dyDescent="0.25">
      <c r="A48" s="117"/>
      <c r="B48" s="117"/>
      <c r="C48" s="119"/>
      <c r="D48" s="119"/>
      <c r="E48" s="97"/>
      <c r="F48" s="97"/>
      <c r="G48" s="97"/>
      <c r="H48" s="97"/>
      <c r="I48" s="97"/>
      <c r="J48" s="97"/>
      <c r="K48" s="97"/>
      <c r="L48" s="97"/>
      <c r="M48" s="97"/>
      <c r="N48" s="97"/>
      <c r="O48" s="97"/>
    </row>
    <row r="49" spans="1:15" ht="20.25" x14ac:dyDescent="0.25">
      <c r="A49" s="117"/>
      <c r="B49" s="117"/>
      <c r="C49" s="119"/>
      <c r="D49" s="119"/>
      <c r="E49" s="97"/>
      <c r="F49" s="97"/>
      <c r="G49" s="97"/>
      <c r="H49" s="97"/>
      <c r="I49" s="97"/>
      <c r="J49" s="97"/>
      <c r="K49" s="97"/>
      <c r="L49" s="97"/>
      <c r="M49" s="97"/>
      <c r="N49" s="97"/>
      <c r="O49" s="97"/>
    </row>
    <row r="50" spans="1:15" ht="20.25" x14ac:dyDescent="0.25">
      <c r="A50" s="117"/>
      <c r="B50" s="117"/>
      <c r="C50" s="119"/>
      <c r="D50" s="119"/>
      <c r="E50" s="97"/>
      <c r="F50" s="97"/>
      <c r="G50" s="97"/>
      <c r="H50" s="97"/>
      <c r="I50" s="97"/>
      <c r="J50" s="97"/>
      <c r="K50" s="97"/>
      <c r="L50" s="97"/>
      <c r="M50" s="97"/>
      <c r="N50" s="97"/>
      <c r="O50" s="97"/>
    </row>
    <row r="51" spans="1:15" ht="20.25" x14ac:dyDescent="0.25">
      <c r="A51" s="117"/>
      <c r="B51" s="117"/>
      <c r="C51" s="119"/>
      <c r="D51" s="119"/>
      <c r="E51" s="97"/>
      <c r="F51" s="97"/>
      <c r="G51" s="97"/>
      <c r="H51" s="97"/>
      <c r="I51" s="97"/>
      <c r="J51" s="97"/>
      <c r="K51" s="97"/>
      <c r="L51" s="97"/>
      <c r="M51" s="97"/>
      <c r="N51" s="97"/>
      <c r="O51" s="97"/>
    </row>
    <row r="52" spans="1:15" ht="20.25" x14ac:dyDescent="0.25">
      <c r="A52" s="117"/>
      <c r="B52" s="23"/>
      <c r="C52" s="36"/>
      <c r="D52" s="36"/>
    </row>
    <row r="53" spans="1:15" ht="20.25" x14ac:dyDescent="0.25">
      <c r="A53" s="117"/>
      <c r="B53" s="23"/>
      <c r="C53" s="36"/>
      <c r="D53" s="36"/>
    </row>
    <row r="54" spans="1:15" ht="20.25" x14ac:dyDescent="0.25">
      <c r="A54" s="117"/>
      <c r="B54" s="23"/>
      <c r="C54" s="36"/>
      <c r="D54" s="36"/>
    </row>
    <row r="55" spans="1:15" ht="20.25" x14ac:dyDescent="0.25">
      <c r="A55" s="117"/>
      <c r="B55" s="23"/>
      <c r="C55" s="36"/>
      <c r="D55" s="36"/>
    </row>
    <row r="56" spans="1:15" ht="20.25" x14ac:dyDescent="0.25">
      <c r="A56" s="117"/>
      <c r="B56" s="23"/>
      <c r="C56" s="36"/>
      <c r="D56" s="36"/>
    </row>
    <row r="57" spans="1:15" ht="20.25" x14ac:dyDescent="0.25">
      <c r="A57" s="117"/>
      <c r="B57" s="23"/>
      <c r="C57" s="36"/>
      <c r="D57" s="36"/>
    </row>
    <row r="58" spans="1:15" ht="20.25" x14ac:dyDescent="0.25">
      <c r="A58" s="117"/>
      <c r="B58" s="23"/>
      <c r="C58" s="36"/>
      <c r="D58" s="36"/>
    </row>
    <row r="59" spans="1:15" ht="20.25" x14ac:dyDescent="0.25">
      <c r="A59" s="117"/>
      <c r="B59" s="23"/>
      <c r="C59" s="36"/>
      <c r="D59" s="36"/>
    </row>
    <row r="60" spans="1:15" ht="20.25" x14ac:dyDescent="0.25">
      <c r="A60" s="117"/>
      <c r="B60" s="23"/>
      <c r="C60" s="36"/>
      <c r="D60" s="36"/>
    </row>
    <row r="61" spans="1:15" ht="20.25" x14ac:dyDescent="0.25">
      <c r="A61" s="117"/>
      <c r="B61" s="23"/>
      <c r="C61" s="36"/>
      <c r="D61" s="36"/>
    </row>
    <row r="62" spans="1:15" ht="20.25" x14ac:dyDescent="0.25">
      <c r="A62" s="117"/>
      <c r="B62" s="23"/>
      <c r="C62" s="36"/>
      <c r="D62" s="36"/>
    </row>
    <row r="63" spans="1:15" ht="20.25" x14ac:dyDescent="0.25">
      <c r="A63" s="117"/>
      <c r="B63" s="23"/>
      <c r="C63" s="36"/>
      <c r="D63" s="36"/>
    </row>
    <row r="64" spans="1:15" ht="20.25" x14ac:dyDescent="0.25">
      <c r="A64" s="117"/>
      <c r="B64" s="23"/>
      <c r="C64" s="36"/>
      <c r="D64" s="36"/>
    </row>
    <row r="65" spans="1:4" ht="20.25" x14ac:dyDescent="0.25">
      <c r="A65" s="117"/>
      <c r="B65" s="23"/>
      <c r="C65" s="36"/>
      <c r="D65" s="36"/>
    </row>
    <row r="66" spans="1:4" ht="20.25" x14ac:dyDescent="0.25">
      <c r="A66" s="117"/>
      <c r="B66" s="23"/>
      <c r="C66" s="36"/>
      <c r="D66" s="36"/>
    </row>
    <row r="67" spans="1:4" ht="20.25" x14ac:dyDescent="0.25">
      <c r="A67" s="117"/>
      <c r="B67" s="23"/>
      <c r="C67" s="36"/>
      <c r="D67" s="36"/>
    </row>
    <row r="68" spans="1:4" ht="20.25" x14ac:dyDescent="0.25">
      <c r="A68" s="117"/>
      <c r="B68" s="23"/>
      <c r="C68" s="36"/>
      <c r="D68" s="36"/>
    </row>
    <row r="69" spans="1:4" ht="20.25" x14ac:dyDescent="0.25">
      <c r="A69" s="117"/>
      <c r="B69" s="23"/>
      <c r="C69" s="36"/>
      <c r="D69" s="36"/>
    </row>
    <row r="70" spans="1:4" ht="20.25" x14ac:dyDescent="0.25">
      <c r="A70" s="117"/>
      <c r="B70" s="23"/>
      <c r="C70" s="36"/>
      <c r="D70" s="36"/>
    </row>
    <row r="71" spans="1:4" ht="20.25" x14ac:dyDescent="0.25">
      <c r="A71" s="117"/>
      <c r="B71" s="23"/>
      <c r="C71" s="36"/>
      <c r="D71" s="36"/>
    </row>
    <row r="72" spans="1:4" ht="20.25" x14ac:dyDescent="0.25">
      <c r="A72" s="117"/>
      <c r="B72" s="23"/>
      <c r="C72" s="36"/>
      <c r="D72" s="36"/>
    </row>
    <row r="73" spans="1:4" ht="20.25" x14ac:dyDescent="0.25">
      <c r="A73" s="117"/>
      <c r="B73" s="23"/>
      <c r="C73" s="36"/>
      <c r="D73" s="36"/>
    </row>
    <row r="74" spans="1:4" ht="20.25" x14ac:dyDescent="0.25">
      <c r="A74" s="117"/>
      <c r="B74" s="23"/>
      <c r="C74" s="36"/>
      <c r="D74" s="36"/>
    </row>
    <row r="75" spans="1:4" ht="20.25" x14ac:dyDescent="0.25">
      <c r="A75" s="117"/>
      <c r="B75" s="23"/>
      <c r="C75" s="36"/>
      <c r="D75" s="36"/>
    </row>
    <row r="76" spans="1:4" ht="20.25" x14ac:dyDescent="0.25">
      <c r="A76" s="117"/>
      <c r="B76" s="23"/>
      <c r="C76" s="36"/>
      <c r="D76" s="36"/>
    </row>
    <row r="77" spans="1:4" ht="20.25" x14ac:dyDescent="0.25">
      <c r="A77" s="117"/>
      <c r="B77" s="23"/>
      <c r="C77" s="36"/>
      <c r="D77" s="36"/>
    </row>
    <row r="78" spans="1:4" ht="20.25" x14ac:dyDescent="0.25">
      <c r="A78" s="117"/>
      <c r="B78" s="23"/>
      <c r="C78" s="36"/>
      <c r="D78" s="36"/>
    </row>
    <row r="79" spans="1:4" ht="20.25" x14ac:dyDescent="0.25">
      <c r="A79" s="117"/>
      <c r="B79" s="23"/>
      <c r="C79" s="36"/>
      <c r="D79" s="36"/>
    </row>
    <row r="80" spans="1:4" ht="20.25" x14ac:dyDescent="0.25">
      <c r="A80" s="117"/>
      <c r="B80" s="23"/>
      <c r="C80" s="36"/>
      <c r="D80" s="36"/>
    </row>
    <row r="81" spans="1:4" ht="20.25" x14ac:dyDescent="0.25">
      <c r="A81" s="117"/>
      <c r="B81" s="23"/>
      <c r="C81" s="36"/>
      <c r="D81" s="36"/>
    </row>
    <row r="82" spans="1:4" ht="20.25" x14ac:dyDescent="0.25">
      <c r="A82" s="117"/>
      <c r="B82" s="23"/>
      <c r="C82" s="36"/>
      <c r="D82" s="36"/>
    </row>
    <row r="83" spans="1:4" ht="20.25" x14ac:dyDescent="0.25">
      <c r="A83" s="117"/>
      <c r="B83" s="23"/>
      <c r="C83" s="36"/>
      <c r="D83" s="36"/>
    </row>
    <row r="84" spans="1:4" ht="20.25" x14ac:dyDescent="0.25">
      <c r="A84" s="117"/>
      <c r="B84" s="23"/>
      <c r="C84" s="36"/>
      <c r="D84" s="36"/>
    </row>
    <row r="85" spans="1:4" ht="20.25" x14ac:dyDescent="0.25">
      <c r="A85" s="117"/>
      <c r="B85" s="23"/>
      <c r="C85" s="36"/>
      <c r="D85" s="36"/>
    </row>
    <row r="86" spans="1:4" ht="20.25" x14ac:dyDescent="0.25">
      <c r="A86" s="117"/>
      <c r="B86" s="23"/>
      <c r="C86" s="36"/>
      <c r="D86" s="36"/>
    </row>
    <row r="87" spans="1:4" ht="20.25" x14ac:dyDescent="0.25">
      <c r="A87" s="117"/>
      <c r="B87" s="23"/>
      <c r="C87" s="36"/>
      <c r="D87" s="36"/>
    </row>
    <row r="88" spans="1:4" ht="20.25" x14ac:dyDescent="0.25">
      <c r="A88" s="117"/>
      <c r="B88" s="23"/>
      <c r="C88" s="36"/>
      <c r="D88" s="36"/>
    </row>
    <row r="89" spans="1:4" ht="20.25" x14ac:dyDescent="0.25">
      <c r="A89" s="117"/>
      <c r="B89" s="23"/>
      <c r="C89" s="36"/>
      <c r="D89" s="36"/>
    </row>
    <row r="90" spans="1:4" ht="20.25" x14ac:dyDescent="0.25">
      <c r="A90" s="117"/>
      <c r="B90" s="23"/>
      <c r="C90" s="36"/>
      <c r="D90" s="36"/>
    </row>
    <row r="91" spans="1:4" ht="20.25" x14ac:dyDescent="0.25">
      <c r="A91" s="117"/>
      <c r="B91" s="23"/>
      <c r="C91" s="36"/>
      <c r="D91" s="36"/>
    </row>
    <row r="92" spans="1:4" ht="20.25" x14ac:dyDescent="0.25">
      <c r="A92" s="117"/>
      <c r="B92" s="23"/>
      <c r="C92" s="36"/>
      <c r="D92" s="36"/>
    </row>
    <row r="93" spans="1:4" ht="20.25" x14ac:dyDescent="0.25">
      <c r="A93" s="117"/>
      <c r="B93" s="23"/>
      <c r="C93" s="36"/>
      <c r="D93" s="36"/>
    </row>
    <row r="94" spans="1:4" ht="20.25" x14ac:dyDescent="0.25">
      <c r="A94" s="117"/>
      <c r="B94" s="23"/>
      <c r="C94" s="36"/>
      <c r="D94" s="36"/>
    </row>
    <row r="95" spans="1:4" ht="20.25" x14ac:dyDescent="0.25">
      <c r="A95" s="117"/>
      <c r="B95" s="23"/>
      <c r="C95" s="36"/>
      <c r="D95" s="36"/>
    </row>
    <row r="96" spans="1:4" ht="20.25" x14ac:dyDescent="0.25">
      <c r="A96" s="117"/>
      <c r="B96" s="23"/>
      <c r="C96" s="36"/>
      <c r="D96" s="36"/>
    </row>
    <row r="97" spans="1:4" ht="20.25" x14ac:dyDescent="0.25">
      <c r="A97" s="117"/>
      <c r="B97" s="23"/>
      <c r="C97" s="36"/>
      <c r="D97" s="36"/>
    </row>
    <row r="98" spans="1:4" ht="20.25" x14ac:dyDescent="0.25">
      <c r="A98" s="117"/>
      <c r="B98" s="23"/>
      <c r="C98" s="36"/>
      <c r="D98" s="36"/>
    </row>
    <row r="99" spans="1:4" ht="20.25" x14ac:dyDescent="0.25">
      <c r="A99" s="117"/>
      <c r="B99" s="23"/>
      <c r="C99" s="36"/>
      <c r="D99" s="36"/>
    </row>
    <row r="100" spans="1:4" ht="20.25" x14ac:dyDescent="0.25">
      <c r="A100" s="117"/>
      <c r="B100" s="23"/>
      <c r="C100" s="36"/>
      <c r="D100" s="36"/>
    </row>
    <row r="101" spans="1:4" ht="20.25" x14ac:dyDescent="0.25">
      <c r="A101" s="117"/>
      <c r="B101" s="23"/>
      <c r="C101" s="36"/>
      <c r="D101" s="36"/>
    </row>
    <row r="102" spans="1:4" ht="20.25" x14ac:dyDescent="0.25">
      <c r="A102" s="117"/>
      <c r="B102" s="23"/>
      <c r="C102" s="36"/>
      <c r="D102" s="36"/>
    </row>
    <row r="103" spans="1:4" ht="20.25" x14ac:dyDescent="0.25">
      <c r="A103" s="117"/>
      <c r="B103" s="23"/>
      <c r="C103" s="36"/>
      <c r="D103" s="36"/>
    </row>
    <row r="104" spans="1:4" ht="20.25" x14ac:dyDescent="0.25">
      <c r="A104" s="117"/>
      <c r="B104" s="23"/>
      <c r="C104" s="36"/>
      <c r="D104" s="36"/>
    </row>
    <row r="105" spans="1:4" ht="20.25" x14ac:dyDescent="0.25">
      <c r="A105" s="117"/>
      <c r="B105" s="23"/>
      <c r="C105" s="36"/>
      <c r="D105" s="36"/>
    </row>
    <row r="106" spans="1:4" ht="20.25" x14ac:dyDescent="0.25">
      <c r="A106" s="117"/>
      <c r="B106" s="23"/>
      <c r="C106" s="36"/>
      <c r="D106" s="36"/>
    </row>
    <row r="107" spans="1:4" ht="20.25" x14ac:dyDescent="0.25">
      <c r="A107" s="117"/>
      <c r="B107" s="23"/>
      <c r="C107" s="36"/>
      <c r="D107" s="36"/>
    </row>
    <row r="108" spans="1:4" ht="20.25" x14ac:dyDescent="0.25">
      <c r="A108" s="117"/>
      <c r="B108" s="23"/>
      <c r="C108" s="36"/>
      <c r="D108" s="36"/>
    </row>
    <row r="109" spans="1:4" ht="20.25" x14ac:dyDescent="0.25">
      <c r="A109" s="117"/>
      <c r="B109" s="23"/>
      <c r="C109" s="36"/>
      <c r="D109" s="36"/>
    </row>
    <row r="110" spans="1:4" ht="20.25" x14ac:dyDescent="0.25">
      <c r="A110" s="117"/>
      <c r="B110" s="23"/>
      <c r="C110" s="36"/>
      <c r="D110" s="36"/>
    </row>
    <row r="111" spans="1:4" ht="20.25" x14ac:dyDescent="0.25">
      <c r="A111" s="117"/>
      <c r="B111" s="23"/>
      <c r="C111" s="36"/>
      <c r="D111" s="36"/>
    </row>
    <row r="112" spans="1:4" ht="20.25" x14ac:dyDescent="0.25">
      <c r="A112" s="117"/>
      <c r="B112" s="23"/>
      <c r="C112" s="36"/>
      <c r="D112" s="36"/>
    </row>
    <row r="113" spans="1:4" ht="20.25" x14ac:dyDescent="0.25">
      <c r="A113" s="117"/>
      <c r="B113" s="23"/>
      <c r="C113" s="36"/>
      <c r="D113" s="36"/>
    </row>
    <row r="114" spans="1:4" ht="20.25" x14ac:dyDescent="0.25">
      <c r="A114" s="117"/>
      <c r="B114" s="23"/>
      <c r="C114" s="36"/>
      <c r="D114" s="36"/>
    </row>
    <row r="115" spans="1:4" ht="20.25" x14ac:dyDescent="0.25">
      <c r="A115" s="117"/>
      <c r="B115" s="23"/>
      <c r="C115" s="36"/>
      <c r="D115" s="36"/>
    </row>
    <row r="116" spans="1:4" ht="20.25" x14ac:dyDescent="0.25">
      <c r="A116" s="117"/>
      <c r="B116" s="23"/>
      <c r="C116" s="36"/>
      <c r="D116" s="36"/>
    </row>
    <row r="117" spans="1:4" ht="20.25" x14ac:dyDescent="0.25">
      <c r="A117" s="117"/>
      <c r="B117" s="23"/>
      <c r="C117" s="36"/>
      <c r="D117" s="36"/>
    </row>
    <row r="118" spans="1:4" ht="20.25" x14ac:dyDescent="0.25">
      <c r="A118" s="117"/>
      <c r="B118" s="23"/>
      <c r="C118" s="36"/>
      <c r="D118" s="36"/>
    </row>
    <row r="119" spans="1:4" ht="20.25" x14ac:dyDescent="0.25">
      <c r="A119" s="117"/>
      <c r="B119" s="23"/>
      <c r="C119" s="36"/>
      <c r="D119" s="36"/>
    </row>
    <row r="120" spans="1:4" ht="20.25" x14ac:dyDescent="0.25">
      <c r="A120" s="117"/>
      <c r="B120" s="23"/>
      <c r="C120" s="36"/>
      <c r="D120" s="36"/>
    </row>
    <row r="121" spans="1:4" ht="20.25" x14ac:dyDescent="0.25">
      <c r="A121" s="117"/>
      <c r="B121" s="23"/>
      <c r="C121" s="36"/>
      <c r="D121" s="36"/>
    </row>
    <row r="122" spans="1:4" ht="20.25" x14ac:dyDescent="0.25">
      <c r="A122" s="117"/>
      <c r="B122" s="23"/>
      <c r="C122" s="36"/>
      <c r="D122" s="36"/>
    </row>
    <row r="123" spans="1:4" ht="20.25" x14ac:dyDescent="0.25">
      <c r="A123" s="117"/>
      <c r="B123" s="23"/>
      <c r="C123" s="36"/>
      <c r="D123" s="36"/>
    </row>
    <row r="124" spans="1:4" ht="20.25" x14ac:dyDescent="0.25">
      <c r="A124" s="117"/>
      <c r="B124" s="23"/>
      <c r="C124" s="36"/>
      <c r="D124" s="36"/>
    </row>
    <row r="125" spans="1:4" ht="20.25" x14ac:dyDescent="0.25">
      <c r="A125" s="117"/>
      <c r="B125" s="23"/>
      <c r="C125" s="36"/>
      <c r="D125" s="36"/>
    </row>
    <row r="126" spans="1:4" ht="20.25" x14ac:dyDescent="0.25">
      <c r="A126" s="117"/>
      <c r="B126" s="23"/>
      <c r="C126" s="36"/>
      <c r="D126" s="36"/>
    </row>
    <row r="127" spans="1:4" ht="20.25" x14ac:dyDescent="0.25">
      <c r="A127" s="117"/>
      <c r="B127" s="23"/>
      <c r="C127" s="36"/>
      <c r="D127" s="36"/>
    </row>
    <row r="128" spans="1:4" ht="20.25" x14ac:dyDescent="0.25">
      <c r="A128" s="117"/>
      <c r="B128" s="23"/>
      <c r="C128" s="36"/>
      <c r="D128" s="36"/>
    </row>
    <row r="129" spans="1:4" ht="20.25" x14ac:dyDescent="0.25">
      <c r="A129" s="117"/>
      <c r="B129" s="23"/>
      <c r="C129" s="36"/>
      <c r="D129" s="36"/>
    </row>
    <row r="130" spans="1:4" ht="20.25" x14ac:dyDescent="0.25">
      <c r="A130" s="117"/>
      <c r="B130" s="23"/>
      <c r="C130" s="36"/>
      <c r="D130" s="36"/>
    </row>
    <row r="131" spans="1:4" ht="20.25" x14ac:dyDescent="0.25">
      <c r="A131" s="117"/>
      <c r="B131" s="23"/>
      <c r="C131" s="36"/>
      <c r="D131" s="36"/>
    </row>
    <row r="132" spans="1:4" ht="20.25" x14ac:dyDescent="0.25">
      <c r="A132" s="117"/>
      <c r="B132" s="23"/>
      <c r="C132" s="36"/>
      <c r="D132" s="36"/>
    </row>
    <row r="133" spans="1:4" ht="20.25" x14ac:dyDescent="0.25">
      <c r="A133" s="117"/>
      <c r="B133" s="23"/>
      <c r="C133" s="36"/>
      <c r="D133" s="36"/>
    </row>
    <row r="134" spans="1:4" ht="20.25" x14ac:dyDescent="0.25">
      <c r="A134" s="117"/>
      <c r="B134" s="23"/>
      <c r="C134" s="36"/>
      <c r="D134" s="36"/>
    </row>
    <row r="135" spans="1:4" ht="20.25" x14ac:dyDescent="0.25">
      <c r="A135" s="117"/>
      <c r="B135" s="23"/>
      <c r="C135" s="36"/>
      <c r="D135" s="36"/>
    </row>
    <row r="136" spans="1:4" ht="20.25" x14ac:dyDescent="0.25">
      <c r="A136" s="117"/>
      <c r="B136" s="23"/>
      <c r="C136" s="36"/>
      <c r="D136" s="36"/>
    </row>
    <row r="137" spans="1:4" ht="20.25" x14ac:dyDescent="0.25">
      <c r="A137" s="117"/>
      <c r="B137" s="23"/>
      <c r="C137" s="36"/>
      <c r="D137" s="36"/>
    </row>
    <row r="138" spans="1:4" ht="20.25" x14ac:dyDescent="0.25">
      <c r="A138" s="117"/>
      <c r="B138" s="23"/>
      <c r="C138" s="36"/>
      <c r="D138" s="36"/>
    </row>
    <row r="139" spans="1:4" ht="20.25" x14ac:dyDescent="0.25">
      <c r="A139" s="117"/>
      <c r="B139" s="23"/>
      <c r="C139" s="36"/>
      <c r="D139" s="36"/>
    </row>
    <row r="140" spans="1:4" ht="20.25" x14ac:dyDescent="0.25">
      <c r="A140" s="117"/>
      <c r="B140" s="23"/>
      <c r="C140" s="36"/>
      <c r="D140" s="36"/>
    </row>
    <row r="141" spans="1:4" ht="20.25" x14ac:dyDescent="0.25">
      <c r="A141" s="117"/>
      <c r="B141" s="23"/>
      <c r="C141" s="36"/>
      <c r="D141" s="36"/>
    </row>
    <row r="142" spans="1:4" ht="20.25" x14ac:dyDescent="0.25">
      <c r="A142" s="117"/>
      <c r="B142" s="23"/>
      <c r="C142" s="36"/>
      <c r="D142" s="36"/>
    </row>
    <row r="143" spans="1:4" ht="20.25" x14ac:dyDescent="0.25">
      <c r="A143" s="117"/>
      <c r="B143" s="23"/>
      <c r="C143" s="36"/>
      <c r="D143" s="36"/>
    </row>
    <row r="144" spans="1:4" ht="20.25" x14ac:dyDescent="0.25">
      <c r="A144" s="117"/>
      <c r="B144" s="23"/>
      <c r="C144" s="36"/>
      <c r="D144" s="36"/>
    </row>
    <row r="145" spans="1:4" ht="20.25" x14ac:dyDescent="0.25">
      <c r="A145" s="117"/>
      <c r="B145" s="23"/>
      <c r="C145" s="36"/>
      <c r="D145" s="36"/>
    </row>
    <row r="146" spans="1:4" ht="20.25" x14ac:dyDescent="0.25">
      <c r="A146" s="117"/>
      <c r="B146" s="23"/>
      <c r="C146" s="36"/>
      <c r="D146" s="36"/>
    </row>
    <row r="147" spans="1:4" ht="20.25" x14ac:dyDescent="0.25">
      <c r="A147" s="117"/>
      <c r="B147" s="23"/>
      <c r="C147" s="36"/>
      <c r="D147" s="36"/>
    </row>
    <row r="148" spans="1:4" ht="20.25" x14ac:dyDescent="0.25">
      <c r="A148" s="117"/>
      <c r="B148" s="23"/>
      <c r="C148" s="36"/>
      <c r="D148" s="36"/>
    </row>
    <row r="149" spans="1:4" ht="20.25" x14ac:dyDescent="0.25">
      <c r="A149" s="117"/>
      <c r="B149" s="23"/>
      <c r="C149" s="36"/>
      <c r="D149" s="36"/>
    </row>
    <row r="150" spans="1:4" ht="20.25" x14ac:dyDescent="0.25">
      <c r="A150" s="117"/>
      <c r="B150" s="23"/>
      <c r="C150" s="36"/>
      <c r="D150" s="36"/>
    </row>
    <row r="151" spans="1:4" ht="20.25" x14ac:dyDescent="0.25">
      <c r="A151" s="117"/>
      <c r="B151" s="23"/>
      <c r="C151" s="36"/>
      <c r="D151" s="36"/>
    </row>
    <row r="152" spans="1:4" ht="20.25" x14ac:dyDescent="0.25">
      <c r="A152" s="117"/>
      <c r="B152" s="23"/>
      <c r="C152" s="36"/>
      <c r="D152" s="36"/>
    </row>
    <row r="153" spans="1:4" ht="20.25" x14ac:dyDescent="0.25">
      <c r="A153" s="117"/>
      <c r="B153" s="23"/>
      <c r="C153" s="36"/>
      <c r="D153" s="36"/>
    </row>
    <row r="154" spans="1:4" ht="20.25" x14ac:dyDescent="0.25">
      <c r="A154" s="117"/>
      <c r="B154" s="23"/>
      <c r="C154" s="36"/>
      <c r="D154" s="36"/>
    </row>
    <row r="155" spans="1:4" ht="20.25" x14ac:dyDescent="0.25">
      <c r="A155" s="117"/>
      <c r="B155" s="23"/>
      <c r="C155" s="36"/>
      <c r="D155" s="36"/>
    </row>
    <row r="156" spans="1:4" ht="20.25" x14ac:dyDescent="0.25">
      <c r="A156" s="117"/>
      <c r="B156" s="23"/>
      <c r="C156" s="36"/>
      <c r="D156" s="36"/>
    </row>
    <row r="157" spans="1:4" ht="20.25" x14ac:dyDescent="0.25">
      <c r="A157" s="117"/>
      <c r="B157" s="23"/>
      <c r="C157" s="36"/>
      <c r="D157" s="36"/>
    </row>
    <row r="158" spans="1:4" ht="20.25" x14ac:dyDescent="0.25">
      <c r="A158" s="117"/>
      <c r="B158" s="23"/>
      <c r="C158" s="36"/>
      <c r="D158" s="36"/>
    </row>
    <row r="159" spans="1:4" ht="20.25" x14ac:dyDescent="0.25">
      <c r="A159" s="117"/>
      <c r="B159" s="23"/>
      <c r="C159" s="36"/>
      <c r="D159" s="36"/>
    </row>
    <row r="160" spans="1:4" ht="20.25" x14ac:dyDescent="0.25">
      <c r="A160" s="117"/>
      <c r="B160" s="23"/>
      <c r="C160" s="36"/>
      <c r="D160" s="36"/>
    </row>
    <row r="161" spans="1:4" ht="20.25" x14ac:dyDescent="0.25">
      <c r="A161" s="117"/>
      <c r="B161" s="23"/>
      <c r="C161" s="36"/>
      <c r="D161" s="36"/>
    </row>
    <row r="162" spans="1:4" ht="20.25" x14ac:dyDescent="0.25">
      <c r="A162" s="117"/>
      <c r="B162" s="23"/>
      <c r="C162" s="36"/>
      <c r="D162" s="36"/>
    </row>
    <row r="163" spans="1:4" ht="20.25" x14ac:dyDescent="0.25">
      <c r="A163" s="117"/>
      <c r="B163" s="23"/>
      <c r="C163" s="36"/>
      <c r="D163" s="36"/>
    </row>
    <row r="164" spans="1:4" ht="20.25" x14ac:dyDescent="0.25">
      <c r="A164" s="117"/>
      <c r="B164" s="23"/>
      <c r="C164" s="36"/>
      <c r="D164" s="36"/>
    </row>
    <row r="165" spans="1:4" ht="20.25" x14ac:dyDescent="0.25">
      <c r="A165" s="117"/>
      <c r="B165" s="23"/>
      <c r="C165" s="36"/>
      <c r="D165" s="36"/>
    </row>
    <row r="166" spans="1:4" ht="20.25" x14ac:dyDescent="0.25">
      <c r="A166" s="117"/>
      <c r="B166" s="23"/>
      <c r="C166" s="36"/>
      <c r="D166" s="36"/>
    </row>
    <row r="167" spans="1:4" ht="20.25" x14ac:dyDescent="0.25">
      <c r="A167" s="117"/>
      <c r="B167" s="23"/>
      <c r="C167" s="36"/>
      <c r="D167" s="36"/>
    </row>
    <row r="168" spans="1:4" ht="20.25" x14ac:dyDescent="0.25">
      <c r="A168" s="117"/>
      <c r="B168" s="23"/>
      <c r="C168" s="36"/>
      <c r="D168" s="36"/>
    </row>
    <row r="169" spans="1:4" ht="20.25" x14ac:dyDescent="0.25">
      <c r="A169" s="117"/>
      <c r="B169" s="23"/>
      <c r="C169" s="36"/>
      <c r="D169" s="36"/>
    </row>
    <row r="170" spans="1:4" ht="20.25" x14ac:dyDescent="0.25">
      <c r="A170" s="117"/>
      <c r="B170" s="23"/>
      <c r="C170" s="36"/>
      <c r="D170" s="36"/>
    </row>
    <row r="171" spans="1:4" ht="20.25" x14ac:dyDescent="0.25">
      <c r="A171" s="117"/>
      <c r="B171" s="23"/>
      <c r="C171" s="36"/>
      <c r="D171" s="36"/>
    </row>
    <row r="172" spans="1:4" ht="20.25" x14ac:dyDescent="0.25">
      <c r="A172" s="117"/>
      <c r="B172" s="23"/>
      <c r="C172" s="36"/>
      <c r="D172" s="36"/>
    </row>
    <row r="173" spans="1:4" ht="20.25" x14ac:dyDescent="0.25">
      <c r="A173" s="117"/>
      <c r="B173" s="23"/>
      <c r="C173" s="36"/>
      <c r="D173" s="36"/>
    </row>
    <row r="174" spans="1:4" ht="20.25" x14ac:dyDescent="0.25">
      <c r="A174" s="117"/>
      <c r="B174" s="23"/>
      <c r="C174" s="36"/>
      <c r="D174" s="36"/>
    </row>
    <row r="175" spans="1:4" ht="20.25" x14ac:dyDescent="0.25">
      <c r="A175" s="117"/>
      <c r="B175" s="23"/>
      <c r="C175" s="36"/>
      <c r="D175" s="36"/>
    </row>
    <row r="176" spans="1:4" ht="20.25" x14ac:dyDescent="0.25">
      <c r="A176" s="117"/>
      <c r="B176" s="23"/>
      <c r="C176" s="36"/>
      <c r="D176" s="36"/>
    </row>
    <row r="177" spans="1:4" ht="20.25" x14ac:dyDescent="0.25">
      <c r="A177" s="117"/>
      <c r="B177" s="23"/>
      <c r="C177" s="36"/>
      <c r="D177" s="36"/>
    </row>
    <row r="178" spans="1:4" ht="20.25" x14ac:dyDescent="0.25">
      <c r="A178" s="117"/>
      <c r="B178" s="23"/>
      <c r="C178" s="36"/>
      <c r="D178" s="36"/>
    </row>
    <row r="179" spans="1:4" ht="20.25" x14ac:dyDescent="0.25">
      <c r="A179" s="117"/>
      <c r="B179" s="23"/>
      <c r="C179" s="36"/>
      <c r="D179" s="36"/>
    </row>
    <row r="180" spans="1:4" ht="20.25" x14ac:dyDescent="0.25">
      <c r="A180" s="117"/>
      <c r="B180" s="23"/>
      <c r="C180" s="36"/>
      <c r="D180" s="36"/>
    </row>
    <row r="181" spans="1:4" ht="20.25" x14ac:dyDescent="0.25">
      <c r="A181" s="117"/>
      <c r="B181" s="23"/>
      <c r="C181" s="36"/>
      <c r="D181" s="36"/>
    </row>
    <row r="182" spans="1:4" ht="20.25" x14ac:dyDescent="0.25">
      <c r="A182" s="117"/>
      <c r="B182" s="23"/>
      <c r="C182" s="36"/>
      <c r="D182" s="36"/>
    </row>
    <row r="183" spans="1:4" ht="20.25" x14ac:dyDescent="0.25">
      <c r="A183" s="117"/>
      <c r="B183" s="23"/>
      <c r="C183" s="36"/>
      <c r="D183" s="36"/>
    </row>
    <row r="184" spans="1:4" ht="20.25" x14ac:dyDescent="0.25">
      <c r="A184" s="117"/>
      <c r="B184" s="23"/>
      <c r="C184" s="36"/>
      <c r="D184" s="36"/>
    </row>
    <row r="185" spans="1:4" ht="20.25" x14ac:dyDescent="0.25">
      <c r="A185" s="117"/>
      <c r="B185" s="23"/>
      <c r="C185" s="36"/>
      <c r="D185" s="36"/>
    </row>
    <row r="186" spans="1:4" ht="20.25" x14ac:dyDescent="0.25">
      <c r="A186" s="117"/>
      <c r="B186" s="23"/>
      <c r="C186" s="36"/>
      <c r="D186" s="36"/>
    </row>
    <row r="187" spans="1:4" ht="20.25" x14ac:dyDescent="0.25">
      <c r="A187" s="117"/>
      <c r="B187" s="23"/>
      <c r="C187" s="36"/>
      <c r="D187" s="36"/>
    </row>
    <row r="188" spans="1:4" ht="20.25" x14ac:dyDescent="0.25">
      <c r="A188" s="117"/>
      <c r="B188" s="23"/>
      <c r="C188" s="36"/>
      <c r="D188" s="36"/>
    </row>
    <row r="189" spans="1:4" ht="20.25" x14ac:dyDescent="0.25">
      <c r="A189" s="117"/>
      <c r="B189" s="23"/>
      <c r="C189" s="36"/>
      <c r="D189" s="36"/>
    </row>
    <row r="190" spans="1:4" ht="20.25" x14ac:dyDescent="0.25">
      <c r="A190" s="117"/>
      <c r="B190" s="23"/>
      <c r="C190" s="36"/>
      <c r="D190" s="36"/>
    </row>
    <row r="191" spans="1:4" ht="20.25" x14ac:dyDescent="0.25">
      <c r="A191" s="117"/>
      <c r="B191" s="23"/>
      <c r="C191" s="36"/>
      <c r="D191" s="36"/>
    </row>
    <row r="192" spans="1:4" ht="20.25" x14ac:dyDescent="0.25">
      <c r="A192" s="117"/>
      <c r="B192" s="23"/>
      <c r="C192" s="36"/>
      <c r="D192" s="36"/>
    </row>
    <row r="193" spans="1:4" ht="20.25" x14ac:dyDescent="0.25">
      <c r="A193" s="117"/>
      <c r="B193" s="23"/>
      <c r="C193" s="36"/>
      <c r="D193" s="36"/>
    </row>
    <row r="194" spans="1:4" ht="20.25" x14ac:dyDescent="0.25">
      <c r="A194" s="117"/>
      <c r="B194" s="23"/>
      <c r="C194" s="36"/>
      <c r="D194" s="36"/>
    </row>
    <row r="195" spans="1:4" ht="20.25" x14ac:dyDescent="0.25">
      <c r="A195" s="117"/>
      <c r="B195" s="23"/>
      <c r="C195" s="36"/>
      <c r="D195" s="36"/>
    </row>
    <row r="196" spans="1:4" ht="20.25" x14ac:dyDescent="0.25">
      <c r="A196" s="117"/>
      <c r="B196" s="23"/>
      <c r="C196" s="36"/>
      <c r="D196" s="36"/>
    </row>
    <row r="197" spans="1:4" ht="20.25" x14ac:dyDescent="0.25">
      <c r="A197" s="117"/>
      <c r="B197" s="23"/>
      <c r="C197" s="36"/>
      <c r="D197" s="36"/>
    </row>
    <row r="198" spans="1:4" ht="20.25" x14ac:dyDescent="0.25">
      <c r="A198" s="117"/>
      <c r="B198" s="23"/>
      <c r="C198" s="36"/>
      <c r="D198" s="36"/>
    </row>
    <row r="199" spans="1:4" ht="20.25" x14ac:dyDescent="0.25">
      <c r="A199" s="117"/>
      <c r="B199" s="23"/>
      <c r="C199" s="36"/>
      <c r="D199" s="36"/>
    </row>
    <row r="200" spans="1:4" ht="20.25" x14ac:dyDescent="0.25">
      <c r="A200" s="117"/>
      <c r="B200" s="23"/>
      <c r="C200" s="36"/>
      <c r="D200" s="36"/>
    </row>
    <row r="201" spans="1:4" ht="20.25" x14ac:dyDescent="0.25">
      <c r="A201" s="117"/>
      <c r="B201" s="23"/>
      <c r="C201" s="36"/>
      <c r="D201" s="36"/>
    </row>
    <row r="202" spans="1:4" ht="20.25" x14ac:dyDescent="0.25">
      <c r="A202" s="117"/>
      <c r="B202" s="23"/>
      <c r="C202" s="36"/>
      <c r="D202" s="36"/>
    </row>
    <row r="203" spans="1:4" ht="20.25" x14ac:dyDescent="0.25">
      <c r="A203" s="117"/>
      <c r="B203" s="23"/>
      <c r="C203" s="36"/>
      <c r="D203" s="36"/>
    </row>
    <row r="204" spans="1:4" ht="20.25" x14ac:dyDescent="0.25">
      <c r="A204" s="117"/>
      <c r="B204" s="23"/>
      <c r="C204" s="36"/>
      <c r="D204" s="36"/>
    </row>
    <row r="205" spans="1:4" ht="20.25" x14ac:dyDescent="0.25">
      <c r="A205" s="117"/>
      <c r="B205" s="23"/>
      <c r="C205" s="36"/>
      <c r="D205" s="36"/>
    </row>
    <row r="206" spans="1:4" ht="20.25" x14ac:dyDescent="0.25">
      <c r="A206" s="117"/>
      <c r="B206" s="23"/>
      <c r="C206" s="36"/>
      <c r="D206" s="36"/>
    </row>
    <row r="207" spans="1:4" ht="20.25" x14ac:dyDescent="0.25">
      <c r="A207" s="117"/>
      <c r="B207" s="23"/>
      <c r="C207" s="36"/>
      <c r="D207" s="36"/>
    </row>
    <row r="208" spans="1:4" x14ac:dyDescent="0.25">
      <c r="A208" s="97"/>
      <c r="B208" s="23"/>
      <c r="C208" s="23"/>
      <c r="D208" s="23"/>
    </row>
    <row r="209" spans="1:8" ht="20.25" x14ac:dyDescent="0.25">
      <c r="A209" s="97"/>
      <c r="B209" s="32" t="s">
        <v>88</v>
      </c>
      <c r="C209" s="32" t="s">
        <v>145</v>
      </c>
      <c r="D209" s="35" t="s">
        <v>88</v>
      </c>
      <c r="E209" s="35" t="s">
        <v>145</v>
      </c>
    </row>
    <row r="210" spans="1:8" ht="21" x14ac:dyDescent="0.35">
      <c r="A210" s="97"/>
      <c r="B210" s="33" t="s">
        <v>90</v>
      </c>
      <c r="C210" s="33"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97"/>
      <c r="B211" s="33" t="s">
        <v>90</v>
      </c>
      <c r="C211" s="33" t="s">
        <v>93</v>
      </c>
      <c r="E211" t="s">
        <v>58</v>
      </c>
      <c r="F211" t="str">
        <f t="shared" ref="F211:F221" si="0">IF(NOT(ISBLANK(D211)),D211,IF(NOT(ISBLANK(E211)),"     "&amp;E211,FALSE))</f>
        <v xml:space="preserve">     Afectación menor a 10 SMLMV .</v>
      </c>
    </row>
    <row r="212" spans="1:8" ht="21" x14ac:dyDescent="0.35">
      <c r="A212" s="97"/>
      <c r="B212" s="33" t="s">
        <v>90</v>
      </c>
      <c r="C212" s="33" t="s">
        <v>94</v>
      </c>
      <c r="E212" t="s">
        <v>93</v>
      </c>
      <c r="F212" t="str">
        <f t="shared" si="0"/>
        <v xml:space="preserve">     Entre 10 y 50 SMLMV </v>
      </c>
    </row>
    <row r="213" spans="1:8" ht="21" x14ac:dyDescent="0.35">
      <c r="A213" s="97"/>
      <c r="B213" s="33" t="s">
        <v>90</v>
      </c>
      <c r="C213" s="33" t="s">
        <v>95</v>
      </c>
      <c r="E213" t="s">
        <v>94</v>
      </c>
      <c r="F213" t="str">
        <f t="shared" si="0"/>
        <v xml:space="preserve">     Entre 50 y 100 SMLMV </v>
      </c>
    </row>
    <row r="214" spans="1:8" ht="21" x14ac:dyDescent="0.35">
      <c r="A214" s="97"/>
      <c r="B214" s="33" t="s">
        <v>90</v>
      </c>
      <c r="C214" s="33" t="s">
        <v>96</v>
      </c>
      <c r="E214" t="s">
        <v>95</v>
      </c>
      <c r="F214" t="str">
        <f t="shared" si="0"/>
        <v xml:space="preserve">     Entre 100 y 500 SMLMV </v>
      </c>
    </row>
    <row r="215" spans="1:8" ht="21" x14ac:dyDescent="0.35">
      <c r="A215" s="97"/>
      <c r="B215" s="33" t="s">
        <v>57</v>
      </c>
      <c r="C215" s="33" t="s">
        <v>97</v>
      </c>
      <c r="E215" t="s">
        <v>96</v>
      </c>
      <c r="F215" t="str">
        <f t="shared" si="0"/>
        <v xml:space="preserve">     Mayor a 500 SMLMV </v>
      </c>
    </row>
    <row r="216" spans="1:8" ht="21" x14ac:dyDescent="0.35">
      <c r="A216" s="97"/>
      <c r="B216" s="33" t="s">
        <v>57</v>
      </c>
      <c r="C216" s="33" t="s">
        <v>98</v>
      </c>
      <c r="D216" t="s">
        <v>57</v>
      </c>
      <c r="F216" t="str">
        <f t="shared" si="0"/>
        <v>Pérdida Reputacional</v>
      </c>
    </row>
    <row r="217" spans="1:8" ht="21" x14ac:dyDescent="0.35">
      <c r="A217" s="97"/>
      <c r="B217" s="33" t="s">
        <v>57</v>
      </c>
      <c r="C217" s="33" t="s">
        <v>100</v>
      </c>
      <c r="E217" t="s">
        <v>97</v>
      </c>
      <c r="F217" t="str">
        <f t="shared" si="0"/>
        <v xml:space="preserve">     El riesgo afecta la imagen de alguna área de la organización</v>
      </c>
    </row>
    <row r="218" spans="1:8" ht="21" x14ac:dyDescent="0.35">
      <c r="A218" s="97"/>
      <c r="B218" s="33" t="s">
        <v>57</v>
      </c>
      <c r="C218" s="33" t="s">
        <v>99</v>
      </c>
      <c r="E218" t="s">
        <v>98</v>
      </c>
      <c r="F218" t="str">
        <f t="shared" si="0"/>
        <v xml:space="preserve">     El riesgo afecta la imagen de la entidad internamente, de conocimiento general, nivel interno, de junta dircetiva y accionistas y/o de provedores</v>
      </c>
    </row>
    <row r="219" spans="1:8" ht="21" x14ac:dyDescent="0.35">
      <c r="A219" s="97"/>
      <c r="B219" s="33" t="s">
        <v>57</v>
      </c>
      <c r="C219" s="33" t="s">
        <v>118</v>
      </c>
      <c r="E219" t="s">
        <v>100</v>
      </c>
      <c r="F219" t="str">
        <f t="shared" si="0"/>
        <v xml:space="preserve">     El riesgo afecta la imagen de la entidad con algunos usuarios de relevancia frente al logro de los objetivos</v>
      </c>
    </row>
    <row r="220" spans="1:8" x14ac:dyDescent="0.25">
      <c r="A220" s="97"/>
      <c r="B220" s="34"/>
      <c r="C220" s="34"/>
      <c r="E220" t="s">
        <v>99</v>
      </c>
      <c r="F220" t="str">
        <f t="shared" si="0"/>
        <v xml:space="preserve">     El riesgo afecta la imagen de de la entidad con efecto publicitario sostenido a nivel de sector administrativo, nivel departamental o municipal</v>
      </c>
    </row>
    <row r="221" spans="1:8" x14ac:dyDescent="0.25">
      <c r="A221" s="97"/>
      <c r="B221" s="34" t="str" cm="1">
        <f t="array" ref="B221:B223">_xlfn.UNIQUE(Tabla1[[#All],[Criterios]])</f>
        <v>Criterios</v>
      </c>
      <c r="C221" s="34"/>
      <c r="E221" t="s">
        <v>118</v>
      </c>
      <c r="F221" t="str">
        <f t="shared" si="0"/>
        <v xml:space="preserve">     El riesgo afecta la imagen de la entidad a nivel nacional, con efecto publicitarios sostenible a nivel país</v>
      </c>
    </row>
    <row r="222" spans="1:8" x14ac:dyDescent="0.25">
      <c r="A222" s="97"/>
      <c r="B222" s="34" t="str">
        <v>Afectación Económica o presupuestal</v>
      </c>
      <c r="C222" s="34"/>
    </row>
    <row r="223" spans="1:8" x14ac:dyDescent="0.25">
      <c r="B223" s="34" t="str">
        <v>Pérdida Reputacional</v>
      </c>
      <c r="C223" s="34"/>
      <c r="F223" s="37" t="s">
        <v>147</v>
      </c>
    </row>
    <row r="224" spans="1:8" x14ac:dyDescent="0.25">
      <c r="B224" s="22"/>
      <c r="C224" s="22"/>
      <c r="F224" s="37"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zoomScale="120" workbookViewId="0">
      <selection activeCell="E5" sqref="E5"/>
    </sheetView>
  </sheetViews>
  <sheetFormatPr baseColWidth="10" defaultColWidth="14.28515625" defaultRowHeight="12.75" x14ac:dyDescent="0.2"/>
  <cols>
    <col min="1" max="2" width="14.28515625" style="102"/>
    <col min="3" max="3" width="17" style="102" customWidth="1"/>
    <col min="4" max="4" width="14.28515625" style="102"/>
    <col min="5" max="5" width="46" style="102" customWidth="1"/>
    <col min="6" max="16384" width="14.28515625" style="102"/>
  </cols>
  <sheetData>
    <row r="1" spans="2:6" ht="24" customHeight="1" thickBot="1" x14ac:dyDescent="0.25">
      <c r="B1" s="434" t="s">
        <v>78</v>
      </c>
      <c r="C1" s="435"/>
      <c r="D1" s="435"/>
      <c r="E1" s="435"/>
      <c r="F1" s="436"/>
    </row>
    <row r="2" spans="2:6" ht="16.5" thickBot="1" x14ac:dyDescent="0.3">
      <c r="B2" s="103"/>
      <c r="C2" s="103"/>
      <c r="D2" s="103"/>
      <c r="E2" s="103"/>
      <c r="F2" s="103"/>
    </row>
    <row r="3" spans="2:6" ht="16.5" thickBot="1" x14ac:dyDescent="0.25">
      <c r="B3" s="438" t="s">
        <v>64</v>
      </c>
      <c r="C3" s="439"/>
      <c r="D3" s="439"/>
      <c r="E3" s="115" t="s">
        <v>65</v>
      </c>
      <c r="F3" s="116" t="s">
        <v>66</v>
      </c>
    </row>
    <row r="4" spans="2:6" ht="31.5" x14ac:dyDescent="0.2">
      <c r="B4" s="440" t="s">
        <v>67</v>
      </c>
      <c r="C4" s="442" t="s">
        <v>13</v>
      </c>
      <c r="D4" s="104" t="s">
        <v>14</v>
      </c>
      <c r="E4" s="105" t="s">
        <v>68</v>
      </c>
      <c r="F4" s="106">
        <v>0.25</v>
      </c>
    </row>
    <row r="5" spans="2:6" ht="47.25" x14ac:dyDescent="0.2">
      <c r="B5" s="441"/>
      <c r="C5" s="443"/>
      <c r="D5" s="107" t="s">
        <v>15</v>
      </c>
      <c r="E5" s="108" t="s">
        <v>69</v>
      </c>
      <c r="F5" s="109">
        <v>0.15</v>
      </c>
    </row>
    <row r="6" spans="2:6" ht="47.25" x14ac:dyDescent="0.2">
      <c r="B6" s="441"/>
      <c r="C6" s="443"/>
      <c r="D6" s="107" t="s">
        <v>16</v>
      </c>
      <c r="E6" s="108" t="s">
        <v>70</v>
      </c>
      <c r="F6" s="109">
        <v>0.1</v>
      </c>
    </row>
    <row r="7" spans="2:6" ht="63" x14ac:dyDescent="0.2">
      <c r="B7" s="441"/>
      <c r="C7" s="443" t="s">
        <v>17</v>
      </c>
      <c r="D7" s="107" t="s">
        <v>10</v>
      </c>
      <c r="E7" s="108" t="s">
        <v>71</v>
      </c>
      <c r="F7" s="109">
        <v>0.25</v>
      </c>
    </row>
    <row r="8" spans="2:6" ht="31.5" x14ac:dyDescent="0.2">
      <c r="B8" s="441"/>
      <c r="C8" s="443"/>
      <c r="D8" s="107" t="s">
        <v>9</v>
      </c>
      <c r="E8" s="108" t="s">
        <v>72</v>
      </c>
      <c r="F8" s="109">
        <v>0.15</v>
      </c>
    </row>
    <row r="9" spans="2:6" ht="47.25" x14ac:dyDescent="0.2">
      <c r="B9" s="441" t="s">
        <v>162</v>
      </c>
      <c r="C9" s="443" t="s">
        <v>18</v>
      </c>
      <c r="D9" s="107" t="s">
        <v>19</v>
      </c>
      <c r="E9" s="108" t="s">
        <v>73</v>
      </c>
      <c r="F9" s="110" t="s">
        <v>74</v>
      </c>
    </row>
    <row r="10" spans="2:6" ht="63" x14ac:dyDescent="0.2">
      <c r="B10" s="441"/>
      <c r="C10" s="443"/>
      <c r="D10" s="107" t="s">
        <v>20</v>
      </c>
      <c r="E10" s="108" t="s">
        <v>75</v>
      </c>
      <c r="F10" s="110" t="s">
        <v>74</v>
      </c>
    </row>
    <row r="11" spans="2:6" ht="47.25" x14ac:dyDescent="0.2">
      <c r="B11" s="441"/>
      <c r="C11" s="443" t="s">
        <v>21</v>
      </c>
      <c r="D11" s="107" t="s">
        <v>22</v>
      </c>
      <c r="E11" s="108" t="s">
        <v>76</v>
      </c>
      <c r="F11" s="110" t="s">
        <v>74</v>
      </c>
    </row>
    <row r="12" spans="2:6" ht="47.25" x14ac:dyDescent="0.2">
      <c r="B12" s="441"/>
      <c r="C12" s="443"/>
      <c r="D12" s="107" t="s">
        <v>23</v>
      </c>
      <c r="E12" s="108" t="s">
        <v>77</v>
      </c>
      <c r="F12" s="110" t="s">
        <v>74</v>
      </c>
    </row>
    <row r="13" spans="2:6" ht="31.5" x14ac:dyDescent="0.2">
      <c r="B13" s="441"/>
      <c r="C13" s="443" t="s">
        <v>24</v>
      </c>
      <c r="D13" s="107" t="s">
        <v>119</v>
      </c>
      <c r="E13" s="108" t="s">
        <v>122</v>
      </c>
      <c r="F13" s="110" t="s">
        <v>74</v>
      </c>
    </row>
    <row r="14" spans="2:6" ht="32.25" thickBot="1" x14ac:dyDescent="0.25">
      <c r="B14" s="444"/>
      <c r="C14" s="445"/>
      <c r="D14" s="111" t="s">
        <v>120</v>
      </c>
      <c r="E14" s="112" t="s">
        <v>121</v>
      </c>
      <c r="F14" s="113" t="s">
        <v>74</v>
      </c>
    </row>
    <row r="15" spans="2:6" ht="49.5" customHeight="1" x14ac:dyDescent="0.2">
      <c r="B15" s="437" t="s">
        <v>159</v>
      </c>
      <c r="C15" s="437"/>
      <c r="D15" s="437"/>
      <c r="E15" s="437"/>
      <c r="F15" s="437"/>
    </row>
    <row r="16" spans="2:6" ht="27" customHeight="1" x14ac:dyDescent="0.25">
      <c r="B16" s="11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7C1CD-AEE1-41D0-B61A-9BF37CC69BC9}">
  <sheetPr>
    <tabColor theme="5" tint="-0.499984740745262"/>
  </sheetPr>
  <dimension ref="B2:M58"/>
  <sheetViews>
    <sheetView topLeftCell="B43" zoomScale="121" zoomScaleNormal="100" workbookViewId="0">
      <selection activeCell="G51" sqref="G51"/>
    </sheetView>
  </sheetViews>
  <sheetFormatPr baseColWidth="10" defaultRowHeight="15" x14ac:dyDescent="0.25"/>
  <cols>
    <col min="2" max="2" width="15.85546875" customWidth="1"/>
    <col min="3" max="3" width="45" customWidth="1"/>
    <col min="4" max="4" width="17" customWidth="1"/>
    <col min="5" max="5" width="4.140625" customWidth="1"/>
    <col min="6" max="13" width="8.28515625" style="156" customWidth="1"/>
  </cols>
  <sheetData>
    <row r="2" spans="2:13" x14ac:dyDescent="0.25">
      <c r="B2" s="155" t="s">
        <v>241</v>
      </c>
    </row>
    <row r="3" spans="2:13" ht="76.5" customHeight="1" x14ac:dyDescent="0.25">
      <c r="B3" s="446" t="s">
        <v>242</v>
      </c>
      <c r="C3" s="446"/>
      <c r="D3" s="446"/>
      <c r="E3" s="446"/>
      <c r="F3" s="446"/>
      <c r="G3" s="446"/>
      <c r="H3" s="446"/>
      <c r="I3" s="446"/>
      <c r="J3" s="446"/>
      <c r="K3"/>
      <c r="L3"/>
      <c r="M3"/>
    </row>
    <row r="20" spans="2:5" x14ac:dyDescent="0.25">
      <c r="B20" s="155" t="s">
        <v>243</v>
      </c>
    </row>
    <row r="22" spans="2:5" ht="20.25" x14ac:dyDescent="0.25">
      <c r="B22" s="447" t="s">
        <v>55</v>
      </c>
      <c r="C22" s="447"/>
      <c r="D22" s="447"/>
      <c r="E22" s="157"/>
    </row>
    <row r="23" spans="2:5" ht="21" x14ac:dyDescent="0.35">
      <c r="B23" s="158"/>
      <c r="C23" s="158"/>
      <c r="D23" s="158"/>
      <c r="E23" s="158"/>
    </row>
    <row r="24" spans="2:5" ht="20.25" x14ac:dyDescent="0.25">
      <c r="B24" s="159"/>
      <c r="C24" s="160" t="s">
        <v>52</v>
      </c>
      <c r="D24" s="160" t="s">
        <v>4</v>
      </c>
      <c r="E24" s="160"/>
    </row>
    <row r="25" spans="2:5" ht="60.75" x14ac:dyDescent="0.25">
      <c r="B25" s="161" t="s">
        <v>51</v>
      </c>
      <c r="C25" s="162" t="s">
        <v>102</v>
      </c>
      <c r="D25" s="163">
        <v>0.2</v>
      </c>
      <c r="E25" s="164"/>
    </row>
    <row r="26" spans="2:5" ht="40.5" x14ac:dyDescent="0.25">
      <c r="B26" s="165" t="s">
        <v>53</v>
      </c>
      <c r="C26" s="166" t="s">
        <v>103</v>
      </c>
      <c r="D26" s="167">
        <v>0.4</v>
      </c>
      <c r="E26" s="164"/>
    </row>
    <row r="27" spans="2:5" ht="40.5" x14ac:dyDescent="0.25">
      <c r="B27" s="168" t="s">
        <v>107</v>
      </c>
      <c r="C27" s="166" t="s">
        <v>104</v>
      </c>
      <c r="D27" s="167">
        <v>0.6</v>
      </c>
      <c r="E27" s="164"/>
    </row>
    <row r="28" spans="2:5" ht="60.75" x14ac:dyDescent="0.25">
      <c r="B28" s="169" t="s">
        <v>6</v>
      </c>
      <c r="C28" s="166" t="s">
        <v>105</v>
      </c>
      <c r="D28" s="167">
        <v>0.8</v>
      </c>
      <c r="E28" s="164"/>
    </row>
    <row r="29" spans="2:5" ht="40.5" x14ac:dyDescent="0.25">
      <c r="B29" s="170" t="s">
        <v>54</v>
      </c>
      <c r="C29" s="166" t="s">
        <v>106</v>
      </c>
      <c r="D29" s="167">
        <v>1</v>
      </c>
      <c r="E29" s="164"/>
    </row>
    <row r="31" spans="2:5" x14ac:dyDescent="0.25">
      <c r="B31" s="155" t="s">
        <v>244</v>
      </c>
    </row>
    <row r="33" spans="5:13" x14ac:dyDescent="0.25">
      <c r="E33" s="448" t="s">
        <v>245</v>
      </c>
      <c r="F33" s="450" t="s">
        <v>246</v>
      </c>
      <c r="G33" s="450"/>
      <c r="H33" s="450" t="s">
        <v>247</v>
      </c>
      <c r="I33" s="450"/>
      <c r="J33" s="450" t="s">
        <v>248</v>
      </c>
      <c r="K33" s="450"/>
      <c r="L33" s="450" t="s">
        <v>249</v>
      </c>
      <c r="M33" s="450"/>
    </row>
    <row r="34" spans="5:13" x14ac:dyDescent="0.25">
      <c r="E34" s="449"/>
      <c r="F34" s="171" t="s">
        <v>250</v>
      </c>
      <c r="G34" s="171" t="s">
        <v>251</v>
      </c>
      <c r="H34" s="171" t="s">
        <v>250</v>
      </c>
      <c r="I34" s="171" t="s">
        <v>251</v>
      </c>
      <c r="J34" s="171" t="s">
        <v>250</v>
      </c>
      <c r="K34" s="171" t="s">
        <v>251</v>
      </c>
      <c r="L34" s="171" t="s">
        <v>250</v>
      </c>
      <c r="M34" s="171" t="s">
        <v>251</v>
      </c>
    </row>
    <row r="35" spans="5:13" ht="18.75" customHeight="1" x14ac:dyDescent="0.25">
      <c r="E35" s="172">
        <v>1</v>
      </c>
      <c r="F35" s="173" t="s">
        <v>252</v>
      </c>
      <c r="G35" s="173"/>
      <c r="H35" s="173"/>
      <c r="I35" s="173"/>
      <c r="J35" s="173"/>
      <c r="K35" s="173"/>
      <c r="L35" s="173"/>
      <c r="M35" s="173"/>
    </row>
    <row r="36" spans="5:13" ht="18.75" customHeight="1" x14ac:dyDescent="0.25">
      <c r="E36" s="172">
        <v>2</v>
      </c>
      <c r="F36" s="173" t="s">
        <v>252</v>
      </c>
      <c r="G36" s="173"/>
      <c r="H36" s="173"/>
      <c r="I36" s="173"/>
      <c r="J36" s="173"/>
      <c r="K36" s="173"/>
      <c r="L36" s="173"/>
      <c r="M36" s="173"/>
    </row>
    <row r="37" spans="5:13" ht="18.75" customHeight="1" x14ac:dyDescent="0.25">
      <c r="E37" s="172">
        <v>3</v>
      </c>
      <c r="F37" s="173"/>
      <c r="G37" s="173" t="s">
        <v>252</v>
      </c>
      <c r="H37" s="173"/>
      <c r="I37" s="173"/>
      <c r="J37" s="173"/>
      <c r="K37" s="173"/>
      <c r="L37" s="173"/>
      <c r="M37" s="173"/>
    </row>
    <row r="38" spans="5:13" ht="18.75" customHeight="1" x14ac:dyDescent="0.25">
      <c r="E38" s="172">
        <v>4</v>
      </c>
      <c r="F38" s="173"/>
      <c r="G38" s="173" t="s">
        <v>252</v>
      </c>
      <c r="H38" s="173"/>
      <c r="I38" s="173"/>
      <c r="J38" s="173"/>
      <c r="K38" s="173"/>
      <c r="L38" s="173"/>
      <c r="M38" s="173"/>
    </row>
    <row r="39" spans="5:13" ht="18.75" customHeight="1" x14ac:dyDescent="0.25">
      <c r="E39" s="172">
        <v>5</v>
      </c>
      <c r="F39" s="173" t="s">
        <v>252</v>
      </c>
      <c r="G39" s="173"/>
      <c r="H39" s="173"/>
      <c r="I39" s="173"/>
      <c r="J39" s="173"/>
      <c r="K39" s="173"/>
      <c r="L39" s="173"/>
      <c r="M39" s="173"/>
    </row>
    <row r="40" spans="5:13" ht="18.75" customHeight="1" x14ac:dyDescent="0.25">
      <c r="E40" s="172">
        <v>6</v>
      </c>
      <c r="F40" s="173" t="s">
        <v>252</v>
      </c>
      <c r="G40" s="173"/>
      <c r="H40" s="173"/>
      <c r="I40" s="173"/>
      <c r="J40" s="173"/>
      <c r="K40" s="173"/>
      <c r="L40" s="173"/>
      <c r="M40" s="173"/>
    </row>
    <row r="41" spans="5:13" ht="17.25" customHeight="1" x14ac:dyDescent="0.25">
      <c r="E41" s="172">
        <v>7</v>
      </c>
      <c r="F41" s="173"/>
      <c r="G41" s="173" t="s">
        <v>252</v>
      </c>
      <c r="H41" s="173"/>
      <c r="I41" s="173"/>
      <c r="J41" s="173"/>
      <c r="K41" s="173"/>
      <c r="L41" s="173"/>
      <c r="M41" s="173"/>
    </row>
    <row r="42" spans="5:13" ht="27.75" customHeight="1" x14ac:dyDescent="0.25">
      <c r="E42" s="172">
        <v>8</v>
      </c>
      <c r="F42" s="173" t="s">
        <v>252</v>
      </c>
      <c r="G42" s="173"/>
      <c r="H42" s="173"/>
      <c r="I42" s="173"/>
      <c r="J42" s="173"/>
      <c r="K42" s="173"/>
      <c r="L42" s="173"/>
      <c r="M42" s="173"/>
    </row>
    <row r="43" spans="5:13" ht="18.75" customHeight="1" x14ac:dyDescent="0.25">
      <c r="E43" s="172">
        <v>9</v>
      </c>
      <c r="F43" s="173" t="s">
        <v>252</v>
      </c>
      <c r="G43" s="173"/>
      <c r="H43" s="173"/>
      <c r="I43" s="173"/>
      <c r="J43" s="173"/>
      <c r="K43" s="173"/>
      <c r="L43" s="173"/>
      <c r="M43" s="173"/>
    </row>
    <row r="44" spans="5:13" ht="18.75" customHeight="1" x14ac:dyDescent="0.25">
      <c r="E44" s="172">
        <v>10</v>
      </c>
      <c r="F44" s="173"/>
      <c r="G44" s="173" t="s">
        <v>252</v>
      </c>
      <c r="H44" s="173"/>
      <c r="I44" s="173"/>
      <c r="J44" s="173"/>
      <c r="K44" s="173"/>
      <c r="L44" s="173"/>
      <c r="M44" s="173"/>
    </row>
    <row r="45" spans="5:13" ht="17.25" customHeight="1" x14ac:dyDescent="0.25">
      <c r="E45" s="172">
        <v>11</v>
      </c>
      <c r="F45" s="173" t="s">
        <v>252</v>
      </c>
      <c r="G45" s="173"/>
      <c r="H45" s="173"/>
      <c r="I45" s="173"/>
      <c r="J45" s="173"/>
      <c r="K45" s="173"/>
      <c r="L45" s="173"/>
      <c r="M45" s="173"/>
    </row>
    <row r="46" spans="5:13" ht="18.75" customHeight="1" x14ac:dyDescent="0.25">
      <c r="E46" s="172">
        <v>12</v>
      </c>
      <c r="F46" s="173" t="s">
        <v>252</v>
      </c>
      <c r="G46" s="173"/>
      <c r="H46" s="173"/>
      <c r="I46" s="173"/>
      <c r="J46" s="173"/>
      <c r="K46" s="173"/>
      <c r="L46" s="173"/>
      <c r="M46" s="173"/>
    </row>
    <row r="47" spans="5:13" ht="18.75" customHeight="1" x14ac:dyDescent="0.25">
      <c r="E47" s="172">
        <v>13</v>
      </c>
      <c r="F47" s="173" t="s">
        <v>252</v>
      </c>
      <c r="G47" s="173"/>
      <c r="H47" s="173"/>
      <c r="I47" s="173"/>
      <c r="J47" s="173"/>
      <c r="K47" s="173"/>
      <c r="L47" s="173"/>
      <c r="M47" s="173"/>
    </row>
    <row r="48" spans="5:13" ht="18.75" customHeight="1" x14ac:dyDescent="0.25">
      <c r="E48" s="172">
        <v>14</v>
      </c>
      <c r="F48" s="173"/>
      <c r="G48" s="173" t="s">
        <v>252</v>
      </c>
      <c r="H48" s="173"/>
      <c r="I48" s="173"/>
      <c r="J48" s="173"/>
      <c r="K48" s="173"/>
      <c r="L48" s="173"/>
      <c r="M48" s="173"/>
    </row>
    <row r="49" spans="5:13" ht="18.75" customHeight="1" x14ac:dyDescent="0.25">
      <c r="E49" s="172">
        <v>15</v>
      </c>
      <c r="F49" s="173" t="s">
        <v>252</v>
      </c>
      <c r="G49" s="173"/>
      <c r="H49" s="173"/>
      <c r="I49" s="173"/>
      <c r="J49" s="173"/>
      <c r="K49" s="173"/>
      <c r="L49" s="173"/>
      <c r="M49" s="173"/>
    </row>
    <row r="50" spans="5:13" ht="18" customHeight="1" x14ac:dyDescent="0.25">
      <c r="E50" s="172">
        <v>16</v>
      </c>
      <c r="F50" s="173" t="s">
        <v>252</v>
      </c>
      <c r="G50" s="173"/>
      <c r="H50" s="173"/>
      <c r="I50" s="173"/>
      <c r="J50" s="173"/>
      <c r="K50" s="173"/>
      <c r="L50" s="173"/>
      <c r="M50" s="173"/>
    </row>
    <row r="51" spans="5:13" ht="18.75" customHeight="1" x14ac:dyDescent="0.25">
      <c r="E51" s="172">
        <v>17</v>
      </c>
      <c r="F51" s="173"/>
      <c r="G51" s="173" t="s">
        <v>252</v>
      </c>
      <c r="H51" s="173"/>
      <c r="I51" s="173"/>
      <c r="J51" s="173"/>
      <c r="K51" s="173"/>
      <c r="L51" s="173"/>
      <c r="M51" s="173"/>
    </row>
    <row r="52" spans="5:13" ht="18.75" customHeight="1" x14ac:dyDescent="0.25">
      <c r="E52" s="172">
        <v>18</v>
      </c>
      <c r="F52" s="173"/>
      <c r="G52" s="173" t="s">
        <v>252</v>
      </c>
      <c r="H52" s="173"/>
      <c r="I52" s="173"/>
      <c r="J52" s="173"/>
      <c r="K52" s="173"/>
      <c r="L52" s="173"/>
      <c r="M52" s="173"/>
    </row>
    <row r="53" spans="5:13" ht="18.75" customHeight="1" x14ac:dyDescent="0.25">
      <c r="E53" s="172">
        <v>19</v>
      </c>
      <c r="F53" s="173"/>
      <c r="G53" s="173" t="s">
        <v>252</v>
      </c>
      <c r="H53" s="173"/>
      <c r="I53" s="173"/>
      <c r="J53" s="173"/>
      <c r="K53" s="173"/>
      <c r="L53" s="173"/>
      <c r="M53" s="173"/>
    </row>
    <row r="54" spans="5:13" ht="48.75" customHeight="1" x14ac:dyDescent="0.25">
      <c r="F54" s="174">
        <f>COUNTIF(F35:F53,"X")</f>
        <v>11</v>
      </c>
      <c r="G54" s="174"/>
      <c r="H54" s="174">
        <f>COUNTIF(H35:H53,"X")</f>
        <v>0</v>
      </c>
      <c r="I54" s="174"/>
      <c r="J54" s="174">
        <f>COUNTIF(J35:J53,"X")</f>
        <v>0</v>
      </c>
      <c r="K54" s="174"/>
      <c r="L54" s="174">
        <f>COUNTIF(L35:L53,"X")</f>
        <v>0</v>
      </c>
      <c r="M54" s="173"/>
    </row>
    <row r="55" spans="5:13" ht="18.75" customHeight="1" x14ac:dyDescent="0.25">
      <c r="F55" s="451" t="str">
        <f>IF(F54&gt;=12,"Catastrófico",IF(F54&gt;=6,"Mayor","Moderado"))</f>
        <v>Mayor</v>
      </c>
      <c r="G55" s="451"/>
      <c r="H55" s="451" t="str">
        <f>IF(H54&gt;=12,"Catastrófico",IF(H54&gt;=6,"Mayor","Moderado"))</f>
        <v>Moderado</v>
      </c>
      <c r="I55" s="451"/>
      <c r="J55" s="451" t="str">
        <f>IF(J54&gt;=12,"Catastrófico",IF(J54&gt;=6,"Mayor","Moderado"))</f>
        <v>Moderado</v>
      </c>
      <c r="K55" s="451"/>
      <c r="L55" s="451" t="str">
        <f>IF(L54&gt;=12,"Catastrófico",IF(L54&gt;=6,"Mayor","Moderado"))</f>
        <v>Moderado</v>
      </c>
      <c r="M55" s="451"/>
    </row>
    <row r="56" spans="5:13" ht="18.75" customHeight="1" x14ac:dyDescent="0.25"/>
    <row r="57" spans="5:13" ht="18.75" customHeight="1" x14ac:dyDescent="0.25"/>
    <row r="58" spans="5:13" ht="18.75" customHeight="1" x14ac:dyDescent="0.25"/>
  </sheetData>
  <mergeCells count="11">
    <mergeCell ref="L33:M33"/>
    <mergeCell ref="F55:G55"/>
    <mergeCell ref="H55:I55"/>
    <mergeCell ref="J55:K55"/>
    <mergeCell ref="L55:M55"/>
    <mergeCell ref="B3:J3"/>
    <mergeCell ref="B22:D22"/>
    <mergeCell ref="E33:E34"/>
    <mergeCell ref="F33:G33"/>
    <mergeCell ref="H33:I33"/>
    <mergeCell ref="J33:K33"/>
  </mergeCells>
  <conditionalFormatting sqref="F55:G55">
    <cfRule type="containsText" dxfId="11" priority="10" operator="containsText" text="Catastrófico">
      <formula>NOT(ISERROR(SEARCH("Catastrófico",F55)))</formula>
    </cfRule>
    <cfRule type="containsText" dxfId="10" priority="11" operator="containsText" text="Mayor">
      <formula>NOT(ISERROR(SEARCH("Mayor",F55)))</formula>
    </cfRule>
    <cfRule type="containsText" dxfId="9" priority="12" operator="containsText" text="Moderado">
      <formula>NOT(ISERROR(SEARCH("Moderado",F55)))</formula>
    </cfRule>
  </conditionalFormatting>
  <conditionalFormatting sqref="H55:I55">
    <cfRule type="containsText" dxfId="8" priority="7" operator="containsText" text="Catastrófico">
      <formula>NOT(ISERROR(SEARCH("Catastrófico",H55)))</formula>
    </cfRule>
    <cfRule type="containsText" dxfId="7" priority="8" operator="containsText" text="Mayor">
      <formula>NOT(ISERROR(SEARCH("Mayor",H55)))</formula>
    </cfRule>
    <cfRule type="containsText" dxfId="6" priority="9" operator="containsText" text="Moderado">
      <formula>NOT(ISERROR(SEARCH("Moderado",H55)))</formula>
    </cfRule>
  </conditionalFormatting>
  <conditionalFormatting sqref="J55:K55">
    <cfRule type="containsText" dxfId="5" priority="4" operator="containsText" text="Catastrófico">
      <formula>NOT(ISERROR(SEARCH("Catastrófico",J55)))</formula>
    </cfRule>
    <cfRule type="containsText" dxfId="4" priority="5" operator="containsText" text="Mayor">
      <formula>NOT(ISERROR(SEARCH("Mayor",J55)))</formula>
    </cfRule>
    <cfRule type="containsText" dxfId="3" priority="6" operator="containsText" text="Moderado">
      <formula>NOT(ISERROR(SEARCH("Moderado",J55)))</formula>
    </cfRule>
  </conditionalFormatting>
  <conditionalFormatting sqref="L55:M55">
    <cfRule type="containsText" dxfId="2" priority="1" operator="containsText" text="Catastrófico">
      <formula>NOT(ISERROR(SEARCH("Catastrófico",L55)))</formula>
    </cfRule>
    <cfRule type="containsText" dxfId="1" priority="2" operator="containsText" text="Mayor">
      <formula>NOT(ISERROR(SEARCH("Mayor",L55)))</formula>
    </cfRule>
    <cfRule type="containsText" dxfId="0" priority="3" operator="containsText" text="Moderado">
      <formula>NOT(ISERROR(SEARCH("Moderado",L55)))</formula>
    </cfRule>
  </conditionalFormatting>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3413008963DB4B9A37808803AAB666" ma:contentTypeVersion="9" ma:contentTypeDescription="Crear nuevo documento." ma:contentTypeScope="" ma:versionID="bfcd483f231fa430cb0ce46ec2b9ff85">
  <xsd:schema xmlns:xsd="http://www.w3.org/2001/XMLSchema" xmlns:xs="http://www.w3.org/2001/XMLSchema" xmlns:p="http://schemas.microsoft.com/office/2006/metadata/properties" xmlns:ns3="43966e50-1f6e-4c6a-b14b-a4b175e90756" xmlns:ns4="c63905f3-b726-4883-af97-24b7200ebac5" targetNamespace="http://schemas.microsoft.com/office/2006/metadata/properties" ma:root="true" ma:fieldsID="60dcdf9b227e037a18cc54ac65d11878" ns3:_="" ns4:_="">
    <xsd:import namespace="43966e50-1f6e-4c6a-b14b-a4b175e90756"/>
    <xsd:import namespace="c63905f3-b726-4883-af97-24b7200ebac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966e50-1f6e-4c6a-b14b-a4b175e9075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3905f3-b726-4883-af97-24b7200ebac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EA9684-B050-4F7B-B613-DF9BE2E81236}">
  <ds:schemaRefs>
    <ds:schemaRef ds:uri="http://schemas.microsoft.com/sharepoint/v3/contenttype/forms"/>
  </ds:schemaRefs>
</ds:datastoreItem>
</file>

<file path=customXml/itemProps2.xml><?xml version="1.0" encoding="utf-8"?>
<ds:datastoreItem xmlns:ds="http://schemas.openxmlformats.org/officeDocument/2006/customXml" ds:itemID="{0548AD94-6F06-4E8D-8ED5-36BCC2A1C9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966e50-1f6e-4c6a-b14b-a4b175e90756"/>
    <ds:schemaRef ds:uri="c63905f3-b726-4883-af97-24b7200eb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252D6E-148B-450A-B866-FEB389C7C83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3966e50-1f6e-4c6a-b14b-a4b175e90756"/>
    <ds:schemaRef ds:uri="http://purl.org/dc/elements/1.1/"/>
    <ds:schemaRef ds:uri="http://schemas.microsoft.com/office/2006/metadata/properties"/>
    <ds:schemaRef ds:uri="c63905f3-b726-4883-af97-24b7200eba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Intructivo</vt:lpstr>
      <vt:lpstr>Mapa final</vt:lpstr>
      <vt:lpstr>Seguimiento</vt:lpstr>
      <vt:lpstr>Matriz Calor Inherente</vt:lpstr>
      <vt:lpstr>Matriz Calor Residual</vt:lpstr>
      <vt:lpstr>Tabla probabilidad</vt:lpstr>
      <vt:lpstr>Tabla Impacto</vt:lpstr>
      <vt:lpstr>Tabla Valoración controles</vt:lpstr>
      <vt:lpstr>Criterios Riesgos de Corrupción</vt:lpstr>
      <vt:lpstr>Opciones Tratamiento</vt:lpstr>
      <vt:lpstr>Hoja1</vt:lpstr>
      <vt:lpstr>'Mapa final'!Área_de_impresión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Gomez Gomez</cp:lastModifiedBy>
  <cp:lastPrinted>2023-07-17T20:51:44Z</cp:lastPrinted>
  <dcterms:created xsi:type="dcterms:W3CDTF">2020-03-24T23:12:47Z</dcterms:created>
  <dcterms:modified xsi:type="dcterms:W3CDTF">2023-08-23T20:05:33Z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0x010100993413008963DB4B9A37808803AAB666</vt:lpwstr>
  </property>
</Properties>
</file>