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avid.giraldo\Desktop\"/>
    </mc:Choice>
  </mc:AlternateContent>
  <xr:revisionPtr revIDLastSave="0" documentId="13_ncr:1_{D20E9C6D-0BC6-4B89-81A5-A25CD2AF93D6}" xr6:coauthVersionLast="47" xr6:coauthVersionMax="47" xr10:uidLastSave="{00000000-0000-0000-0000-000000000000}"/>
  <bookViews>
    <workbookView xWindow="90" yWindow="0" windowWidth="27000" windowHeight="14610" xr2:uid="{733D5F49-D904-402E-BE8E-0ADB8D9604C2}"/>
  </bookViews>
  <sheets>
    <sheet name="DEP-FT-36 final(sin observ publ" sheetId="23" r:id="rId1"/>
  </sheets>
  <definedNames>
    <definedName name="_xlnm._FilterDatabase" localSheetId="0" hidden="1">'DEP-FT-36 final(sin observ publ'!$A$5:$CL$80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L71" i="23" l="1"/>
  <c r="CK71" i="23"/>
  <c r="BT71" i="23"/>
  <c r="CK70" i="23"/>
  <c r="CL70" i="23" s="1"/>
  <c r="BX70" i="23"/>
  <c r="BW70" i="23"/>
  <c r="BV70" i="23"/>
  <c r="BU70" i="23"/>
  <c r="AZ70" i="23"/>
  <c r="AY70" i="23"/>
  <c r="AX70" i="23"/>
  <c r="AW70" i="23"/>
  <c r="BT69" i="23"/>
  <c r="BS69" i="23"/>
  <c r="BN69" i="23"/>
  <c r="BM69" i="23"/>
  <c r="AO69" i="23"/>
  <c r="AN69" i="23"/>
  <c r="BT68" i="23"/>
  <c r="BS68" i="23"/>
  <c r="CK68" i="23" s="1"/>
  <c r="CL68" i="23" s="1"/>
  <c r="AV68" i="23"/>
  <c r="AU68" i="23"/>
  <c r="AN68" i="23"/>
  <c r="BT67" i="23"/>
  <c r="BS67" i="23"/>
  <c r="CL67" i="23" s="1"/>
  <c r="BN67" i="23"/>
  <c r="BM67" i="23"/>
  <c r="AV67" i="23"/>
  <c r="AU67" i="23"/>
  <c r="AP67" i="23"/>
  <c r="AO67" i="23"/>
  <c r="BT66" i="23"/>
  <c r="BS66" i="23"/>
  <c r="BN66" i="23"/>
  <c r="BM66" i="23"/>
  <c r="AV66" i="23"/>
  <c r="AU66" i="23"/>
  <c r="AP66" i="23"/>
  <c r="AO66" i="23"/>
  <c r="BT65" i="23"/>
  <c r="BS65" i="23"/>
  <c r="CL65" i="23" s="1"/>
  <c r="BN65" i="23"/>
  <c r="BM65" i="23"/>
  <c r="AV65" i="23"/>
  <c r="AU65" i="23"/>
  <c r="AP65" i="23"/>
  <c r="AO65" i="23"/>
  <c r="BT64" i="23"/>
  <c r="BS64" i="23"/>
  <c r="BN64" i="23"/>
  <c r="BM64" i="23"/>
  <c r="AV64" i="23"/>
  <c r="AU64" i="23"/>
  <c r="AP64" i="23"/>
  <c r="AO64" i="23"/>
  <c r="BT63" i="23"/>
  <c r="BS63" i="23"/>
  <c r="CK63" i="23" s="1"/>
  <c r="AV63" i="23"/>
  <c r="AU63" i="23"/>
  <c r="BT62" i="23"/>
  <c r="BS62" i="23"/>
  <c r="BN62" i="23"/>
  <c r="BM62" i="23"/>
  <c r="AV62" i="23"/>
  <c r="AU62" i="23"/>
  <c r="AP62" i="23"/>
  <c r="AO62" i="23"/>
  <c r="BT61" i="23"/>
  <c r="BS61" i="23"/>
  <c r="CL61" i="23" s="1"/>
  <c r="BN61" i="23"/>
  <c r="BM61" i="23"/>
  <c r="AV61" i="23"/>
  <c r="AU61" i="23"/>
  <c r="AP61" i="23"/>
  <c r="AO61" i="23"/>
  <c r="CK60" i="23"/>
  <c r="CL60" i="23" s="1"/>
  <c r="BT60" i="23"/>
  <c r="BN60" i="23"/>
  <c r="AV60" i="23"/>
  <c r="AU60" i="23"/>
  <c r="AP60" i="23"/>
  <c r="AO60" i="23"/>
  <c r="BT58" i="23"/>
  <c r="BS58" i="23"/>
  <c r="BN58" i="23"/>
  <c r="BM58" i="23"/>
  <c r="AV58" i="23"/>
  <c r="AU58" i="23"/>
  <c r="AP58" i="23"/>
  <c r="AO58" i="23"/>
  <c r="BT57" i="23"/>
  <c r="BS57" i="23"/>
  <c r="CL57" i="23" s="1"/>
  <c r="BN57" i="23"/>
  <c r="BM57" i="23"/>
  <c r="AV57" i="23"/>
  <c r="AU57" i="23"/>
  <c r="AP57" i="23"/>
  <c r="AO57" i="23"/>
  <c r="BT56" i="23"/>
  <c r="BS56" i="23"/>
  <c r="BN56" i="23"/>
  <c r="BM56" i="23"/>
  <c r="AV56" i="23"/>
  <c r="AU56" i="23"/>
  <c r="AP56" i="23"/>
  <c r="AO56" i="23"/>
  <c r="BT55" i="23"/>
  <c r="BS55" i="23"/>
  <c r="BN55" i="23"/>
  <c r="BM55" i="23"/>
  <c r="AV55" i="23"/>
  <c r="AU55" i="23"/>
  <c r="AP55" i="23"/>
  <c r="AO55" i="23"/>
  <c r="BT54" i="23"/>
  <c r="BS54" i="23"/>
  <c r="CK54" i="23" s="1"/>
  <c r="CL54" i="23" s="1"/>
  <c r="AV54" i="23"/>
  <c r="AU54" i="23"/>
  <c r="BT53" i="23"/>
  <c r="BS53" i="23"/>
  <c r="CK53" i="23" s="1"/>
  <c r="CL53" i="23" s="1"/>
  <c r="BN53" i="23"/>
  <c r="AV53" i="23"/>
  <c r="AU53" i="23"/>
  <c r="AP53" i="23"/>
  <c r="CL52" i="23"/>
  <c r="CK52" i="23"/>
  <c r="BT52" i="23"/>
  <c r="BN52" i="23"/>
  <c r="AV52" i="23"/>
  <c r="AP52" i="23"/>
  <c r="BT51" i="23"/>
  <c r="BS51" i="23"/>
  <c r="CK51" i="23" s="1"/>
  <c r="BN51" i="23"/>
  <c r="AV51" i="23"/>
  <c r="AU51" i="23"/>
  <c r="AP51" i="23"/>
  <c r="AN51" i="23"/>
  <c r="CK50" i="23"/>
  <c r="BT50" i="23"/>
  <c r="BN50" i="23"/>
  <c r="AV50" i="23"/>
  <c r="AP50" i="23"/>
  <c r="AN50" i="23"/>
  <c r="BT49" i="23"/>
  <c r="BS49" i="23"/>
  <c r="CK49" i="23" s="1"/>
  <c r="CL49" i="23" s="1"/>
  <c r="AV49" i="23"/>
  <c r="AU49" i="23"/>
  <c r="BT45" i="23"/>
  <c r="BS45" i="23"/>
  <c r="BN45" i="23"/>
  <c r="BM45" i="23"/>
  <c r="AV45" i="23"/>
  <c r="AU45" i="23"/>
  <c r="AP45" i="23"/>
  <c r="AO45" i="23"/>
  <c r="BT43" i="23"/>
  <c r="BS43" i="23"/>
  <c r="BN43" i="23"/>
  <c r="BM43" i="23"/>
  <c r="AV43" i="23"/>
  <c r="AU43" i="23"/>
  <c r="AP43" i="23"/>
  <c r="AO43" i="23"/>
  <c r="BT42" i="23"/>
  <c r="BS42" i="23"/>
  <c r="BN42" i="23"/>
  <c r="BM42" i="23"/>
  <c r="AV42" i="23"/>
  <c r="AU42" i="23"/>
  <c r="AP42" i="23"/>
  <c r="AO42" i="23"/>
  <c r="BT41" i="23"/>
  <c r="BS41" i="23"/>
  <c r="BN41" i="23"/>
  <c r="BM41" i="23"/>
  <c r="AV41" i="23"/>
  <c r="AU41" i="23"/>
  <c r="AP41" i="23"/>
  <c r="AO41" i="23"/>
  <c r="BX40" i="23"/>
  <c r="BW40" i="23"/>
  <c r="BV40" i="23"/>
  <c r="BU40" i="23"/>
  <c r="BS40" i="23"/>
  <c r="BR40" i="23"/>
  <c r="BQ40" i="23"/>
  <c r="BP40" i="23"/>
  <c r="BO40" i="23"/>
  <c r="BM40" i="23"/>
  <c r="AZ40" i="23"/>
  <c r="AY40" i="23"/>
  <c r="AX40" i="23"/>
  <c r="AW40" i="23"/>
  <c r="AU40" i="23"/>
  <c r="AT40" i="23"/>
  <c r="AS40" i="23"/>
  <c r="AR40" i="23"/>
  <c r="AQ40" i="23"/>
  <c r="AO40" i="23"/>
  <c r="BT39" i="23"/>
  <c r="BS39" i="23"/>
  <c r="BN39" i="23"/>
  <c r="BM39" i="23"/>
  <c r="AV39" i="23"/>
  <c r="AU39" i="23"/>
  <c r="AP39" i="23"/>
  <c r="AO39" i="23"/>
  <c r="BX38" i="23"/>
  <c r="BW38" i="23"/>
  <c r="BV38" i="23"/>
  <c r="BU38" i="23"/>
  <c r="BS38" i="23"/>
  <c r="BR38" i="23"/>
  <c r="BQ38" i="23"/>
  <c r="BP38" i="23"/>
  <c r="BO38" i="23"/>
  <c r="BM38" i="23"/>
  <c r="AZ38" i="23"/>
  <c r="AY38" i="23"/>
  <c r="AX38" i="23"/>
  <c r="AW38" i="23"/>
  <c r="AU38" i="23"/>
  <c r="AT38" i="23"/>
  <c r="AS38" i="23"/>
  <c r="AR38" i="23"/>
  <c r="AQ38" i="23"/>
  <c r="AO38" i="23"/>
  <c r="BT37" i="23"/>
  <c r="BS37" i="23"/>
  <c r="BN37" i="23"/>
  <c r="BM37" i="23"/>
  <c r="AV37" i="23"/>
  <c r="AU37" i="23"/>
  <c r="AP37" i="23"/>
  <c r="AO37" i="23"/>
  <c r="CL36" i="23"/>
  <c r="BX36" i="23"/>
  <c r="BW36" i="23"/>
  <c r="BV36" i="23"/>
  <c r="BU36" i="23"/>
  <c r="BS36" i="23"/>
  <c r="CK36" i="23" s="1"/>
  <c r="AV36" i="23"/>
  <c r="AU36" i="23"/>
  <c r="CL35" i="23"/>
  <c r="BV34" i="23"/>
  <c r="BU34" i="23"/>
  <c r="BS34" i="23"/>
  <c r="BR34" i="23"/>
  <c r="BQ34" i="23"/>
  <c r="BP34" i="23"/>
  <c r="BO34" i="23"/>
  <c r="BM34" i="23"/>
  <c r="AX34" i="23"/>
  <c r="AW34" i="23"/>
  <c r="AV34" i="23" s="1"/>
  <c r="AU34" i="23"/>
  <c r="AS34" i="23"/>
  <c r="AR34" i="23"/>
  <c r="AQ34" i="23"/>
  <c r="AO34" i="23"/>
  <c r="BX33" i="23"/>
  <c r="BW33" i="23"/>
  <c r="BV33" i="23"/>
  <c r="BU33" i="23"/>
  <c r="BS33" i="23"/>
  <c r="CK33" i="23" s="1"/>
  <c r="CL33" i="23" s="1"/>
  <c r="AV33" i="23"/>
  <c r="AU33" i="23"/>
  <c r="BX32" i="23"/>
  <c r="BW32" i="23"/>
  <c r="BV32" i="23"/>
  <c r="BU32" i="23"/>
  <c r="BS32" i="23"/>
  <c r="BN32" i="23"/>
  <c r="BM32" i="23"/>
  <c r="AV32" i="23"/>
  <c r="AU32" i="23"/>
  <c r="AP32" i="23"/>
  <c r="AO32" i="23"/>
  <c r="BT31" i="23"/>
  <c r="BS31" i="23"/>
  <c r="CK31" i="23" s="1"/>
  <c r="AV31" i="23"/>
  <c r="AU31" i="23"/>
  <c r="BT28" i="23"/>
  <c r="BS28" i="23"/>
  <c r="BN28" i="23"/>
  <c r="BM28" i="23"/>
  <c r="AX28" i="23"/>
  <c r="AW28" i="23"/>
  <c r="AU28" i="23"/>
  <c r="AP28" i="23"/>
  <c r="AO28" i="23"/>
  <c r="BX27" i="23"/>
  <c r="BW27" i="23"/>
  <c r="BV27" i="23"/>
  <c r="BU27" i="23"/>
  <c r="BS27" i="23"/>
  <c r="BN27" i="23"/>
  <c r="BM27" i="23"/>
  <c r="AV27" i="23"/>
  <c r="AU27" i="23"/>
  <c r="AP27" i="23"/>
  <c r="AO27" i="23"/>
  <c r="BX26" i="23"/>
  <c r="BW26" i="23"/>
  <c r="BV26" i="23"/>
  <c r="BU26" i="23"/>
  <c r="BS26" i="23"/>
  <c r="BR26" i="23"/>
  <c r="BQ26" i="23"/>
  <c r="BP26" i="23"/>
  <c r="BO26" i="23"/>
  <c r="BM26" i="23"/>
  <c r="AV26" i="23"/>
  <c r="AU26" i="23"/>
  <c r="AP26" i="23"/>
  <c r="AO26" i="23"/>
  <c r="BX25" i="23"/>
  <c r="BW25" i="23"/>
  <c r="BV25" i="23"/>
  <c r="BU25" i="23"/>
  <c r="BS25" i="23"/>
  <c r="BR25" i="23"/>
  <c r="BQ25" i="23"/>
  <c r="BP25" i="23"/>
  <c r="BO25" i="23"/>
  <c r="BM25" i="23"/>
  <c r="AV25" i="23"/>
  <c r="AU25" i="23"/>
  <c r="AP25" i="23"/>
  <c r="AO25" i="23"/>
  <c r="BX24" i="23"/>
  <c r="BW24" i="23"/>
  <c r="BV24" i="23"/>
  <c r="BU24" i="23"/>
  <c r="BS24" i="23"/>
  <c r="CK24" i="23" s="1"/>
  <c r="AZ24" i="23"/>
  <c r="AY24" i="23"/>
  <c r="AX24" i="23"/>
  <c r="AW24" i="23"/>
  <c r="AU24" i="23"/>
  <c r="BT23" i="23"/>
  <c r="BS23" i="23"/>
  <c r="BN23" i="23"/>
  <c r="BM23" i="23"/>
  <c r="AV23" i="23"/>
  <c r="AP23" i="23"/>
  <c r="AO23" i="23"/>
  <c r="BT22" i="23"/>
  <c r="BS22" i="23"/>
  <c r="BN22" i="23"/>
  <c r="BM22" i="23"/>
  <c r="AV22" i="23"/>
  <c r="AU22" i="23"/>
  <c r="AP22" i="23"/>
  <c r="AO22" i="23"/>
  <c r="BT21" i="23"/>
  <c r="BS21" i="23"/>
  <c r="BN21" i="23"/>
  <c r="BM21" i="23"/>
  <c r="AV21" i="23"/>
  <c r="AU21" i="23"/>
  <c r="AP21" i="23"/>
  <c r="AO21" i="23"/>
  <c r="BV20" i="23"/>
  <c r="BU20" i="23"/>
  <c r="BS20" i="23"/>
  <c r="BR20" i="23"/>
  <c r="BQ20" i="23"/>
  <c r="BP20" i="23"/>
  <c r="BO20" i="23"/>
  <c r="BM20" i="23"/>
  <c r="AX20" i="23"/>
  <c r="AW20" i="23"/>
  <c r="AU20" i="23"/>
  <c r="AS20" i="23"/>
  <c r="AR20" i="23"/>
  <c r="AQ20" i="23"/>
  <c r="AO20" i="23"/>
  <c r="CK19" i="23"/>
  <c r="CL19" i="23" s="1"/>
  <c r="BT19" i="23"/>
  <c r="BS19" i="23"/>
  <c r="BR19" i="23"/>
  <c r="BQ19" i="23"/>
  <c r="BP19" i="23"/>
  <c r="BO19" i="23"/>
  <c r="BM19" i="23"/>
  <c r="AU19" i="23"/>
  <c r="AS19" i="23"/>
  <c r="AR19" i="23"/>
  <c r="AQ19" i="23"/>
  <c r="AO19" i="23"/>
  <c r="BX18" i="23"/>
  <c r="BW18" i="23"/>
  <c r="BV18" i="23"/>
  <c r="BU18" i="23"/>
  <c r="BS18" i="23"/>
  <c r="BR18" i="23"/>
  <c r="BQ18" i="23"/>
  <c r="BP18" i="23"/>
  <c r="BO18" i="23"/>
  <c r="BM18" i="23"/>
  <c r="AY18" i="23"/>
  <c r="AX18" i="23"/>
  <c r="AW18" i="23"/>
  <c r="AU18" i="23"/>
  <c r="AS18" i="23"/>
  <c r="AR18" i="23"/>
  <c r="AQ18" i="23"/>
  <c r="AO18" i="23"/>
  <c r="BX17" i="23"/>
  <c r="BW17" i="23"/>
  <c r="BV17" i="23"/>
  <c r="BU17" i="23"/>
  <c r="BS17" i="23"/>
  <c r="BR17" i="23"/>
  <c r="BQ17" i="23"/>
  <c r="BP17" i="23"/>
  <c r="BO17" i="23"/>
  <c r="BM17" i="23"/>
  <c r="AZ17" i="23"/>
  <c r="AY17" i="23"/>
  <c r="AX17" i="23"/>
  <c r="AW17" i="23"/>
  <c r="AU17" i="23"/>
  <c r="AT17" i="23"/>
  <c r="AS17" i="23"/>
  <c r="AR17" i="23"/>
  <c r="AQ17" i="23"/>
  <c r="AO17" i="23"/>
  <c r="BT16" i="23"/>
  <c r="BS16" i="23"/>
  <c r="BN16" i="23"/>
  <c r="BM16" i="23"/>
  <c r="AV16" i="23"/>
  <c r="AU16" i="23"/>
  <c r="AP16" i="23"/>
  <c r="AO16" i="23"/>
  <c r="CL15" i="23"/>
  <c r="CK15" i="23"/>
  <c r="BT15" i="23"/>
  <c r="BT14" i="23"/>
  <c r="BS14" i="23"/>
  <c r="BN14" i="23"/>
  <c r="BM14" i="23"/>
  <c r="AV14" i="23"/>
  <c r="AP14" i="23"/>
  <c r="AO14" i="23"/>
  <c r="BT13" i="23"/>
  <c r="BS13" i="23"/>
  <c r="BN13" i="23"/>
  <c r="BM13" i="23"/>
  <c r="AV13" i="23"/>
  <c r="AP13" i="23"/>
  <c r="AO13" i="23"/>
  <c r="BT12" i="23"/>
  <c r="BS12" i="23"/>
  <c r="BN12" i="23"/>
  <c r="CK12" i="23" s="1"/>
  <c r="CL12" i="23" s="1"/>
  <c r="BM12" i="23"/>
  <c r="AV12" i="23"/>
  <c r="AU12" i="23"/>
  <c r="AP12" i="23"/>
  <c r="AO12" i="23"/>
  <c r="CK11" i="23"/>
  <c r="CL11" i="23" s="1"/>
  <c r="BT11" i="23"/>
  <c r="AV11" i="23"/>
  <c r="CL10" i="23"/>
  <c r="BX10" i="23"/>
  <c r="BW10" i="23"/>
  <c r="BV10" i="23"/>
  <c r="BU10" i="23"/>
  <c r="BS10" i="23"/>
  <c r="BR10" i="23"/>
  <c r="BQ10" i="23"/>
  <c r="BP10" i="23"/>
  <c r="BO10" i="23"/>
  <c r="BM10" i="23"/>
  <c r="AZ10" i="23"/>
  <c r="AY10" i="23"/>
  <c r="AX10" i="23"/>
  <c r="AW10" i="23"/>
  <c r="AU10" i="23"/>
  <c r="AT10" i="23"/>
  <c r="AS10" i="23"/>
  <c r="AR10" i="23"/>
  <c r="AQ10" i="23"/>
  <c r="AO10" i="23"/>
  <c r="CL9" i="23"/>
  <c r="CK9" i="23"/>
  <c r="BT9" i="23"/>
  <c r="AV9" i="23"/>
  <c r="BT8" i="23"/>
  <c r="BS8" i="23"/>
  <c r="CK8" i="23" s="1"/>
  <c r="CL8" i="23" s="1"/>
  <c r="BN8" i="23"/>
  <c r="AV8" i="23"/>
  <c r="AP8" i="23"/>
  <c r="CL7" i="23"/>
  <c r="BT7" i="23"/>
  <c r="AV7" i="23"/>
  <c r="BT6" i="23"/>
  <c r="BS6" i="23"/>
  <c r="AV6" i="23"/>
  <c r="AU6" i="23"/>
  <c r="CK57" i="23" l="1"/>
  <c r="BT10" i="23"/>
  <c r="AV18" i="23"/>
  <c r="CK22" i="23"/>
  <c r="CL22" i="23" s="1"/>
  <c r="CK18" i="23"/>
  <c r="CK42" i="23"/>
  <c r="CL42" i="23" s="1"/>
  <c r="CK66" i="23"/>
  <c r="CL66" i="23" s="1"/>
  <c r="CK67" i="23"/>
  <c r="AP18" i="23"/>
  <c r="CK56" i="23"/>
  <c r="CL56" i="23" s="1"/>
  <c r="CK58" i="23"/>
  <c r="CL58" i="23" s="1"/>
  <c r="CK43" i="23"/>
  <c r="CL43" i="23" s="1"/>
  <c r="CK17" i="23"/>
  <c r="CK69" i="23"/>
  <c r="CL69" i="23" s="1"/>
  <c r="CK20" i="23"/>
  <c r="CL20" i="23" s="1"/>
  <c r="AP20" i="23"/>
  <c r="BT20" i="23"/>
  <c r="AV70" i="23"/>
  <c r="BN17" i="23"/>
  <c r="BN40" i="23"/>
  <c r="BT17" i="23"/>
  <c r="BN10" i="23"/>
  <c r="AV17" i="23"/>
  <c r="AV10" i="23"/>
  <c r="AP17" i="23"/>
  <c r="BN19" i="23"/>
  <c r="CK23" i="23"/>
  <c r="CL23" i="23" s="1"/>
  <c r="CK41" i="23"/>
  <c r="CL41" i="23" s="1"/>
  <c r="AV24" i="23"/>
  <c r="AP10" i="23"/>
  <c r="AP19" i="23"/>
  <c r="AV20" i="23"/>
  <c r="BT34" i="23"/>
  <c r="CK21" i="23"/>
  <c r="CL21" i="23" s="1"/>
  <c r="BT33" i="23"/>
  <c r="AP38" i="23"/>
  <c r="CK62" i="23"/>
  <c r="CL62" i="23" s="1"/>
  <c r="CK64" i="23"/>
  <c r="CL64" i="23" s="1"/>
  <c r="CK10" i="23"/>
  <c r="BT18" i="23"/>
  <c r="BN26" i="23"/>
  <c r="BN18" i="23"/>
  <c r="BN20" i="23"/>
  <c r="BT24" i="23"/>
  <c r="CK27" i="23"/>
  <c r="CL27" i="23" s="1"/>
  <c r="CK28" i="23"/>
  <c r="CL28" i="23" s="1"/>
  <c r="CK32" i="23"/>
  <c r="CL32" i="23" s="1"/>
  <c r="CK37" i="23"/>
  <c r="CL37" i="23" s="1"/>
  <c r="CK40" i="23"/>
  <c r="CL40" i="23" s="1"/>
  <c r="BT40" i="23"/>
  <c r="BT70" i="23"/>
  <c r="CK25" i="23"/>
  <c r="CL25" i="23" s="1"/>
  <c r="BT25" i="23"/>
  <c r="CK38" i="23"/>
  <c r="CL38" i="23" s="1"/>
  <c r="BT38" i="23"/>
  <c r="AV40" i="23"/>
  <c r="CK13" i="23"/>
  <c r="CL13" i="23" s="1"/>
  <c r="CK16" i="23"/>
  <c r="CL16" i="23" s="1"/>
  <c r="BN25" i="23"/>
  <c r="BT27" i="23"/>
  <c r="BT32" i="23"/>
  <c r="AP34" i="23"/>
  <c r="CK34" i="23"/>
  <c r="CL34" i="23" s="1"/>
  <c r="BT36" i="23"/>
  <c r="BN38" i="23"/>
  <c r="AP40" i="23"/>
  <c r="CK45" i="23"/>
  <c r="CL45" i="23" s="1"/>
  <c r="CK61" i="23"/>
  <c r="CK14" i="23"/>
  <c r="CL14" i="23" s="1"/>
  <c r="CK26" i="23"/>
  <c r="CL26" i="23" s="1"/>
  <c r="BT26" i="23"/>
  <c r="AV28" i="23"/>
  <c r="BN34" i="23"/>
  <c r="AV38" i="23"/>
  <c r="CK39" i="23"/>
  <c r="CL39" i="23" s="1"/>
  <c r="CK55" i="23"/>
  <c r="CL55" i="23" s="1"/>
  <c r="CL24" i="23"/>
  <c r="CK6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tc={A8687E8F-0EA7-481D-AC41-3E4CC3D86EA9}</author>
  </authors>
  <commentList>
    <comment ref="AB4" authorId="0" shapeId="0" xr:uid="{B028816F-B5FA-463F-8A5F-B3A34BE8BF1D}">
      <text>
        <r>
          <rPr>
            <b/>
            <sz val="9"/>
            <color indexed="81"/>
            <rFont val="Tahoma"/>
            <family val="2"/>
          </rPr>
          <t>pamela:</t>
        </r>
        <r>
          <rPr>
            <sz val="9"/>
            <color indexed="81"/>
            <rFont val="Tahoma"/>
            <family val="2"/>
          </rPr>
          <t xml:space="preserve">
mes de la vigencia programada para ejecutar la actividad</t>
        </r>
      </text>
    </comment>
    <comment ref="BM60" authorId="1" shapeId="0" xr:uid="{A8687E8F-0EA7-481D-AC41-3E4CC3D86EA9}">
      <text>
        <t>[Comentario encadenado]
Su versión de Excel le permite leer este comentario encadenado; sin embargo, las ediciones que se apliquen se quitarán si el archivo se abre en una versión más reciente de Excel. Más información: https://go.microsoft.com/fwlink/?linkid=870924
Comentario:
    Actualizar el documento con la firma del responsable del proceso en Dirección ya sea Luis Saavedra o el señor Director (Ojo Ana María Gonzalez, sabe de este tema)</t>
      </text>
    </comment>
  </commentList>
</comments>
</file>

<file path=xl/sharedStrings.xml><?xml version="1.0" encoding="utf-8"?>
<sst xmlns="http://schemas.openxmlformats.org/spreadsheetml/2006/main" count="1161" uniqueCount="463">
  <si>
    <t>PLAN DE ACCIÓN INSTITUCIONAL</t>
  </si>
  <si>
    <t>DIRECCIONAMIENTO ESTRATÉGICO Y PLANEACIÓN</t>
  </si>
  <si>
    <t>UNIDAD NACIONAL DE PROTECCIÓN</t>
  </si>
  <si>
    <t>PLAN NACIONAL DE DESARROLLO</t>
  </si>
  <si>
    <t>PLAN ESTRATÉGICO SECTORIAL</t>
  </si>
  <si>
    <t>PLAN ESTRATÉGICO INSTITUCIONAL- PEI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</si>
  <si>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</si>
  <si>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</si>
  <si>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</si>
  <si>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</si>
  <si>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</si>
  <si>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</si>
  <si>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</si>
  <si>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</si>
  <si>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</si>
  <si>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</si>
  <si>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</si>
  <si>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</si>
  <si>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</si>
  <si>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</si>
  <si>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</si>
  <si>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</si>
  <si>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</si>
  <si>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</si>
  <si>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</si>
  <si>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</si>
  <si>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</si>
  <si>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</si>
  <si>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</si>
  <si>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</si>
  <si>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</si>
  <si>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</si>
  <si>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</si>
  <si>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</si>
  <si>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</si>
  <si>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</si>
  <si>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</si>
  <si>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</si>
  <si>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</si>
  <si>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</si>
  <si>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</si>
  <si>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</si>
  <si>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</si>
  <si>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</si>
  <si>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</si>
  <si>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</si>
  <si>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</si>
  <si>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</si>
  <si>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</si>
  <si>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</si>
  <si>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</si>
  <si>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</si>
  <si>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</si>
  <si>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</si>
  <si>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</si>
  <si>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</si>
  <si>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</si>
  <si>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</si>
  <si>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</si>
  <si>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</si>
  <si>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</si>
  <si>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</si>
  <si>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</si>
  <si>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</si>
  <si>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</si>
  <si>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</si>
  <si>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</si>
  <si>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</si>
  <si>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</si>
  <si>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</si>
  <si>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Usuarios/Beneficiarios</t>
  </si>
  <si>
    <t>Ejecución del Plan de Comunicaciones Estratégicas</t>
  </si>
  <si>
    <t>Plan de Comunicaciones</t>
  </si>
  <si>
    <t>N/A</t>
  </si>
  <si>
    <t>Porcentaje de cumplimiento del Plan de Comunicaciones Estratégicas</t>
  </si>
  <si>
    <t>Porcentaje</t>
  </si>
  <si>
    <t xml:space="preserve">((Nº de actividades realizadas del Plan de Comunicaciones Estratégicas) /(Nº de actividades programadas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</si>
  <si>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</si>
  <si>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</si>
  <si>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</si>
  <si>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</si>
  <si>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</si>
  <si>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Cuatro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</si>
  <si>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</si>
  <si>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</si>
  <si>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</si>
  <si>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</si>
  <si>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 xml:space="preserve">Concurrir a las convocatorias de las entidades gubernamentales para el desarrollo de las políticas para superación de la estigmatización y discriminación. </t>
  </si>
  <si>
    <t>Actas de asistencia Listados de asistencia</t>
  </si>
  <si>
    <t>Porcentaje de participación de las convocatorias de las entidades gubernamentales para el desarrollo de las políticas para la superación de la estigmatización y la discriminación</t>
  </si>
  <si>
    <t>((Nº de llamados de las entidades gubernamentales asistidos) / (Nº de llamados de las entidades gubernamentales programados))*100</t>
  </si>
  <si>
    <t>Coordinación y Cooperación Interinstitucional</t>
  </si>
  <si>
    <t>Realizar las campañas de reconocimiento de líderes y lideresas defensores de derechos humanos</t>
  </si>
  <si>
    <t>Cuatro campañas de reconocimiento de lideres y lideresas defensores de derechos humanos</t>
  </si>
  <si>
    <t>Número de campañas de reconocimiento de líderes y lideresas defensores de derechos humanos</t>
  </si>
  <si>
    <t>Nº de Campañas de reconocimiento de líderes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</si>
  <si>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</si>
  <si>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</si>
  <si>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</si>
  <si>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</si>
  <si>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</si>
  <si>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</si>
  <si>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</si>
  <si>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</si>
  <si>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</si>
  <si>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</si>
  <si>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</si>
  <si>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</si>
  <si>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</si>
  <si>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</si>
  <si>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</si>
  <si>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</si>
  <si>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</si>
  <si>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</si>
  <si>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</si>
  <si>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</si>
  <si>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</si>
  <si>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</si>
  <si>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3. Asistir técnicamente y en lo de sus competencias junto con las demás entidades corresponsables en la formulación y desarrollo de mecanismos o planes de prevención y protección</t>
  </si>
  <si>
    <t>Documentar las acciones emprendidas desde la UNP en la estrategia de prevención a cargo del Ministerio del Interior</t>
  </si>
  <si>
    <t>Documentos relacionados al indicador</t>
  </si>
  <si>
    <t>Porcentaje de encuentros de prevención del riesgo con participación de la UNP documentados</t>
  </si>
  <si>
    <t>((Nº de encuentros de prevención del riesgo con participación de la UNP documentados) / (Nº de encuentros de prevención del riesgo viabilizados por la UNP))*100</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</si>
  <si>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</si>
  <si>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</si>
  <si>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</si>
  <si>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</si>
  <si>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</si>
  <si>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</si>
  <si>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</si>
  <si>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</si>
  <si>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 xml:space="preserve">Direccionamiento Estratégico y Planeación </t>
  </si>
  <si>
    <t>Anual</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</si>
  <si>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</si>
  <si>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</si>
  <si>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</si>
  <si>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</si>
  <si>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</si>
  <si>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</si>
  <si>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</si>
  <si>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</si>
  <si>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</si>
  <si>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</si>
  <si>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</si>
  <si>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</si>
  <si>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</si>
  <si>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</si>
  <si>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</si>
  <si>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</si>
  <si>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</si>
  <si>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</si>
  <si>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</si>
  <si>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</si>
  <si>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</si>
  <si>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</si>
  <si>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2022)/(Nº de evaluaciones de  riesgo identificadas y a gestionar del PESP de la vigencia 2022))*100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</si>
  <si>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</si>
  <si>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</si>
  <si>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</si>
  <si>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</si>
  <si>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Realizar la Implementación de las Medidas de Protección individual a NARP</t>
  </si>
  <si>
    <t>Personas NARP identificadas con riesgo extraordinario, extremo o inminente con medidas de protección implementadas (Acta de Implementación) Documento no controlado (Excel del consolidado del mes - registro de actos administrativos, datos de las personas beneficiarias, medidas de protección implementadas)</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</si>
  <si>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</si>
  <si>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</si>
  <si>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actos administrativos previamente ejecutoriados con medidas de protección implementados dentro de los términos establecidos para personas identificadas con riesgo extraordinario, extremo o inminente pertenecientes a la población de dirigentes, representantes o miembros de grupos de la población negra, afrocolombiana, raizal o palenquera - NARP) + (N.º de actos administrativos previamente ejecutoriados con medidas de protección implementados en rezago para personas identificadas con riesgo extraordinario, extremo o inminente pertenecientes a la población de dirigentes, representantes o miembros de grupos de la población negra, afrocolombiana, raizal o palenquera - NARP ) / (N.º de actos administrativos previamente ejecutoriados para personas identificadas con riesgo extraordinario, extremo o inminente pertenecientes a la población de dirigentes, representantes o miembros de grupos de la población negra, afrocolombiana, raizal o palenquera - NARP ) + (N.º de actos administrativos previamente ejecutoriados en rezago para personas identificadas con riesgo extraordinario, extremo o inminente pertenecientes a la población de dirigentes, representantes o miembros de grupos de la población negra, afrocolombiana, raizal o palenquera - NARP )*100</t>
  </si>
  <si>
    <t>Gestión Medidas de Protección</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</si>
  <si>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</si>
  <si>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</si>
  <si>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</si>
  <si>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 (Nº de personas con riesgo extraordinario, extremo o inminente con medidas de protección a implementar una vez ejecutoriado el acto administrativo del Programa de Prevención y Protección y del Programa de Protección para UP-PCC de la ruta individual ))*100</t>
  </si>
  <si>
    <t>Realizar las actividades de coordinación interinstitucional, para atender la inminencia de riesgo que puedan presentar las personas y/o poblaciones de los programas de prevención y/o protección que coordina la UNP</t>
  </si>
  <si>
    <t>Actividades de coordinación interinstitucional realizadas por la UNP para atender la inminencia de riesgo que puedan presentar las personas y/o poblaciones de los programas de prevención y/o protección que coordina la UNP</t>
  </si>
  <si>
    <t>Porcentaje de actividades de coordinación interinstitucional, para atender la inminencia de riesgo que puedan presentar las personas y/o poblaciones de los programas de prevención y/o protección que coordina la UNP.</t>
  </si>
  <si>
    <t>((Nº de actividades de coordinación interinstitucional realizadas, para atender la inminencia de riesgo que puedan presentar las personas y/o poblaciones de los programas de prevención y/o protección que coordina la UNP)/(Nº de actividades de coordinación interinstitucional programadas, para atender la inminencia que puedan presentar las personas y/o poblaciones de los programas de prevención y/o protección que coordina la UNP, que sean de su competencia))*100</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</si>
  <si>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</si>
  <si>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</si>
  <si>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</si>
  <si>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</si>
  <si>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Realizar la Implementación de las  medidas de protección a víctimas del Conflicto Armado con riesgo extraordinario o extremo.</t>
  </si>
  <si>
    <t>Implementación de las  medidas de protección a víctimas del Conflicto Armado con riesgo extraordinario o extremo.</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</si>
  <si>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</si>
  <si>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</si>
  <si>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</si>
  <si>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</si>
  <si>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</si>
  <si>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</si>
  <si>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 (Acta de Implementación)</t>
  </si>
  <si>
    <t>Porcentaje de seguimientos realizados a la implementación de las medidas de protección en el programa de prevención y protección y programa especial de protección UP-PCC</t>
  </si>
  <si>
    <t>((Nº de actos administrativos previamente ejecutoriados con las medidas de protección implementadas en el Programa de Prevención y Protección y Programa Especial de Protección UP-PCC) / ((Nº de actos administrativos previamente ejecutoriados con seguimiento a la implementación de las medidas de protección en el Programa de Prevención y Protección y Programa Especial de Protección UP-PCC))*100</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</si>
  <si>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</si>
  <si>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</si>
  <si>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</si>
  <si>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</si>
  <si>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</si>
  <si>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</si>
  <si>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</si>
  <si>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</si>
  <si>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</si>
  <si>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 xml:space="preserve">Ejecución del modelo integral de servicio al ciudadano a través de la ventanilla única de radicación y correspondencia </t>
  </si>
  <si>
    <t>Módulo integral del servicio al ciudadano en funcionamiento</t>
  </si>
  <si>
    <t>Ventanilla única de radicación y correspondencia en funcionamiento</t>
  </si>
  <si>
    <t>Gestión del Servicio al Ciudadano</t>
  </si>
  <si>
    <t>Virtualización de solicitudes de ingreso  a los Programas de Prevención y/o Protección de coordinación de la UNP</t>
  </si>
  <si>
    <t>Formulario de solicitud de ingreso a los Programas de Prevención y/o Protección de coordinación de la UNP virtualizado</t>
  </si>
  <si>
    <t>(Porcentaje de avance de cada aspecto del formulario de ingreso a los Programas de Prevención y/o Protección de coordinación de la UNP para ser virtualizado) / (Porcentaje total de los aspectos del formulario de ingreso a los Programas de Prevención y/o Protección de coordinación de la UNP para ser virtualizado).</t>
  </si>
  <si>
    <t>Gestión Tecnológica</t>
  </si>
  <si>
    <t>Realizar la implementación de las medidas de Protección colectiva a NARP</t>
  </si>
  <si>
    <t>Colectivos Narp identificados con riesgo extraordinario, extremo o inminente con medidas de protección implementadas (Acta de Implementación)
Documento no controlado (Excel del consolidado del mes - registro de actos administrativos, datos de los beneficiarios, medidas de protección implementadas)</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</si>
  <si>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</si>
  <si>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actos administrativos previamente ejecutoriados con medidas de protección implementadas dentro de los términos establecidos para colectivos identificados con riesgo extraordinario, extremo o inminente pertenecientes a la población de dirigentes, representantes o miembros de grupos de la población negra, afrocolombiana, raizal o palenquera - NARP) + (N.º de actos administrativos previamente ejecutoriados con medidas de protección implementadas en rezago para colectivos identificados con riesgo extraordinario, extremo o inminente pertenecientes a la población de dirigentes, representantes o miembros de grupos de la población negra, afrocolombiana, raizal o palenquera - NARP ) / (N.º de actos administrativos previamente ejecutoriados para colectivos identificados con riesgo extraordinario, extremo o inminente pertenecientes a la población de dirigentes, representantes o miembros de grupos de la población negra, afrocolombiana, raizal o palenquera - NARP ) + (N.º de actos administrativos previamente ejecutoriados en rezago para colectivos identificados con riesgo extraordinario, extremo o inminente pertenecientes a la población de dirigentes, representantes o miembros de grupos de la población negra, afrocolombiana, raizal o palenquera - NARP )*100</t>
  </si>
  <si>
    <t>Implementación de las medidas de protección colectiva (Ruta de Protección Colectiva)</t>
  </si>
  <si>
    <t>Colectivos identificados con riesgo extraordinario, extremo o inminente con medidas de protección implementadas (Acta de Implementación)</t>
  </si>
  <si>
    <t xml:space="preserve">2018011001174  Implementación de la ruta de protección colectiva a nivel nacional </t>
  </si>
  <si>
    <t>Porcentaje de implementación de las medidas de protección colectiva (Ruta de Protección Colectiva)</t>
  </si>
  <si>
    <t>((Nº de actos administrativos previamente ejecutoriados con medidas de protección implementadas a colectivos de competencia de la UNP en las vigencias 2013 al 2023)/(Nº de actos administrativos previamente ejecutoriados de colectivos de competencia de la UNP en las vigencias 2013 al 2023))*100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</si>
  <si>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</si>
  <si>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</si>
  <si>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</si>
  <si>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</si>
  <si>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</si>
  <si>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</si>
  <si>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</si>
  <si>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</si>
  <si>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Documento de informe de resultados de la campaña de percepción de enfoques diferenciales</t>
  </si>
  <si>
    <t>Realizar campañas internas a servidores públicos y colaboradores  que afiancen el conocimiento en enfoques diferenciales en el marco de los programas de protección y prevención de la UNP</t>
  </si>
  <si>
    <t>Documento de los resultados de lsa campañas</t>
  </si>
  <si>
    <t>Documento de informe de resultados de la campaña de percepción de enfoques diferenciales en desarrollo de los programas de protección y prevención de la UNP</t>
  </si>
  <si>
    <t>Brindar charlas de autoprotección y auto seguridad a las víctimas</t>
  </si>
  <si>
    <t>Charlas de autoprotección y auto seguridad realizados a Victimas (Misión de Trabajo, informe final y listado de asistencia de las Charlas)</t>
  </si>
  <si>
    <t>Porcentaje de Charlas de autoprotección y auto seguridad realizados a Víctimas</t>
  </si>
  <si>
    <t>((Nº de Charlas de autoprotección y auto seguridad realizados a Víctimas) / (Nº de charlas de autoprotección y auto seguridad a dictar a Víctimas))*100</t>
  </si>
  <si>
    <t>Realizar la socialización del Protocolo de Lideresas y Defensoras de Derechos Humanos a todas las mujeres de la población objeto del Decreto 1066 del 2015 y 1139 del 2021 (DG)</t>
  </si>
  <si>
    <t>Actas de reunión  
Listado de Asistencia</t>
  </si>
  <si>
    <t>Número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</si>
  <si>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</si>
  <si>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</si>
  <si>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</si>
  <si>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</si>
  <si>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</si>
  <si>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</si>
  <si>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</si>
  <si>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</si>
  <si>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</si>
  <si>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</si>
  <si>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Porcentaje de avance de las actividades del plan detallado de trabajo y de Fortalecimiento del Sistema de Gestión</t>
  </si>
  <si>
    <t>((Número de actividades cumplidas durante el período) / (Número de actividades programadas durante el período)) * 100</t>
  </si>
  <si>
    <t>Gestión Integrada MIPG-SIG</t>
  </si>
  <si>
    <t>Porcentaje de oportunidad en la respuesta a PQRSD</t>
  </si>
  <si>
    <t>Realizar seguimiento a las PQRSD elevadas a la entidad</t>
  </si>
  <si>
    <t>Informes de Seguimiento a las PQRSD elevadas a la entidad</t>
  </si>
  <si>
    <t xml:space="preserve">Nº de informes de seguimiento a las PQRSD elevadas a la entidad </t>
  </si>
  <si>
    <t>Nº de actos administrativos proyectados</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</si>
  <si>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</si>
  <si>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</si>
  <si>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</si>
  <si>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 radicados y recibidos en la Oficina Asesora Jurídica))*100</t>
  </si>
  <si>
    <t>Porcentaje de crecimiento usabilidad de las herramientas tecnológicas disponibles en la UNP</t>
  </si>
  <si>
    <t>Aprendizaje y Desarrollo</t>
  </si>
  <si>
    <t>Incrementar el grado de apropiación digital de los usuarios internos de la UNP en el Uso y Apropiación de las herramientas tecnológicas</t>
  </si>
  <si>
    <t>Informe del grado de apropiación digital en la UNP</t>
  </si>
  <si>
    <t>Porcentaje de actividades para el crecimiento de la usabilidad de las herramientas tecnológicas disponibles en la UNP</t>
  </si>
  <si>
    <t>((Nº de actividades realizadas para el incremento del uso y apropiación de las herramientas tecnológicas de la UNP)/(Nº de actividades programadas para el incremento del uso y apropiación de las herramientas tecnológicas de la UNP))*100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</si>
  <si>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</si>
  <si>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</si>
  <si>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</si>
  <si>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</si>
  <si>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</si>
  <si>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Ejecutar las actividades a cargo del Proceso Gestion Documental del Proyecto Modernización de un Sistema de Gestión Documental en la UNP a nivel nacional para la vigencia 2023</t>
  </si>
  <si>
    <t>Actividades Ejecutadas del Proyecto Modernización de un Sistema de Gestión Documental en la UNP a nivel nacional para la vigencia 2023</t>
  </si>
  <si>
    <t>2019011000116 MODERNIZACION DEL SISTEMA DE GESTION DOCUMENTAL  EN LA UNP A  NIVEL NACIONAL</t>
  </si>
  <si>
    <t>Porcentaje de avance de las actividades a cargo del Proceso Gestión Documental del Proyecto Modernización de un Sistema de Gestión Documental en la UNP a nivel nacional para la vigencia 2023</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</si>
  <si>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</si>
  <si>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</si>
  <si>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</si>
  <si>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</si>
  <si>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</si>
  <si>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</si>
  <si>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</si>
  <si>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</si>
  <si>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</si>
  <si>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atendidas para la Política de Gobierno digital )/(Nº de recomendaciones FURAG programadas sobre la Política de Gobierno Digital ))*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</si>
  <si>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</si>
  <si>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</si>
  <si>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</si>
  <si>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((Nº de recomendaciones furag atendidas política de seguridad digital )/(Nº de recomendaciones furag programadas sobre política de seguridad digital))* 100</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</si>
  <si>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</si>
  <si>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</si>
  <si>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</si>
  <si>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</si>
  <si>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</si>
  <si>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</si>
  <si>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</si>
  <si>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((Nº de actividades cumplidas en el Plan de Tratamiento de Riesgo de Seguridad y Privacidad de la Información) / (Nº de actividades programadas en el Plan de Tratamiento de Riesgo de Seguridad y Privacidad de la Información)) * 100</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</si>
  <si>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</si>
  <si>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</si>
  <si>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</si>
  <si>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</si>
  <si>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((Nº de actividades cumplidas del Plan de Seguridad y Privacidad de la Información) / (Nº de actividades del Plan de Seguridad y Privacidad de la Información programadas)) * 100</t>
  </si>
  <si>
    <t>Plan de Seguridad y Privacidad de la Información</t>
  </si>
  <si>
    <t>Realizar seguimiento a la ejecución del PINAR 2023</t>
  </si>
  <si>
    <t>Informe de Seguimiento al PINAR 2023</t>
  </si>
  <si>
    <t>Nº de informes de avances y/o seguimientos a la ejecución del PINAR 2023</t>
  </si>
  <si>
    <t>Nº de informes de avance y/o seguimientos a la ejecución del PINAR 2023</t>
  </si>
  <si>
    <t>Plan Institucional de Archivos de la Entidad PINAR</t>
  </si>
  <si>
    <t>Realizar el seguimiento al cumplimiento del Plan Estratégico de Tecnologia de la Informacion y las Comunicaciones PETI</t>
  </si>
  <si>
    <t>Informe de seguimiento al Plan Estratégico de Tecnologia de la Información y las Comunicaciones PETI</t>
  </si>
  <si>
    <t>((Actividades ejecutadas en el Plan Estratégico de Tecnología de la Información y las Comunicaciones PETI) / (actividades programadas en el Plan Estratégico de Tecnología de la Información y las Comunicaciones PETI))*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</si>
  <si>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</si>
  <si>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</si>
  <si>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</si>
  <si>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</si>
  <si>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((Cantidad de actividades del Plan de mantenimiento de la Infraesctructura Tecnológica ejecutado) / (Cantidad de actividades del Plan de mantenimiento de la Infraestructura Tecnológica programado x periodo))* 100</t>
  </si>
  <si>
    <t>Realizar el seguimiento al Plan Anual de Mantenimiento de Vehículos Propios y/o a cargo de la UNP</t>
  </si>
  <si>
    <t>Mantenimientos de Vehículos Propios y/o a cargo de la entidad Ejecutados</t>
  </si>
  <si>
    <t>Porcentaje de Mantenimientos de Vehículos Propios y/o a cargo de la entidad realizados en el periodo</t>
  </si>
  <si>
    <t>((N°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</si>
  <si>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</si>
  <si>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</si>
  <si>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</si>
  <si>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</si>
  <si>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</si>
  <si>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</si>
  <si>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</si>
  <si>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</si>
  <si>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</si>
  <si>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</si>
  <si>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</si>
  <si>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</si>
  <si>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</si>
  <si>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</si>
  <si>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</si>
  <si>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</si>
  <si>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</si>
  <si>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</si>
  <si>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</si>
  <si>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</si>
  <si>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página web de la entidad</t>
  </si>
  <si>
    <t>Realizar el seguimiento al cumplimiento del Plan Anual de Adquisiciones</t>
  </si>
  <si>
    <t>Actualizaciones realizadas al Plan Anual de Adquisiciones</t>
  </si>
  <si>
    <t>Porcentaje  de Actualizaciones realizadas al Plan Anual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</si>
  <si>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</si>
  <si>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</si>
  <si>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</si>
  <si>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</si>
  <si>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Porcentaje de cumplimiento de las actividades del Plan de Previsión de Recursos Humanos.</t>
  </si>
  <si>
    <t>((Nº de procesos gestionados para cubrir la vacante) /(Nº de procesos solicitados (Hojas de vida)))*100</t>
  </si>
  <si>
    <t>Gestión Estratégica de Talento Humano</t>
  </si>
  <si>
    <t>Plan de Previsión de Recursos Humanos</t>
  </si>
  <si>
    <t>Realizar el seguimiento al cumplimiento del Plan Estratégico del Talento Humano</t>
  </si>
  <si>
    <t>Avance de la implementación de las actividades programadas en el Plan Estratégico del Talento Humano.</t>
  </si>
  <si>
    <t>Porcentaje de cumplimiento de las actividades del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</si>
  <si>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</si>
  <si>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</si>
  <si>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</si>
  <si>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</si>
  <si>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Porcentaje de cumplimiento de las actividades del Plan Institucional de Capacitación.</t>
  </si>
  <si>
    <t>((N.º de actividades ejecutadas en el PIC) / (N.º de actividades programadas en el PIC)) *100</t>
  </si>
  <si>
    <t>Plan Institucional de Capacitación</t>
  </si>
  <si>
    <t>Realizar el seguimiento al cumplimiento del Plan de Incentivos Institucionales</t>
  </si>
  <si>
    <t>Avance de la implementación de las actividades programadas en el Plan de Bienestar e Incentivos</t>
  </si>
  <si>
    <t>Porcentaje de cumplimiento de las actividades del Plan de Incentivos Institucionales.</t>
  </si>
  <si>
    <t>((Nº de actividades ejecutadas en el periodo) / (Nº de actividades programadas en el periodo))*100</t>
  </si>
  <si>
    <t>Plan de Incentivos Institucionales</t>
  </si>
  <si>
    <t>Realizar el seguimiento al cumplimiento del Plan Anual en Seguridad y Saludo en el Trabajo</t>
  </si>
  <si>
    <t>Avance de la implementación de las actividades programadas en el Plan Anual de Seguridad y Salud en el Trabajo.</t>
  </si>
  <si>
    <t>Porcentaje de cumplimiento de las actividades del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</si>
  <si>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</si>
  <si>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</si>
  <si>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</si>
  <si>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Porcentaje de cumplimiento de las actividades del Plan Anual de Vacantes.</t>
  </si>
  <si>
    <t>((Nº de procesos favorables)/(Nº Total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</si>
  <si>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</si>
  <si>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</si>
  <si>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</si>
  <si>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</si>
  <si>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</si>
  <si>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</si>
  <si>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</si>
  <si>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</si>
  <si>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 en el periodo)/ (Nº. Total de actividades programadas en el Programa Anual de Auditoría)) *100</t>
  </si>
  <si>
    <t>Gestión Evaluación Independiente</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</si>
  <si>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</si>
  <si>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</si>
  <si>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</si>
  <si>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</si>
  <si>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</si>
  <si>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</si>
  <si>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</si>
  <si>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</si>
  <si>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</si>
  <si>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</si>
  <si>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</si>
  <si>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</si>
  <si>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</si>
  <si>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</si>
  <si>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</si>
  <si>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</si>
  <si>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</si>
  <si>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</si>
  <si>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</si>
  <si>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</si>
  <si>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</si>
  <si>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</si>
  <si>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</si>
  <si>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</si>
  <si>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4. Consolidar y poner en marcha el observatorio de información</t>
  </si>
  <si>
    <t>7. Actuar de manera eficiente y eficaz en las rutas de protección</t>
  </si>
  <si>
    <t>8. Fortalecer los conocimientos de los funcionarios y colaboradores frente a los enfoques diferenciales.</t>
  </si>
  <si>
    <t>9.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</si>
  <si>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11. Direccionar de manera efectiva y oportuna las solicitudes allegadas a la entidad.</t>
  </si>
  <si>
    <t>12. Disminuir el tiempo de respuesta de los recursos de reposición.</t>
  </si>
  <si>
    <t>13. Fortalecer herramientas tecnológicas, el acceso a la información y la apropiación de las tecnologías de la información.</t>
  </si>
  <si>
    <t>14. Gestionar, administrar y ejecutar eficientemente los recursos financieros necesarios desde la programación, apropiación y ejecución para dar cumplimiento a las metas y obtener los resultados de desempeño institucional planificados.</t>
  </si>
  <si>
    <t>15. Implementar el Modelo Integrado de Planeación y Gestión (MIPG)</t>
  </si>
  <si>
    <t>16. Mejorar la percepción de calidad del servicio, en virtud de la prestación eficiente y efectiva del Programa de Prevención y Protección individual y colectiva, en cumplimiento de la misionalidad de la entidad.</t>
  </si>
  <si>
    <t>17. Prever las necesidades de recurso humano y de funcionamiento</t>
  </si>
  <si>
    <t>Informe Seguimiento al Plan de Mantenimiento de Vehiculos propios y solicitudes de revisiones técnico mecánicas emitidas por el responsable del vehículo.</t>
  </si>
  <si>
    <t>Porcentaje de técnico mecánicas realizadas en el periodo.</t>
  </si>
  <si>
    <t>(N° de Revisiones Técnico-Mecánicas de Vehículos Propios a cargo de la UNP ejecutados en el periodo / # Revisiones Técnico-Mecánicas de Vehículos Propios a cargo de la UNP Programadas en el periodo) * 100</t>
  </si>
  <si>
    <t>1.1.2</t>
  </si>
  <si>
    <t>1.1.3</t>
  </si>
  <si>
    <t>2.2.6</t>
  </si>
  <si>
    <t>2.2.8</t>
  </si>
  <si>
    <t>2.3.3</t>
  </si>
  <si>
    <t>2.4.3</t>
  </si>
  <si>
    <t>2.4.1</t>
  </si>
  <si>
    <t>2.5.14</t>
  </si>
  <si>
    <t>3.6.6</t>
  </si>
  <si>
    <t>3.6.8</t>
  </si>
  <si>
    <t>3.6.7</t>
  </si>
  <si>
    <t>3.7.3</t>
  </si>
  <si>
    <t>3.7.6</t>
  </si>
  <si>
    <t>3.7.7</t>
  </si>
  <si>
    <t>3.7.8</t>
  </si>
  <si>
    <t>3.7.9</t>
  </si>
  <si>
    <t>3.7.11</t>
  </si>
  <si>
    <t>3.7.16</t>
  </si>
  <si>
    <t>4.8.2</t>
  </si>
  <si>
    <t>4.9.7</t>
  </si>
  <si>
    <t>4.9.1</t>
  </si>
  <si>
    <t>4.9.6</t>
  </si>
  <si>
    <t>5.10.5</t>
  </si>
  <si>
    <t>5.11.11</t>
  </si>
  <si>
    <t>5.12.14</t>
  </si>
  <si>
    <t>5.13.16</t>
  </si>
  <si>
    <t>5.14.10</t>
  </si>
  <si>
    <t>5.15.15</t>
  </si>
  <si>
    <t>5.15.12</t>
  </si>
  <si>
    <t>5.15.1</t>
  </si>
  <si>
    <t>5.15.16</t>
  </si>
  <si>
    <t>5.15.14</t>
  </si>
  <si>
    <t>5.15.10</t>
  </si>
  <si>
    <t>5.15.4</t>
  </si>
  <si>
    <t>5.15.17</t>
  </si>
  <si>
    <t>5.16.11</t>
  </si>
  <si>
    <t>5.17.10</t>
  </si>
  <si>
    <t>Porcentaje de  Avance de actividades del  Plan Estratégico de Tecnologia de la Información y las Comunicaciones PETI</t>
  </si>
  <si>
    <t xml:space="preserve">Porcentaje de Víctimas con medidas de protección implementadas con riesgo extraordinario o extremo </t>
  </si>
  <si>
    <t>10. Fortalecer los procesos en la gestión y desempeño eficaz y eficiente de la entidad.</t>
  </si>
  <si>
    <t>Medir el cumplimiento de las estrategias definidas al Plan de acuerdo con el cronograma definido para este indicador</t>
  </si>
  <si>
    <t>DEP-FT-11 Informe de seguimiento a planes 
DEP-FT-36 Formato plan de acción institucional</t>
  </si>
  <si>
    <t>5. Contribuir en la identificación efectiva de actores amenazantes y desmantelamiento de organizaciones y conductas criminales</t>
  </si>
  <si>
    <t xml:space="preserve">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</si>
</sst>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164" formatCode="_-&quot;$&quot;\ * #,##0_-;\-&quot;$&quot;\ * #,##0_-;_-&quot;$&quot;\ * &quot;-&quot;??_-;_-@_-"/>
    <numFmt numFmtId="165" formatCode="0.0%"/>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0"/>
      <name val="Arial"/>
      <family val="2"/>
    </font>
    <font>
      <b/>
      <sz val="10"/>
      <color rgb="FFFFFFFF"/>
      <name val="Arial"/>
      <family val="2"/>
    </font>
    <font>
      <b/>
      <sz val="10"/>
      <color rgb="FF000000"/>
      <name val="Arial"/>
      <family val="2"/>
    </font>
    <font>
      <sz val="10"/>
      <color rgb="FF000000"/>
      <name val="Arial"/>
      <family val="2"/>
    </font>
    <font>
      <sz val="11"/>
      <color theme="1"/>
      <name val="Arial"/>
      <family val="2"/>
    </font>
    <font>
      <b/>
      <sz val="11"/>
      <color theme="1"/>
      <name val="Arial"/>
      <family val="2"/>
    </font>
    <font>
      <b/>
      <sz val="9"/>
      <color indexed="81"/>
      <name val="Tahoma"/>
      <family val="2"/>
    </font>
    <font>
      <sz val="9"/>
      <color indexed="81"/>
      <name val="Tahoma"/>
      <family val="2"/>
    </font>
  </fonts>
  <fills count="16">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theme="2"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medium">
        <color indexed="64"/>
      </right>
      <top style="thin">
        <color indexed="64"/>
      </top>
      <bottom style="thin">
        <color indexed="64"/>
      </bottom>
      <diagonal/>
    </border>
    <border>
      <left/>
      <right style="thin">
        <color rgb="FF000000"/>
      </right>
      <top style="thin">
        <color rgb="FF000000"/>
      </top>
      <bottom/>
      <diagonal/>
    </border>
  </borders>
  <cellStyleXfs count="4">
    <xf numFmtId="0" fontId="0" fillId="0" borderId="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9">
    <xf numFmtId="0" fontId="0" fillId="0" borderId="0" xfId="0"/>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quotePrefix="1"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9" fontId="6" fillId="0" borderId="1" xfId="2" applyFont="1" applyFill="1" applyBorder="1" applyAlignment="1">
      <alignment horizontal="center" vertical="center" wrapText="1"/>
    </xf>
    <xf numFmtId="1" fontId="6" fillId="0" borderId="1" xfId="2" applyNumberFormat="1" applyFont="1" applyFill="1" applyBorder="1" applyAlignment="1">
      <alignment horizontal="center" vertical="center"/>
    </xf>
    <xf numFmtId="9" fontId="7" fillId="0" borderId="1" xfId="2" applyFont="1" applyFill="1" applyBorder="1" applyAlignment="1">
      <alignment horizontal="center" vertical="center"/>
    </xf>
    <xf numFmtId="9" fontId="6" fillId="0" borderId="1" xfId="2" applyFont="1" applyFill="1" applyBorder="1" applyAlignment="1">
      <alignment horizontal="center" vertical="center"/>
    </xf>
    <xf numFmtId="1" fontId="7" fillId="0" borderId="20" xfId="2" applyNumberFormat="1" applyFont="1" applyFill="1" applyBorder="1" applyAlignment="1">
      <alignment horizontal="center" vertical="center"/>
    </xf>
    <xf numFmtId="9" fontId="6" fillId="0" borderId="4" xfId="2" applyFont="1" applyFill="1" applyBorder="1" applyAlignment="1">
      <alignment horizontal="center" vertical="center"/>
    </xf>
    <xf numFmtId="10" fontId="6" fillId="0" borderId="1" xfId="2" applyNumberFormat="1" applyFont="1" applyFill="1" applyBorder="1" applyAlignment="1">
      <alignment horizontal="center" vertical="center" wrapText="1"/>
    </xf>
    <xf numFmtId="9" fontId="7" fillId="0" borderId="5" xfId="2" applyFont="1" applyFill="1" applyBorder="1" applyAlignment="1">
      <alignment horizontal="center" vertical="center" wrapText="1"/>
    </xf>
    <xf numFmtId="1" fontId="7" fillId="0" borderId="1" xfId="2" applyNumberFormat="1" applyFont="1" applyFill="1" applyBorder="1" applyAlignment="1">
      <alignment horizontal="center" vertical="center"/>
    </xf>
    <xf numFmtId="9" fontId="7" fillId="0" borderId="2" xfId="2" applyFont="1" applyFill="1" applyBorder="1" applyAlignment="1">
      <alignment horizontal="center" vertical="center"/>
    </xf>
    <xf numFmtId="10" fontId="7" fillId="0" borderId="1" xfId="2" applyNumberFormat="1" applyFont="1" applyFill="1" applyBorder="1" applyAlignment="1">
      <alignment horizontal="center" vertical="center"/>
    </xf>
    <xf numFmtId="10" fontId="6" fillId="0" borderId="1" xfId="2" applyNumberFormat="1" applyFont="1" applyFill="1" applyBorder="1" applyAlignment="1">
      <alignment horizontal="center" vertical="center"/>
    </xf>
    <xf numFmtId="1" fontId="9" fillId="0" borderId="1" xfId="2" applyNumberFormat="1" applyFont="1" applyFill="1" applyBorder="1" applyAlignment="1">
      <alignment horizontal="center" vertical="center"/>
    </xf>
    <xf numFmtId="10" fontId="7" fillId="0" borderId="5" xfId="2" applyNumberFormat="1" applyFont="1" applyFill="1" applyBorder="1" applyAlignment="1">
      <alignment horizontal="center" vertical="center" wrapText="1"/>
    </xf>
    <xf numFmtId="9" fontId="6" fillId="0" borderId="4" xfId="2" applyFont="1" applyFill="1" applyBorder="1" applyAlignment="1">
      <alignment horizontal="center" vertical="center" wrapText="1"/>
    </xf>
    <xf numFmtId="9" fontId="7" fillId="0" borderId="1" xfId="2" applyFont="1" applyFill="1" applyBorder="1" applyAlignment="1">
      <alignment horizontal="center" vertical="center" wrapText="1"/>
    </xf>
    <xf numFmtId="10" fontId="6" fillId="0" borderId="1" xfId="2" applyNumberFormat="1" applyFont="1" applyFill="1" applyBorder="1" applyAlignment="1">
      <alignment vertical="center" wrapText="1"/>
    </xf>
    <xf numFmtId="10" fontId="7" fillId="0" borderId="1" xfId="2" applyNumberFormat="1" applyFont="1" applyFill="1" applyBorder="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center" vertical="center"/>
    </xf>
    <xf numFmtId="9" fontId="14" fillId="0" borderId="0" xfId="0" applyNumberFormat="1" applyFont="1" applyAlignment="1">
      <alignment horizontal="center" vertical="center"/>
    </xf>
    <xf numFmtId="0" fontId="13" fillId="0" borderId="0" xfId="0" applyFont="1" applyAlignment="1">
      <alignment horizontal="center" vertical="center"/>
    </xf>
    <xf numFmtId="0" fontId="4"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9" fontId="7" fillId="0" borderId="1" xfId="0" applyNumberFormat="1"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6" fillId="0" borderId="1" xfId="0" applyFont="1" applyFill="1" applyBorder="1" applyAlignment="1">
      <alignment vertical="center" wrapText="1"/>
    </xf>
    <xf numFmtId="0" fontId="5" fillId="5" borderId="6" xfId="0" applyFont="1" applyFill="1" applyBorder="1" applyAlignment="1">
      <alignment vertical="center"/>
    </xf>
    <xf numFmtId="0" fontId="5" fillId="5" borderId="1" xfId="0" applyFont="1" applyFill="1" applyBorder="1" applyAlignment="1">
      <alignment vertical="center"/>
    </xf>
    <xf numFmtId="9" fontId="6" fillId="0" borderId="1" xfId="0" applyNumberFormat="1" applyFont="1" applyFill="1" applyBorder="1" applyAlignment="1">
      <alignment vertical="center" wrapText="1"/>
    </xf>
    <xf numFmtId="9"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9" fontId="6" fillId="0" borderId="1" xfId="2"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9" fontId="6" fillId="0" borderId="1" xfId="2" applyNumberFormat="1" applyFont="1" applyFill="1" applyBorder="1" applyAlignment="1">
      <alignment horizontal="center" vertical="center"/>
    </xf>
    <xf numFmtId="10" fontId="6" fillId="0" borderId="5" xfId="0" applyNumberFormat="1" applyFont="1" applyFill="1" applyBorder="1" applyAlignment="1">
      <alignment horizontal="center" vertical="center" wrapText="1"/>
    </xf>
    <xf numFmtId="1" fontId="6" fillId="0" borderId="1" xfId="2" applyNumberFormat="1" applyFont="1" applyFill="1" applyBorder="1" applyAlignment="1">
      <alignment horizontal="center" vertical="center" wrapText="1"/>
    </xf>
    <xf numFmtId="0" fontId="13" fillId="15" borderId="0" xfId="0" applyFont="1" applyFill="1" applyAlignment="1">
      <alignment horizontal="center" vertical="center"/>
    </xf>
    <xf numFmtId="0" fontId="0" fillId="15" borderId="0" xfId="0" applyFill="1"/>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9" fontId="7" fillId="0" borderId="5"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 fontId="7" fillId="0" borderId="5"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vertical="center" wrapText="1"/>
    </xf>
    <xf numFmtId="0" fontId="6" fillId="0" borderId="1" xfId="0" applyFont="1" applyFill="1" applyBorder="1" applyAlignment="1">
      <alignment horizontal="right" vertical="center" wrapText="1"/>
    </xf>
    <xf numFmtId="3" fontId="6" fillId="0" borderId="1" xfId="0" applyNumberFormat="1" applyFont="1" applyFill="1" applyBorder="1" applyAlignment="1">
      <alignment horizontal="center" vertical="center" wrapText="1"/>
    </xf>
    <xf numFmtId="164" fontId="6" fillId="0" borderId="1" xfId="3" applyNumberFormat="1" applyFont="1" applyFill="1" applyBorder="1" applyAlignment="1">
      <alignmen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1" fontId="6" fillId="0" borderId="1" xfId="1" applyFont="1" applyFill="1" applyBorder="1" applyAlignment="1">
      <alignment horizontal="center" vertical="center" wrapText="1"/>
    </xf>
    <xf numFmtId="0" fontId="6" fillId="0" borderId="1" xfId="0" applyFont="1" applyFill="1" applyBorder="1" applyAlignment="1">
      <alignment horizontal="left" vertical="center" wrapText="1"/>
    </xf>
    <xf numFmtId="9" fontId="7" fillId="0" borderId="1" xfId="2" applyNumberFormat="1" applyFont="1" applyFill="1" applyBorder="1" applyAlignment="1">
      <alignment horizontal="center" vertical="center"/>
    </xf>
    <xf numFmtId="9" fontId="6" fillId="0" borderId="0"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5" fontId="6" fillId="0" borderId="1" xfId="2"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9" fontId="7" fillId="0" borderId="1" xfId="0" applyNumberFormat="1"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9" fontId="6" fillId="0" borderId="1" xfId="2" applyFont="1" applyFill="1" applyBorder="1" applyAlignment="1">
      <alignment vertical="center" wrapText="1"/>
    </xf>
    <xf numFmtId="9" fontId="7" fillId="0" borderId="5" xfId="0" applyNumberFormat="1" applyFont="1" applyFill="1" applyBorder="1" applyAlignment="1">
      <alignment horizontal="left" vertical="center" wrapText="1"/>
    </xf>
    <xf numFmtId="9" fontId="6" fillId="0" borderId="5" xfId="0" applyNumberFormat="1" applyFont="1" applyFill="1" applyBorder="1" applyAlignment="1">
      <alignment horizontal="center" vertical="center"/>
    </xf>
    <xf numFmtId="0" fontId="7" fillId="0" borderId="5" xfId="0" quotePrefix="1" applyFont="1" applyFill="1" applyBorder="1" applyAlignment="1">
      <alignment horizontal="center" vertical="center"/>
    </xf>
    <xf numFmtId="9" fontId="6" fillId="0" borderId="5"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1" xfId="0" quotePrefix="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1" fontId="7" fillId="0" borderId="2" xfId="0" applyNumberFormat="1" applyFont="1" applyFill="1" applyBorder="1" applyAlignment="1">
      <alignment horizontal="center" vertical="center"/>
    </xf>
    <xf numFmtId="0" fontId="7" fillId="0" borderId="4" xfId="0" applyFont="1" applyFill="1" applyBorder="1" applyAlignment="1">
      <alignment vertical="center" wrapText="1"/>
    </xf>
    <xf numFmtId="0" fontId="7" fillId="0" borderId="20" xfId="0" applyFont="1" applyFill="1" applyBorder="1" applyAlignment="1">
      <alignment horizontal="center" vertical="center" wrapText="1"/>
    </xf>
    <xf numFmtId="10" fontId="6" fillId="0" borderId="4" xfId="2" applyNumberFormat="1" applyFont="1" applyFill="1" applyBorder="1" applyAlignment="1">
      <alignment horizontal="center" vertical="center"/>
    </xf>
    <xf numFmtId="0" fontId="6" fillId="0" borderId="4" xfId="0" applyFont="1" applyFill="1" applyBorder="1" applyAlignment="1">
      <alignment vertical="center" wrapText="1"/>
    </xf>
    <xf numFmtId="0" fontId="6" fillId="0" borderId="13"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5" xfId="0" applyFont="1" applyFill="1" applyBorder="1" applyAlignment="1">
      <alignment horizontal="center" vertical="center" wrapText="1"/>
    </xf>
    <xf numFmtId="10" fontId="6" fillId="0" borderId="1" xfId="0" applyNumberFormat="1" applyFont="1" applyFill="1" applyBorder="1" applyAlignment="1">
      <alignment horizontal="center" vertical="center"/>
    </xf>
    <xf numFmtId="0" fontId="6" fillId="0" borderId="4" xfId="0" applyFont="1" applyFill="1" applyBorder="1" applyAlignment="1">
      <alignment horizontal="left" vertical="center" wrapText="1"/>
    </xf>
    <xf numFmtId="1" fontId="6"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6" fillId="0" borderId="6" xfId="0" applyFont="1" applyFill="1" applyBorder="1" applyAlignment="1">
      <alignment vertical="center" wrapText="1"/>
    </xf>
    <xf numFmtId="0" fontId="7" fillId="0" borderId="5" xfId="0" applyFont="1" applyFill="1" applyBorder="1" applyAlignment="1">
      <alignment horizontal="left" vertical="center"/>
    </xf>
    <xf numFmtId="0" fontId="7" fillId="0" borderId="21" xfId="0" applyFont="1" applyFill="1" applyBorder="1" applyAlignment="1">
      <alignment horizontal="left" vertical="center"/>
    </xf>
    <xf numFmtId="0" fontId="8" fillId="0" borderId="2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6" fillId="0" borderId="5" xfId="0" applyFont="1" applyFill="1" applyBorder="1" applyAlignment="1">
      <alignment vertical="center" wrapText="1"/>
    </xf>
    <xf numFmtId="1" fontId="7" fillId="0" borderId="2" xfId="0" applyNumberFormat="1" applyFont="1" applyFill="1" applyBorder="1" applyAlignment="1">
      <alignment horizontal="center" vertical="center" textRotation="9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left" vertical="center" wrapText="1"/>
    </xf>
    <xf numFmtId="0" fontId="11" fillId="13" borderId="2"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1" fillId="13" borderId="6"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5" fillId="0" borderId="5"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23" xfId="0" applyFont="1" applyBorder="1" applyAlignment="1">
      <alignment horizontal="right" vertical="center"/>
    </xf>
    <xf numFmtId="0" fontId="2" fillId="0" borderId="0" xfId="0" applyFont="1" applyBorder="1" applyAlignment="1">
      <alignment horizontal="right" vertical="center"/>
    </xf>
    <xf numFmtId="0" fontId="10" fillId="12" borderId="23" xfId="0" applyFont="1" applyFill="1" applyBorder="1" applyAlignment="1">
      <alignment horizontal="center"/>
    </xf>
    <xf numFmtId="0" fontId="10" fillId="12" borderId="0" xfId="0" applyFont="1" applyFill="1" applyBorder="1" applyAlignment="1">
      <alignment horizontal="center"/>
    </xf>
    <xf numFmtId="0" fontId="6" fillId="0" borderId="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5" xfId="0" applyFont="1" applyFill="1" applyBorder="1" applyAlignment="1">
      <alignment horizontal="center" vertical="center" wrapText="1"/>
    </xf>
    <xf numFmtId="10" fontId="6" fillId="0" borderId="13" xfId="0" applyNumberFormat="1"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16" xfId="0" applyFont="1" applyFill="1" applyBorder="1" applyAlignment="1">
      <alignment horizontal="left" vertical="center" wrapText="1"/>
    </xf>
    <xf numFmtId="10" fontId="6" fillId="0" borderId="1"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7" fillId="0" borderId="12" xfId="0" applyFont="1" applyFill="1" applyBorder="1" applyAlignment="1">
      <alignment vertical="center" wrapText="1"/>
    </xf>
    <xf numFmtId="0" fontId="7" fillId="0" borderId="16"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7" fillId="0" borderId="19" xfId="0" applyFont="1" applyFill="1" applyBorder="1" applyAlignment="1">
      <alignment vertical="center" wrapText="1"/>
    </xf>
    <xf numFmtId="10" fontId="6" fillId="0" borderId="1" xfId="2" applyNumberFormat="1" applyFont="1" applyFill="1" applyBorder="1" applyAlignment="1">
      <alignment horizontal="center" vertical="center" wrapText="1"/>
    </xf>
    <xf numFmtId="0" fontId="7" fillId="0" borderId="19" xfId="0" applyFont="1" applyFill="1" applyBorder="1" applyAlignment="1">
      <alignment horizontal="left" vertical="center" wrapText="1"/>
    </xf>
    <xf numFmtId="0" fontId="7" fillId="0" borderId="1" xfId="0" applyFont="1" applyFill="1" applyBorder="1" applyAlignment="1">
      <alignment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7"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24" xfId="0" applyFont="1" applyBorder="1" applyAlignment="1">
      <alignment horizontal="center" vertical="center"/>
    </xf>
    <xf numFmtId="0" fontId="4" fillId="2"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cellXfs>
  <cellStyles count="4">
    <cellStyle name="Millares [0]" xfId="1" builtinId="6"/>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84</xdr:col>
      <xdr:colOff>571501</xdr:colOff>
      <xdr:row>0</xdr:row>
      <xdr:rowOff>66675</xdr:rowOff>
    </xdr:from>
    <xdr:to>
      <xdr:col>86</xdr:col>
      <xdr:colOff>4522</xdr:colOff>
      <xdr:row>4</xdr:row>
      <xdr:rowOff>498968</xdr:rowOff>
    </xdr:to>
    <xdr:pic>
      <xdr:nvPicPr>
        <xdr:cNvPr id="2" name="Imagen 1">
          <a:extLst>
            <a:ext uri="{FF2B5EF4-FFF2-40B4-BE49-F238E27FC236}">
              <a16:creationId xmlns:a16="http://schemas.microsoft.com/office/drawing/2014/main" id="{FCCE982F-9850-4CE5-8C80-3B9ADE42D407}"/>
            </a:ext>
          </a:extLst>
        </xdr:cNvPr>
        <xdr:cNvPicPr>
          <a:picLocks noChangeAspect="1"/>
        </xdr:cNvPicPr>
      </xdr:nvPicPr>
      <xdr:blipFill>
        <a:blip xmlns:r="http://schemas.openxmlformats.org/officeDocument/2006/relationships" r:embed="rId1"/>
        <a:stretch>
          <a:fillRect/>
        </a:stretch>
      </xdr:blipFill>
      <xdr:spPr>
        <a:xfrm>
          <a:off x="105517950" y="0"/>
          <a:ext cx="953846" cy="49896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ablo Emilio Ovalle Pineda" id="{6357448B-6AA6-48CE-8DD9-081BFD957F04}" userId="S::pablo.ovalle@unp.gov.co::d1652a53-d7dd-4b39-adfa-d14ecb99dd7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M60" dT="2023-04-18T22:17:21.54" personId="{6357448B-6AA6-48CE-8DD9-081BFD957F04}" id="{A8687E8F-0EA7-481D-AC41-3E4CC3D86EA9}">
    <text>Actualizar el documento con la firma del responsable del proceso en Dirección ya sea Luis Saavedra o el señor Director (Ojo Ana María Gonzalez, sabe de este tema)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1271E-3664-41D5-869A-EDFCD1E9CC45}">
  <dimension ref="A1:CL82"/>
  <sheetViews>
    <sheetView tabSelected="1" topLeftCell="BT5" zoomScale="60" zoomScaleNormal="60" workbookViewId="0">
      <pane ySplit="1" topLeftCell="A54" activePane="bottomLeft" state="frozen"/>
      <selection activeCell="A5" sqref="A5"/>
      <selection pane="bottomLeft" activeCell="CF58" sqref="CF58"/>
    </sheetView>
  </sheetViews>
  <sheetFormatPr baseColWidth="10" defaultRowHeight="15" x14ac:dyDescent="0.25"/>
  <cols>
    <col min="1" max="1" width="39.42578125" customWidth="1"/>
    <col min="2" max="2" width="53.5703125" customWidth="1"/>
    <col min="3" max="3" width="46.5703125" customWidth="1"/>
    <col min="4" max="4" width="76.5703125" customWidth="1"/>
    <col min="5" max="5" width="61.85546875" customWidth="1"/>
    <col min="6" max="6" width="49.85546875" customWidth="1"/>
    <col min="7" max="7" width="26.140625" customWidth="1"/>
    <col min="8" max="8" width="47.140625" customWidth="1"/>
    <col min="9" max="9" width="105" customWidth="1"/>
    <col min="10" max="10" width="37" style="39" customWidth="1"/>
    <col min="11" max="11" width="20.7109375" customWidth="1"/>
    <col min="12" max="12" width="27.140625" customWidth="1"/>
    <col min="13" max="13" width="22.42578125" customWidth="1"/>
    <col min="14" max="14" width="96.85546875" customWidth="1"/>
    <col min="15" max="15" width="19" customWidth="1"/>
    <col min="16" max="16" width="87.7109375" customWidth="1"/>
    <col min="17" max="17" width="19.42578125" hidden="1" customWidth="1"/>
    <col min="18" max="18" width="18.85546875" hidden="1" customWidth="1"/>
    <col min="19" max="19" width="91.5703125" customWidth="1"/>
    <col min="20" max="20" width="16.28515625" customWidth="1"/>
    <col min="21" max="21" width="96.42578125" customWidth="1"/>
    <col min="22" max="22" width="14.28515625" customWidth="1"/>
    <col min="23" max="23" width="20.7109375" customWidth="1"/>
    <col min="24" max="24" width="36.28515625" hidden="1" customWidth="1"/>
    <col min="25" max="25" width="40" hidden="1" customWidth="1"/>
    <col min="26" max="26" width="20.7109375" hidden="1" customWidth="1"/>
    <col min="27" max="27" width="15.5703125" customWidth="1"/>
    <col min="28" max="28" width="10.5703125" customWidth="1"/>
    <col min="29" max="29" width="12.140625" customWidth="1"/>
    <col min="30" max="30" width="12.28515625" customWidth="1"/>
    <col min="31" max="31" width="15.42578125" customWidth="1"/>
    <col min="32" max="32" width="12.85546875" customWidth="1"/>
    <col min="33" max="33" width="12.5703125" customWidth="1"/>
    <col min="34" max="34" width="10.7109375" customWidth="1"/>
    <col min="35" max="35" width="11.5703125" customWidth="1"/>
    <col min="36" max="36" width="11.140625" customWidth="1"/>
    <col min="37" max="37" width="15.42578125" customWidth="1"/>
    <col min="38" max="38" width="10.42578125" customWidth="1"/>
    <col min="39" max="39" width="15.7109375" customWidth="1"/>
    <col min="40" max="40" width="7.140625" customWidth="1"/>
    <col min="41" max="63" width="11.42578125" customWidth="1"/>
    <col min="64" max="64" width="15.5703125" customWidth="1"/>
    <col min="65" max="70" width="11.42578125" customWidth="1"/>
    <col min="71" max="71" width="11.42578125" style="54" customWidth="1"/>
    <col min="72" max="72" width="12" customWidth="1"/>
    <col min="73" max="88" width="11.42578125" customWidth="1"/>
    <col min="89" max="89" width="12.5703125" bestFit="1" customWidth="1"/>
    <col min="90" max="90" width="18.28515625" bestFit="1" customWidth="1"/>
  </cols>
  <sheetData>
    <row r="1" spans="1:90" hidden="1" x14ac:dyDescent="0.25">
      <c r="A1" s="185"/>
      <c r="B1" s="185"/>
      <c r="C1" s="187" t="s">
        <v>0</v>
      </c>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7"/>
      <c r="BQ1" s="187"/>
      <c r="BR1" s="187"/>
      <c r="BS1" s="187"/>
      <c r="BT1" s="187"/>
      <c r="BU1" s="187"/>
      <c r="BV1" s="187"/>
      <c r="BW1" s="187"/>
      <c r="BX1" s="187"/>
      <c r="BY1" s="187"/>
      <c r="BZ1" s="187"/>
      <c r="CA1" s="187"/>
      <c r="CB1" s="187"/>
      <c r="CC1" s="187"/>
      <c r="CD1" s="187"/>
      <c r="CE1" s="187"/>
      <c r="CF1" s="187"/>
      <c r="CG1" s="187"/>
      <c r="CH1" s="187"/>
      <c r="CI1" s="187"/>
      <c r="CJ1" s="187"/>
      <c r="CK1" s="187"/>
      <c r="CL1" s="187"/>
    </row>
    <row r="2" spans="1:90" hidden="1" x14ac:dyDescent="0.25">
      <c r="A2" s="185"/>
      <c r="B2" s="185"/>
      <c r="C2" s="188" t="s">
        <v>1</v>
      </c>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87"/>
      <c r="BN2" s="187"/>
      <c r="BO2" s="187"/>
      <c r="BP2" s="187"/>
      <c r="BQ2" s="187"/>
      <c r="BR2" s="187"/>
      <c r="BS2" s="187"/>
      <c r="BT2" s="187"/>
      <c r="BU2" s="187"/>
      <c r="BV2" s="187"/>
      <c r="BW2" s="187"/>
      <c r="BX2" s="187"/>
      <c r="BY2" s="187"/>
      <c r="BZ2" s="187"/>
      <c r="CA2" s="187"/>
      <c r="CB2" s="187"/>
      <c r="CC2" s="187"/>
      <c r="CD2" s="187"/>
      <c r="CE2" s="187"/>
      <c r="CF2" s="187"/>
      <c r="CG2" s="187"/>
      <c r="CH2" s="187"/>
      <c r="CI2" s="187"/>
      <c r="CJ2" s="187"/>
      <c r="CK2" s="187"/>
      <c r="CL2" s="187"/>
    </row>
    <row r="3" spans="1:90" hidden="1" x14ac:dyDescent="0.25">
      <c r="A3" s="186"/>
      <c r="B3" s="186"/>
      <c r="C3" s="190" t="s">
        <v>2</v>
      </c>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89"/>
      <c r="BN3" s="189"/>
      <c r="BO3" s="189"/>
      <c r="BP3" s="189"/>
      <c r="BQ3" s="189"/>
      <c r="BR3" s="189"/>
      <c r="BS3" s="189"/>
      <c r="BT3" s="189"/>
      <c r="BU3" s="189"/>
      <c r="BV3" s="189"/>
      <c r="BW3" s="189"/>
      <c r="BX3" s="189"/>
      <c r="BY3" s="189"/>
      <c r="BZ3" s="189"/>
      <c r="CA3" s="189"/>
      <c r="CB3" s="189"/>
      <c r="CC3" s="189"/>
      <c r="CD3" s="189"/>
      <c r="CE3" s="189"/>
      <c r="CF3" s="189"/>
      <c r="CG3" s="189"/>
      <c r="CH3" s="189"/>
      <c r="CI3" s="189"/>
      <c r="CJ3" s="189"/>
      <c r="CK3" s="189"/>
      <c r="CL3" s="189"/>
    </row>
    <row r="4" spans="1:90" ht="15.75" hidden="1" x14ac:dyDescent="0.25">
      <c r="A4" s="193" t="s">
        <v>3</v>
      </c>
      <c r="B4" s="193"/>
      <c r="C4" s="193"/>
      <c r="D4" s="193"/>
      <c r="E4" s="34" t="s">
        <v>4</v>
      </c>
      <c r="F4" s="194" t="s">
        <v>5</v>
      </c>
      <c r="G4" s="195"/>
      <c r="H4" s="195"/>
      <c r="I4" s="195"/>
      <c r="J4" s="195"/>
      <c r="K4" s="195"/>
      <c r="L4" s="195"/>
      <c r="M4" s="196"/>
      <c r="N4" s="41"/>
      <c r="O4" s="42"/>
      <c r="P4" s="42"/>
      <c r="Q4" s="42"/>
      <c r="R4" s="42"/>
      <c r="S4" s="42"/>
      <c r="T4" s="42"/>
      <c r="U4" s="42"/>
      <c r="V4" s="42"/>
      <c r="W4" s="197" t="s">
        <v>36</v>
      </c>
      <c r="X4" s="182" t="s">
        <v>6</v>
      </c>
      <c r="Y4" s="182" t="s">
        <v>7</v>
      </c>
      <c r="Z4" s="182" t="s">
        <v>8</v>
      </c>
      <c r="AA4" s="182" t="s">
        <v>9</v>
      </c>
      <c r="AB4" s="183" t="s">
        <v>10</v>
      </c>
      <c r="AC4" s="183"/>
      <c r="AD4" s="183"/>
      <c r="AE4" s="183"/>
      <c r="AF4" s="183"/>
      <c r="AG4" s="183"/>
      <c r="AH4" s="183"/>
      <c r="AI4" s="183"/>
      <c r="AJ4" s="183"/>
      <c r="AK4" s="183"/>
      <c r="AL4" s="183"/>
      <c r="AM4" s="183"/>
      <c r="AN4" s="182" t="s">
        <v>11</v>
      </c>
      <c r="AO4" s="184" t="s">
        <v>12</v>
      </c>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t="s">
        <v>13</v>
      </c>
      <c r="BN4" s="184"/>
      <c r="BO4" s="184"/>
      <c r="BP4" s="184"/>
      <c r="BQ4" s="184"/>
      <c r="BR4" s="184"/>
      <c r="BS4" s="184"/>
      <c r="BT4" s="184"/>
      <c r="BU4" s="184"/>
      <c r="BV4" s="184"/>
      <c r="BW4" s="184"/>
      <c r="BX4" s="184"/>
      <c r="BY4" s="184"/>
      <c r="BZ4" s="184"/>
      <c r="CA4" s="184"/>
      <c r="CB4" s="184"/>
      <c r="CC4" s="184"/>
      <c r="CD4" s="184"/>
      <c r="CE4" s="184"/>
      <c r="CF4" s="184"/>
      <c r="CG4" s="184"/>
      <c r="CH4" s="184"/>
      <c r="CI4" s="184"/>
      <c r="CJ4" s="184"/>
      <c r="CK4" s="184"/>
      <c r="CL4" s="184"/>
    </row>
    <row r="5" spans="1:90" ht="78.75" x14ac:dyDescent="0.25">
      <c r="A5" s="1" t="s">
        <v>14</v>
      </c>
      <c r="B5" s="1" t="s">
        <v>15</v>
      </c>
      <c r="C5" s="1" t="s">
        <v>16</v>
      </c>
      <c r="D5" s="1" t="s">
        <v>17</v>
      </c>
      <c r="E5" s="2" t="s">
        <v>18</v>
      </c>
      <c r="F5" s="3" t="s">
        <v>19</v>
      </c>
      <c r="G5" s="3" t="s">
        <v>20</v>
      </c>
      <c r="H5" s="4" t="s">
        <v>21</v>
      </c>
      <c r="I5" s="3" t="s">
        <v>22</v>
      </c>
      <c r="J5" s="3" t="s">
        <v>23</v>
      </c>
      <c r="K5" s="3" t="s">
        <v>24</v>
      </c>
      <c r="L5" s="3" t="s">
        <v>25</v>
      </c>
      <c r="M5" s="5" t="s">
        <v>26</v>
      </c>
      <c r="N5" s="6" t="s">
        <v>27</v>
      </c>
      <c r="O5" s="7" t="s">
        <v>28</v>
      </c>
      <c r="P5" s="77" t="s">
        <v>29</v>
      </c>
      <c r="Q5" s="77" t="s">
        <v>30</v>
      </c>
      <c r="R5" s="77" t="s">
        <v>31</v>
      </c>
      <c r="S5" s="8" t="s">
        <v>32</v>
      </c>
      <c r="T5" s="77" t="s">
        <v>33</v>
      </c>
      <c r="U5" s="77" t="s">
        <v>34</v>
      </c>
      <c r="V5" s="77" t="s">
        <v>35</v>
      </c>
      <c r="W5" s="198"/>
      <c r="X5" s="182"/>
      <c r="Y5" s="182"/>
      <c r="Z5" s="182"/>
      <c r="AA5" s="182"/>
      <c r="AB5" s="9" t="s">
        <v>37</v>
      </c>
      <c r="AC5" s="9" t="s">
        <v>38</v>
      </c>
      <c r="AD5" s="9" t="s">
        <v>39</v>
      </c>
      <c r="AE5" s="9" t="s">
        <v>40</v>
      </c>
      <c r="AF5" s="9" t="s">
        <v>41</v>
      </c>
      <c r="AG5" s="9" t="s">
        <v>42</v>
      </c>
      <c r="AH5" s="9" t="s">
        <v>43</v>
      </c>
      <c r="AI5" s="9" t="s">
        <v>44</v>
      </c>
      <c r="AJ5" s="9" t="s">
        <v>45</v>
      </c>
      <c r="AK5" s="9" t="s">
        <v>46</v>
      </c>
      <c r="AL5" s="9" t="s">
        <v>47</v>
      </c>
      <c r="AM5" s="9" t="s">
        <v>48</v>
      </c>
      <c r="AN5" s="182"/>
      <c r="AO5" s="10" t="s">
        <v>49</v>
      </c>
      <c r="AP5" s="10" t="s">
        <v>50</v>
      </c>
      <c r="AQ5" s="3" t="s">
        <v>51</v>
      </c>
      <c r="AR5" s="3" t="s">
        <v>52</v>
      </c>
      <c r="AS5" s="3" t="s">
        <v>53</v>
      </c>
      <c r="AT5" s="3" t="s">
        <v>54</v>
      </c>
      <c r="AU5" s="3" t="s">
        <v>55</v>
      </c>
      <c r="AV5" s="10" t="s">
        <v>50</v>
      </c>
      <c r="AW5" s="3" t="s">
        <v>51</v>
      </c>
      <c r="AX5" s="3" t="s">
        <v>52</v>
      </c>
      <c r="AY5" s="3" t="s">
        <v>53</v>
      </c>
      <c r="AZ5" s="3" t="s">
        <v>54</v>
      </c>
      <c r="BA5" s="10" t="s">
        <v>56</v>
      </c>
      <c r="BB5" s="10" t="s">
        <v>50</v>
      </c>
      <c r="BC5" s="3" t="s">
        <v>51</v>
      </c>
      <c r="BD5" s="3" t="s">
        <v>52</v>
      </c>
      <c r="BE5" s="3" t="s">
        <v>53</v>
      </c>
      <c r="BF5" s="3" t="s">
        <v>54</v>
      </c>
      <c r="BG5" s="10" t="s">
        <v>57</v>
      </c>
      <c r="BH5" s="10" t="s">
        <v>50</v>
      </c>
      <c r="BI5" s="3" t="s">
        <v>51</v>
      </c>
      <c r="BJ5" s="3" t="s">
        <v>52</v>
      </c>
      <c r="BK5" s="3" t="s">
        <v>53</v>
      </c>
      <c r="BL5" s="3" t="s">
        <v>54</v>
      </c>
      <c r="BM5" s="10" t="s">
        <v>49</v>
      </c>
      <c r="BN5" s="10" t="s">
        <v>58</v>
      </c>
      <c r="BO5" s="3" t="s">
        <v>51</v>
      </c>
      <c r="BP5" s="3" t="s">
        <v>52</v>
      </c>
      <c r="BQ5" s="3" t="s">
        <v>53</v>
      </c>
      <c r="BR5" s="3" t="s">
        <v>54</v>
      </c>
      <c r="BS5" s="3" t="s">
        <v>55</v>
      </c>
      <c r="BT5" s="10" t="s">
        <v>58</v>
      </c>
      <c r="BU5" s="3" t="s">
        <v>51</v>
      </c>
      <c r="BV5" s="3" t="s">
        <v>52</v>
      </c>
      <c r="BW5" s="3" t="s">
        <v>53</v>
      </c>
      <c r="BX5" s="3" t="s">
        <v>54</v>
      </c>
      <c r="BY5" s="10" t="s">
        <v>56</v>
      </c>
      <c r="BZ5" s="10" t="s">
        <v>58</v>
      </c>
      <c r="CA5" s="3" t="s">
        <v>51</v>
      </c>
      <c r="CB5" s="3" t="s">
        <v>52</v>
      </c>
      <c r="CC5" s="3" t="s">
        <v>53</v>
      </c>
      <c r="CD5" s="3" t="s">
        <v>54</v>
      </c>
      <c r="CE5" s="10" t="s">
        <v>57</v>
      </c>
      <c r="CF5" s="10" t="s">
        <v>58</v>
      </c>
      <c r="CG5" s="3" t="s">
        <v>51</v>
      </c>
      <c r="CH5" s="3" t="s">
        <v>52</v>
      </c>
      <c r="CI5" s="3" t="s">
        <v>53</v>
      </c>
      <c r="CJ5" s="3" t="s">
        <v>54</v>
      </c>
      <c r="CK5" s="10" t="s">
        <v>59</v>
      </c>
      <c r="CL5" s="10" t="s">
        <v>60</v>
      </c>
    </row>
    <row r="6" spans="1:90" ht="78" customHeight="1" x14ac:dyDescent="0.25">
      <c r="A6" s="175" t="s">
        <v>61</v>
      </c>
      <c r="B6" s="149" t="s">
        <v>62</v>
      </c>
      <c r="C6" s="149" t="s">
        <v>63</v>
      </c>
      <c r="D6" s="169" t="s">
        <v>64</v>
      </c>
      <c r="E6" s="171" t="s">
        <v>65</v>
      </c>
      <c r="F6" s="173" t="s">
        <v>66</v>
      </c>
      <c r="G6" s="139"/>
      <c r="H6" s="169" t="s">
        <v>67</v>
      </c>
      <c r="I6" s="166" t="s">
        <v>68</v>
      </c>
      <c r="J6" s="155" t="s">
        <v>69</v>
      </c>
      <c r="K6" s="35" t="s">
        <v>419</v>
      </c>
      <c r="L6" s="68" t="s">
        <v>70</v>
      </c>
      <c r="M6" s="139">
        <v>1</v>
      </c>
      <c r="N6" s="48" t="s">
        <v>71</v>
      </c>
      <c r="O6" s="44">
        <v>0.25</v>
      </c>
      <c r="P6" s="48" t="s">
        <v>72</v>
      </c>
      <c r="Q6" s="35" t="s">
        <v>73</v>
      </c>
      <c r="R6" s="35" t="s">
        <v>73</v>
      </c>
      <c r="S6" s="48" t="s">
        <v>74</v>
      </c>
      <c r="T6" s="68" t="s">
        <v>75</v>
      </c>
      <c r="U6" s="78" t="s">
        <v>76</v>
      </c>
      <c r="V6" s="79" t="s">
        <v>77</v>
      </c>
      <c r="W6" s="68" t="s">
        <v>78</v>
      </c>
      <c r="X6" s="56" t="s">
        <v>79</v>
      </c>
      <c r="Y6" s="35" t="s">
        <v>73</v>
      </c>
      <c r="Z6" s="35" t="s">
        <v>73</v>
      </c>
      <c r="AA6" s="56" t="s">
        <v>86</v>
      </c>
      <c r="AB6" s="56"/>
      <c r="AC6" s="56"/>
      <c r="AD6" s="37"/>
      <c r="AE6" s="56"/>
      <c r="AF6" s="56"/>
      <c r="AG6" s="37">
        <v>1</v>
      </c>
      <c r="AH6" s="56"/>
      <c r="AI6" s="56"/>
      <c r="AJ6" s="37"/>
      <c r="AK6" s="56"/>
      <c r="AL6" s="56"/>
      <c r="AM6" s="37">
        <v>1</v>
      </c>
      <c r="AN6" s="80">
        <v>1</v>
      </c>
      <c r="AO6" s="11"/>
      <c r="AP6" s="58"/>
      <c r="AQ6" s="58"/>
      <c r="AR6" s="58"/>
      <c r="AS6" s="58"/>
      <c r="AT6" s="58"/>
      <c r="AU6" s="11">
        <f>1/1</f>
        <v>1</v>
      </c>
      <c r="AV6" s="58">
        <f>(AW6+AX6+AY6+AZ6)</f>
        <v>0.5</v>
      </c>
      <c r="AW6" s="58">
        <v>0.25</v>
      </c>
      <c r="AX6" s="58">
        <v>0</v>
      </c>
      <c r="AY6" s="58">
        <v>0.25</v>
      </c>
      <c r="AZ6" s="58">
        <v>0</v>
      </c>
      <c r="BA6" s="11"/>
      <c r="BB6" s="44"/>
      <c r="BC6" s="44"/>
      <c r="BD6" s="44"/>
      <c r="BE6" s="44"/>
      <c r="BF6" s="44"/>
      <c r="BG6" s="40"/>
      <c r="BH6" s="40"/>
      <c r="BI6" s="40"/>
      <c r="BJ6" s="40"/>
      <c r="BK6" s="40"/>
      <c r="BL6" s="40"/>
      <c r="BM6" s="11">
        <v>1</v>
      </c>
      <c r="BN6" s="11">
        <v>1</v>
      </c>
      <c r="BO6" s="44">
        <v>0.25</v>
      </c>
      <c r="BP6" s="44">
        <v>0.25</v>
      </c>
      <c r="BQ6" s="44">
        <v>0.25</v>
      </c>
      <c r="BR6" s="44">
        <v>0.25</v>
      </c>
      <c r="BS6" s="11">
        <f>1/1</f>
        <v>1</v>
      </c>
      <c r="BT6" s="11">
        <f>(BU6+BV6+BW6+BX6)</f>
        <v>0.5</v>
      </c>
      <c r="BU6" s="44">
        <v>0.25</v>
      </c>
      <c r="BV6" s="44">
        <v>0</v>
      </c>
      <c r="BW6" s="44">
        <v>0.25</v>
      </c>
      <c r="BX6" s="44">
        <v>0</v>
      </c>
      <c r="BY6" s="11"/>
      <c r="BZ6" s="11"/>
      <c r="CA6" s="44"/>
      <c r="CB6" s="44"/>
      <c r="CC6" s="44"/>
      <c r="CD6" s="44"/>
      <c r="CE6" s="40"/>
      <c r="CF6" s="40"/>
      <c r="CG6" s="40"/>
      <c r="CH6" s="40"/>
      <c r="CI6" s="40"/>
      <c r="CJ6" s="40"/>
      <c r="CK6" s="44">
        <v>1</v>
      </c>
      <c r="CL6" s="47">
        <v>1</v>
      </c>
    </row>
    <row r="7" spans="1:90" ht="78" customHeight="1" x14ac:dyDescent="0.25">
      <c r="A7" s="175"/>
      <c r="B7" s="150"/>
      <c r="C7" s="150"/>
      <c r="D7" s="170"/>
      <c r="E7" s="172"/>
      <c r="F7" s="174"/>
      <c r="G7" s="156"/>
      <c r="H7" s="170"/>
      <c r="I7" s="167"/>
      <c r="J7" s="156"/>
      <c r="K7" s="35" t="s">
        <v>419</v>
      </c>
      <c r="L7" s="68" t="s">
        <v>70</v>
      </c>
      <c r="M7" s="140"/>
      <c r="N7" s="48" t="s">
        <v>81</v>
      </c>
      <c r="O7" s="44">
        <v>0.25</v>
      </c>
      <c r="P7" s="49" t="s">
        <v>82</v>
      </c>
      <c r="Q7" s="35" t="s">
        <v>73</v>
      </c>
      <c r="R7" s="35" t="s">
        <v>73</v>
      </c>
      <c r="S7" s="49" t="s">
        <v>83</v>
      </c>
      <c r="T7" s="81" t="s">
        <v>84</v>
      </c>
      <c r="U7" s="49" t="s">
        <v>85</v>
      </c>
      <c r="V7" s="82" t="s">
        <v>29</v>
      </c>
      <c r="W7" s="68" t="s">
        <v>78</v>
      </c>
      <c r="X7" s="56" t="s">
        <v>79</v>
      </c>
      <c r="Y7" s="35" t="s">
        <v>73</v>
      </c>
      <c r="Z7" s="35" t="s">
        <v>73</v>
      </c>
      <c r="AA7" s="55" t="s">
        <v>86</v>
      </c>
      <c r="AB7" s="55"/>
      <c r="AC7" s="55"/>
      <c r="AD7" s="57"/>
      <c r="AE7" s="55"/>
      <c r="AF7" s="55"/>
      <c r="AG7" s="35">
        <v>2</v>
      </c>
      <c r="AH7" s="55"/>
      <c r="AI7" s="55"/>
      <c r="AJ7" s="60"/>
      <c r="AK7" s="55"/>
      <c r="AL7" s="55"/>
      <c r="AM7" s="35">
        <v>2</v>
      </c>
      <c r="AN7" s="35">
        <v>4</v>
      </c>
      <c r="AO7" s="40"/>
      <c r="AP7" s="40"/>
      <c r="AQ7" s="40"/>
      <c r="AR7" s="40"/>
      <c r="AS7" s="40"/>
      <c r="AT7" s="40"/>
      <c r="AU7" s="12">
        <v>2</v>
      </c>
      <c r="AV7" s="58">
        <f t="shared" ref="AV7:AV14" si="0">(AW7+AX7+AY7+AZ7)</f>
        <v>0.5</v>
      </c>
      <c r="AW7" s="58">
        <v>0.25</v>
      </c>
      <c r="AX7" s="58">
        <v>0</v>
      </c>
      <c r="AY7" s="58">
        <v>0.25</v>
      </c>
      <c r="AZ7" s="58">
        <v>0</v>
      </c>
      <c r="BA7" s="40"/>
      <c r="BB7" s="40"/>
      <c r="BC7" s="40"/>
      <c r="BD7" s="40"/>
      <c r="BE7" s="40"/>
      <c r="BF7" s="40"/>
      <c r="BG7" s="40"/>
      <c r="BH7" s="40"/>
      <c r="BI7" s="40"/>
      <c r="BJ7" s="40"/>
      <c r="BK7" s="40"/>
      <c r="BL7" s="40"/>
      <c r="BM7" s="40"/>
      <c r="BN7" s="40"/>
      <c r="BO7" s="40"/>
      <c r="BP7" s="40"/>
      <c r="BQ7" s="40"/>
      <c r="BR7" s="40"/>
      <c r="BS7" s="35">
        <v>2</v>
      </c>
      <c r="BT7" s="11">
        <f>(BU7+BV7+BW7+BX7)</f>
        <v>0.5</v>
      </c>
      <c r="BU7" s="58">
        <v>0.25</v>
      </c>
      <c r="BV7" s="58">
        <v>0</v>
      </c>
      <c r="BW7" s="58">
        <v>0.25</v>
      </c>
      <c r="BX7" s="58">
        <v>0</v>
      </c>
      <c r="BY7" s="40"/>
      <c r="BZ7" s="40"/>
      <c r="CA7" s="40"/>
      <c r="CB7" s="40"/>
      <c r="CC7" s="40"/>
      <c r="CD7" s="40"/>
      <c r="CE7" s="40"/>
      <c r="CF7" s="40"/>
      <c r="CG7" s="40"/>
      <c r="CH7" s="40"/>
      <c r="CI7" s="40"/>
      <c r="CJ7" s="40"/>
      <c r="CK7" s="52">
        <v>2</v>
      </c>
      <c r="CL7" s="11">
        <f>2/4</f>
        <v>0.5</v>
      </c>
    </row>
    <row r="8" spans="1:90" ht="78" customHeight="1" x14ac:dyDescent="0.25">
      <c r="A8" s="175"/>
      <c r="B8" s="150"/>
      <c r="C8" s="150"/>
      <c r="D8" s="170"/>
      <c r="E8" s="172"/>
      <c r="F8" s="174"/>
      <c r="G8" s="156"/>
      <c r="H8" s="170"/>
      <c r="I8" s="167"/>
      <c r="J8" s="156"/>
      <c r="K8" s="35" t="s">
        <v>420</v>
      </c>
      <c r="L8" s="68" t="s">
        <v>70</v>
      </c>
      <c r="M8" s="140"/>
      <c r="N8" s="48" t="s">
        <v>87</v>
      </c>
      <c r="O8" s="44">
        <v>0.25</v>
      </c>
      <c r="P8" s="49" t="s">
        <v>88</v>
      </c>
      <c r="Q8" s="35" t="s">
        <v>73</v>
      </c>
      <c r="R8" s="35" t="s">
        <v>73</v>
      </c>
      <c r="S8" s="49" t="s">
        <v>89</v>
      </c>
      <c r="T8" s="81" t="s">
        <v>75</v>
      </c>
      <c r="U8" s="84" t="s">
        <v>90</v>
      </c>
      <c r="V8" s="82" t="s">
        <v>77</v>
      </c>
      <c r="W8" s="68" t="s">
        <v>91</v>
      </c>
      <c r="X8" s="56" t="s">
        <v>79</v>
      </c>
      <c r="Y8" s="35" t="s">
        <v>73</v>
      </c>
      <c r="Z8" s="35" t="s">
        <v>73</v>
      </c>
      <c r="AA8" s="55" t="s">
        <v>80</v>
      </c>
      <c r="AB8" s="55"/>
      <c r="AC8" s="55"/>
      <c r="AD8" s="57">
        <v>1</v>
      </c>
      <c r="AE8" s="55"/>
      <c r="AF8" s="55"/>
      <c r="AG8" s="57">
        <v>1</v>
      </c>
      <c r="AH8" s="55"/>
      <c r="AI8" s="55"/>
      <c r="AJ8" s="57">
        <v>1</v>
      </c>
      <c r="AK8" s="55"/>
      <c r="AL8" s="55"/>
      <c r="AM8" s="57">
        <v>1</v>
      </c>
      <c r="AN8" s="57">
        <v>1</v>
      </c>
      <c r="AO8" s="37">
        <v>1</v>
      </c>
      <c r="AP8" s="37">
        <f>AQ8+AR8+AS8+AT8</f>
        <v>0.75</v>
      </c>
      <c r="AQ8" s="37">
        <v>0.25</v>
      </c>
      <c r="AR8" s="37">
        <v>0.25</v>
      </c>
      <c r="AS8" s="37">
        <v>0</v>
      </c>
      <c r="AT8" s="37">
        <v>0.25</v>
      </c>
      <c r="AU8" s="14">
        <v>1</v>
      </c>
      <c r="AV8" s="58">
        <f t="shared" si="0"/>
        <v>0.5</v>
      </c>
      <c r="AW8" s="58">
        <v>0.25</v>
      </c>
      <c r="AX8" s="58">
        <v>0</v>
      </c>
      <c r="AY8" s="58">
        <v>0.25</v>
      </c>
      <c r="AZ8" s="58">
        <v>0</v>
      </c>
      <c r="BA8" s="14"/>
      <c r="BB8" s="14"/>
      <c r="BC8" s="59"/>
      <c r="BD8" s="59"/>
      <c r="BE8" s="59"/>
      <c r="BF8" s="59"/>
      <c r="BG8" s="40"/>
      <c r="BH8" s="40"/>
      <c r="BI8" s="40"/>
      <c r="BJ8" s="40"/>
      <c r="BK8" s="40"/>
      <c r="BL8" s="40"/>
      <c r="BM8" s="44">
        <v>1</v>
      </c>
      <c r="BN8" s="37">
        <f>BO8+BP8+BQ8+BR8</f>
        <v>0.75</v>
      </c>
      <c r="BO8" s="44">
        <v>0.25</v>
      </c>
      <c r="BP8" s="44">
        <v>0.25</v>
      </c>
      <c r="BQ8" s="44">
        <v>0</v>
      </c>
      <c r="BR8" s="44">
        <v>0.25</v>
      </c>
      <c r="BS8" s="11">
        <f>4/4</f>
        <v>1</v>
      </c>
      <c r="BT8" s="11">
        <f>(BU8+BV8+BW8+BX8)</f>
        <v>0.5</v>
      </c>
      <c r="BU8" s="44">
        <v>0.25</v>
      </c>
      <c r="BV8" s="44">
        <v>0</v>
      </c>
      <c r="BW8" s="44">
        <v>0.25</v>
      </c>
      <c r="BX8" s="44">
        <v>0</v>
      </c>
      <c r="BY8" s="11"/>
      <c r="BZ8" s="11"/>
      <c r="CA8" s="44"/>
      <c r="CB8" s="44"/>
      <c r="CC8" s="44"/>
      <c r="CD8" s="44"/>
      <c r="CE8" s="40"/>
      <c r="CF8" s="40"/>
      <c r="CG8" s="40"/>
      <c r="CH8" s="40"/>
      <c r="CI8" s="40"/>
      <c r="CJ8" s="40"/>
      <c r="CK8" s="44">
        <f>(BM8+BS8)/2</f>
        <v>1</v>
      </c>
      <c r="CL8" s="44">
        <f>+CK8/AG8</f>
        <v>1</v>
      </c>
    </row>
    <row r="9" spans="1:90" ht="78" customHeight="1" x14ac:dyDescent="0.25">
      <c r="A9" s="175"/>
      <c r="B9" s="151"/>
      <c r="C9" s="151"/>
      <c r="D9" s="176"/>
      <c r="E9" s="177"/>
      <c r="F9" s="178"/>
      <c r="G9" s="157"/>
      <c r="H9" s="176"/>
      <c r="I9" s="180"/>
      <c r="J9" s="157"/>
      <c r="K9" s="35" t="s">
        <v>419</v>
      </c>
      <c r="L9" s="68" t="s">
        <v>70</v>
      </c>
      <c r="M9" s="141"/>
      <c r="N9" s="48" t="s">
        <v>92</v>
      </c>
      <c r="O9" s="44">
        <v>0.25</v>
      </c>
      <c r="P9" s="49" t="s">
        <v>93</v>
      </c>
      <c r="Q9" s="35" t="s">
        <v>73</v>
      </c>
      <c r="R9" s="35" t="s">
        <v>73</v>
      </c>
      <c r="S9" s="49" t="s">
        <v>94</v>
      </c>
      <c r="T9" s="81" t="s">
        <v>84</v>
      </c>
      <c r="U9" s="84" t="s">
        <v>95</v>
      </c>
      <c r="V9" s="82" t="s">
        <v>29</v>
      </c>
      <c r="W9" s="68" t="s">
        <v>78</v>
      </c>
      <c r="X9" s="56" t="s">
        <v>79</v>
      </c>
      <c r="Y9" s="35" t="s">
        <v>73</v>
      </c>
      <c r="Z9" s="35" t="s">
        <v>73</v>
      </c>
      <c r="AA9" s="55" t="s">
        <v>86</v>
      </c>
      <c r="AB9" s="55"/>
      <c r="AC9" s="55"/>
      <c r="AD9" s="57"/>
      <c r="AE9" s="55"/>
      <c r="AF9" s="55"/>
      <c r="AG9" s="35">
        <v>2</v>
      </c>
      <c r="AH9" s="60"/>
      <c r="AI9" s="60"/>
      <c r="AJ9" s="60"/>
      <c r="AK9" s="60"/>
      <c r="AL9" s="60"/>
      <c r="AM9" s="35">
        <v>2</v>
      </c>
      <c r="AN9" s="35">
        <v>4</v>
      </c>
      <c r="AO9" s="40"/>
      <c r="AP9" s="40"/>
      <c r="AQ9" s="40"/>
      <c r="AR9" s="40"/>
      <c r="AS9" s="40"/>
      <c r="AT9" s="40"/>
      <c r="AU9" s="12">
        <v>2</v>
      </c>
      <c r="AV9" s="58">
        <f t="shared" si="0"/>
        <v>0.5</v>
      </c>
      <c r="AW9" s="58">
        <v>0.25</v>
      </c>
      <c r="AX9" s="58">
        <v>0</v>
      </c>
      <c r="AY9" s="58">
        <v>0.25</v>
      </c>
      <c r="AZ9" s="58">
        <v>0</v>
      </c>
      <c r="BA9" s="40"/>
      <c r="BB9" s="40"/>
      <c r="BC9" s="40"/>
      <c r="BD9" s="40"/>
      <c r="BE9" s="40"/>
      <c r="BF9" s="40"/>
      <c r="BG9" s="40"/>
      <c r="BH9" s="40"/>
      <c r="BI9" s="40"/>
      <c r="BJ9" s="40"/>
      <c r="BK9" s="40"/>
      <c r="BL9" s="40"/>
      <c r="BM9" s="40"/>
      <c r="BN9" s="40"/>
      <c r="BO9" s="40"/>
      <c r="BP9" s="40"/>
      <c r="BQ9" s="40"/>
      <c r="BR9" s="40"/>
      <c r="BS9" s="35">
        <v>2</v>
      </c>
      <c r="BT9" s="11">
        <f>(BU9+BV9+BW9+BX9)</f>
        <v>0.5</v>
      </c>
      <c r="BU9" s="58">
        <v>0.25</v>
      </c>
      <c r="BV9" s="58">
        <v>0</v>
      </c>
      <c r="BW9" s="58">
        <v>0.25</v>
      </c>
      <c r="BX9" s="58">
        <v>0</v>
      </c>
      <c r="BY9" s="40"/>
      <c r="BZ9" s="40"/>
      <c r="CA9" s="40"/>
      <c r="CB9" s="40"/>
      <c r="CC9" s="40"/>
      <c r="CD9" s="40"/>
      <c r="CE9" s="40"/>
      <c r="CF9" s="40"/>
      <c r="CG9" s="40"/>
      <c r="CH9" s="40"/>
      <c r="CI9" s="40"/>
      <c r="CJ9" s="40"/>
      <c r="CK9" s="52">
        <f>BS9</f>
        <v>2</v>
      </c>
      <c r="CL9" s="44">
        <f>2/4</f>
        <v>0.5</v>
      </c>
    </row>
    <row r="10" spans="1:90" ht="78" customHeight="1" x14ac:dyDescent="0.25">
      <c r="A10" s="175"/>
      <c r="B10" s="149" t="s">
        <v>96</v>
      </c>
      <c r="C10" s="149" t="s">
        <v>97</v>
      </c>
      <c r="D10" s="169" t="s">
        <v>98</v>
      </c>
      <c r="E10" s="171" t="s">
        <v>99</v>
      </c>
      <c r="F10" s="173" t="s">
        <v>100</v>
      </c>
      <c r="G10" s="168"/>
      <c r="H10" s="149" t="s">
        <v>101</v>
      </c>
      <c r="I10" s="181" t="s">
        <v>102</v>
      </c>
      <c r="J10" s="155" t="s">
        <v>69</v>
      </c>
      <c r="K10" s="35" t="s">
        <v>421</v>
      </c>
      <c r="L10" s="81" t="s">
        <v>70</v>
      </c>
      <c r="M10" s="139">
        <v>1</v>
      </c>
      <c r="N10" s="48" t="s">
        <v>103</v>
      </c>
      <c r="O10" s="61">
        <v>0.33329999999999999</v>
      </c>
      <c r="P10" s="49" t="s">
        <v>104</v>
      </c>
      <c r="Q10" s="35" t="s">
        <v>73</v>
      </c>
      <c r="R10" s="35" t="s">
        <v>73</v>
      </c>
      <c r="S10" s="49" t="s">
        <v>105</v>
      </c>
      <c r="T10" s="81" t="s">
        <v>84</v>
      </c>
      <c r="U10" s="49" t="s">
        <v>105</v>
      </c>
      <c r="V10" s="81" t="s">
        <v>29</v>
      </c>
      <c r="W10" s="81" t="s">
        <v>106</v>
      </c>
      <c r="X10" s="56" t="s">
        <v>79</v>
      </c>
      <c r="Y10" s="35" t="s">
        <v>73</v>
      </c>
      <c r="Z10" s="35" t="s">
        <v>73</v>
      </c>
      <c r="AA10" s="55" t="s">
        <v>107</v>
      </c>
      <c r="AB10" s="55">
        <v>1</v>
      </c>
      <c r="AC10" s="55">
        <v>1</v>
      </c>
      <c r="AD10" s="55">
        <v>1</v>
      </c>
      <c r="AE10" s="55">
        <v>1</v>
      </c>
      <c r="AF10" s="55">
        <v>1</v>
      </c>
      <c r="AG10" s="55">
        <v>1</v>
      </c>
      <c r="AH10" s="55">
        <v>1</v>
      </c>
      <c r="AI10" s="55">
        <v>1</v>
      </c>
      <c r="AJ10" s="55">
        <v>1</v>
      </c>
      <c r="AK10" s="55">
        <v>1</v>
      </c>
      <c r="AL10" s="55">
        <v>1</v>
      </c>
      <c r="AM10" s="55">
        <v>1</v>
      </c>
      <c r="AN10" s="15">
        <v>12</v>
      </c>
      <c r="AO10" s="35">
        <f>1+1+1</f>
        <v>3</v>
      </c>
      <c r="AP10" s="58">
        <f>AQ10+AR10+AS10+AT10</f>
        <v>1</v>
      </c>
      <c r="AQ10" s="14">
        <f>(25%+25%+25%)/3</f>
        <v>0.25</v>
      </c>
      <c r="AR10" s="14">
        <f t="shared" ref="AR10:AT10" si="1">(25%+25%+25%)/3</f>
        <v>0.25</v>
      </c>
      <c r="AS10" s="14">
        <f t="shared" si="1"/>
        <v>0.25</v>
      </c>
      <c r="AT10" s="14">
        <f t="shared" si="1"/>
        <v>0.25</v>
      </c>
      <c r="AU10" s="35">
        <f>1+1+1</f>
        <v>3</v>
      </c>
      <c r="AV10" s="58">
        <f t="shared" si="0"/>
        <v>1</v>
      </c>
      <c r="AW10" s="14">
        <f>(25%+25%+25%)/3</f>
        <v>0.25</v>
      </c>
      <c r="AX10" s="14">
        <f t="shared" ref="AX10:AZ10" si="2">(25%+25%+25%)/3</f>
        <v>0.25</v>
      </c>
      <c r="AY10" s="14">
        <f t="shared" si="2"/>
        <v>0.25</v>
      </c>
      <c r="AZ10" s="14">
        <f t="shared" si="2"/>
        <v>0.25</v>
      </c>
      <c r="BA10" s="67"/>
      <c r="BB10" s="85"/>
      <c r="BC10" s="85"/>
      <c r="BD10" s="85"/>
      <c r="BE10" s="85"/>
      <c r="BF10" s="85"/>
      <c r="BG10" s="67"/>
      <c r="BH10" s="85"/>
      <c r="BI10" s="85"/>
      <c r="BJ10" s="85"/>
      <c r="BK10" s="85"/>
      <c r="BL10" s="85"/>
      <c r="BM10" s="35">
        <f>1+1+1</f>
        <v>3</v>
      </c>
      <c r="BN10" s="11">
        <f>BO10+BP10+BQ10+BR10</f>
        <v>1</v>
      </c>
      <c r="BO10" s="14">
        <f t="shared" ref="BO10:BR10" si="3">(25%+25%+25%)/3</f>
        <v>0.25</v>
      </c>
      <c r="BP10" s="14">
        <f t="shared" si="3"/>
        <v>0.25</v>
      </c>
      <c r="BQ10" s="14">
        <f t="shared" si="3"/>
        <v>0.25</v>
      </c>
      <c r="BR10" s="14">
        <f t="shared" si="3"/>
        <v>0.25</v>
      </c>
      <c r="BS10" s="35">
        <f>1+1+1</f>
        <v>3</v>
      </c>
      <c r="BT10" s="11">
        <f>BU10+BV10+BW10+BX10</f>
        <v>1</v>
      </c>
      <c r="BU10" s="14">
        <f t="shared" ref="BU10:BX10" si="4">(25%+25%+25%)/3</f>
        <v>0.25</v>
      </c>
      <c r="BV10" s="14">
        <f t="shared" si="4"/>
        <v>0.25</v>
      </c>
      <c r="BW10" s="14">
        <f t="shared" si="4"/>
        <v>0.25</v>
      </c>
      <c r="BX10" s="14">
        <f t="shared" si="4"/>
        <v>0.25</v>
      </c>
      <c r="BY10" s="67"/>
      <c r="BZ10" s="85"/>
      <c r="CA10" s="85"/>
      <c r="CB10" s="85"/>
      <c r="CC10" s="85"/>
      <c r="CD10" s="85"/>
      <c r="CE10" s="67"/>
      <c r="CF10" s="85"/>
      <c r="CG10" s="85"/>
      <c r="CH10" s="85"/>
      <c r="CI10" s="85"/>
      <c r="CJ10" s="85"/>
      <c r="CK10" s="52">
        <f>BS10+BM10</f>
        <v>6</v>
      </c>
      <c r="CL10" s="44">
        <f>6/12</f>
        <v>0.5</v>
      </c>
    </row>
    <row r="11" spans="1:90" ht="78" customHeight="1" x14ac:dyDescent="0.25">
      <c r="A11" s="175"/>
      <c r="B11" s="150"/>
      <c r="C11" s="150"/>
      <c r="D11" s="170"/>
      <c r="E11" s="172"/>
      <c r="F11" s="174"/>
      <c r="G11" s="168"/>
      <c r="H11" s="150"/>
      <c r="I11" s="181"/>
      <c r="J11" s="156"/>
      <c r="K11" s="35" t="s">
        <v>422</v>
      </c>
      <c r="L11" s="68" t="s">
        <v>70</v>
      </c>
      <c r="M11" s="140"/>
      <c r="N11" s="48" t="s">
        <v>108</v>
      </c>
      <c r="O11" s="61">
        <v>0.33329999999999999</v>
      </c>
      <c r="P11" s="49" t="s">
        <v>109</v>
      </c>
      <c r="Q11" s="35" t="s">
        <v>73</v>
      </c>
      <c r="R11" s="35" t="s">
        <v>73</v>
      </c>
      <c r="S11" s="49" t="s">
        <v>110</v>
      </c>
      <c r="T11" s="81" t="s">
        <v>84</v>
      </c>
      <c r="U11" s="49" t="s">
        <v>111</v>
      </c>
      <c r="V11" s="81" t="s">
        <v>29</v>
      </c>
      <c r="W11" s="81" t="s">
        <v>112</v>
      </c>
      <c r="X11" s="56" t="s">
        <v>79</v>
      </c>
      <c r="Y11" s="35" t="s">
        <v>73</v>
      </c>
      <c r="Z11" s="35" t="s">
        <v>73</v>
      </c>
      <c r="AA11" s="86" t="s">
        <v>86</v>
      </c>
      <c r="AB11" s="55"/>
      <c r="AC11" s="55"/>
      <c r="AD11" s="55"/>
      <c r="AE11" s="55"/>
      <c r="AF11" s="55"/>
      <c r="AG11" s="55">
        <v>1</v>
      </c>
      <c r="AH11" s="55"/>
      <c r="AI11" s="55"/>
      <c r="AJ11" s="55"/>
      <c r="AK11" s="55"/>
      <c r="AL11" s="55"/>
      <c r="AM11" s="55">
        <v>1</v>
      </c>
      <c r="AN11" s="55">
        <v>2</v>
      </c>
      <c r="AO11" s="40"/>
      <c r="AP11" s="40"/>
      <c r="AQ11" s="40"/>
      <c r="AR11" s="40"/>
      <c r="AS11" s="40"/>
      <c r="AT11" s="40"/>
      <c r="AU11" s="55">
        <v>1</v>
      </c>
      <c r="AV11" s="58">
        <f t="shared" si="0"/>
        <v>0.75</v>
      </c>
      <c r="AW11" s="44">
        <v>0.25</v>
      </c>
      <c r="AX11" s="44">
        <v>0.25</v>
      </c>
      <c r="AY11" s="44">
        <v>0.25</v>
      </c>
      <c r="AZ11" s="44">
        <v>0</v>
      </c>
      <c r="BA11" s="40"/>
      <c r="BB11" s="40"/>
      <c r="BC11" s="40"/>
      <c r="BD11" s="40"/>
      <c r="BE11" s="40"/>
      <c r="BF11" s="40"/>
      <c r="BG11" s="40"/>
      <c r="BH11" s="40"/>
      <c r="BI11" s="40"/>
      <c r="BJ11" s="40"/>
      <c r="BK11" s="40"/>
      <c r="BL11" s="40"/>
      <c r="BM11" s="40"/>
      <c r="BN11" s="40"/>
      <c r="BO11" s="40"/>
      <c r="BP11" s="40"/>
      <c r="BQ11" s="40"/>
      <c r="BR11" s="40"/>
      <c r="BS11" s="35">
        <v>1</v>
      </c>
      <c r="BT11" s="11">
        <f t="shared" ref="BT11:BT16" si="5">(BU11+BV11+BW11+BX11)</f>
        <v>1</v>
      </c>
      <c r="BU11" s="44">
        <v>0.25</v>
      </c>
      <c r="BV11" s="44">
        <v>0.25</v>
      </c>
      <c r="BW11" s="44">
        <v>0.25</v>
      </c>
      <c r="BX11" s="44">
        <v>0.25</v>
      </c>
      <c r="BY11" s="40"/>
      <c r="BZ11" s="40"/>
      <c r="CA11" s="40"/>
      <c r="CB11" s="40"/>
      <c r="CC11" s="40"/>
      <c r="CD11" s="40"/>
      <c r="CE11" s="40"/>
      <c r="CF11" s="40"/>
      <c r="CG11" s="40"/>
      <c r="CH11" s="40"/>
      <c r="CI11" s="40"/>
      <c r="CJ11" s="40"/>
      <c r="CK11" s="52">
        <f>BS11</f>
        <v>1</v>
      </c>
      <c r="CL11" s="44">
        <f>CK11/2</f>
        <v>0.5</v>
      </c>
    </row>
    <row r="12" spans="1:90" ht="78" customHeight="1" x14ac:dyDescent="0.25">
      <c r="A12" s="175"/>
      <c r="B12" s="150"/>
      <c r="C12" s="150"/>
      <c r="D12" s="170"/>
      <c r="E12" s="172"/>
      <c r="F12" s="174"/>
      <c r="G12" s="168"/>
      <c r="H12" s="150"/>
      <c r="I12" s="181"/>
      <c r="J12" s="156"/>
      <c r="K12" s="35" t="s">
        <v>421</v>
      </c>
      <c r="L12" s="68" t="s">
        <v>70</v>
      </c>
      <c r="M12" s="141"/>
      <c r="N12" s="48" t="s">
        <v>113</v>
      </c>
      <c r="O12" s="61">
        <v>0.33329999999999999</v>
      </c>
      <c r="P12" s="48" t="s">
        <v>114</v>
      </c>
      <c r="Q12" s="35" t="s">
        <v>73</v>
      </c>
      <c r="R12" s="35" t="s">
        <v>73</v>
      </c>
      <c r="S12" s="48" t="s">
        <v>115</v>
      </c>
      <c r="T12" s="68" t="s">
        <v>75</v>
      </c>
      <c r="U12" s="48" t="s">
        <v>116</v>
      </c>
      <c r="V12" s="68" t="s">
        <v>77</v>
      </c>
      <c r="W12" s="81" t="s">
        <v>106</v>
      </c>
      <c r="X12" s="56" t="s">
        <v>79</v>
      </c>
      <c r="Y12" s="35" t="s">
        <v>73</v>
      </c>
      <c r="Z12" s="35" t="s">
        <v>73</v>
      </c>
      <c r="AA12" s="56" t="s">
        <v>80</v>
      </c>
      <c r="AB12" s="56"/>
      <c r="AC12" s="56"/>
      <c r="AD12" s="37">
        <v>1</v>
      </c>
      <c r="AE12" s="56"/>
      <c r="AF12" s="56"/>
      <c r="AG12" s="37">
        <v>1</v>
      </c>
      <c r="AH12" s="56"/>
      <c r="AI12" s="56"/>
      <c r="AJ12" s="37">
        <v>1</v>
      </c>
      <c r="AK12" s="56"/>
      <c r="AL12" s="56"/>
      <c r="AM12" s="37">
        <v>1</v>
      </c>
      <c r="AN12" s="80">
        <v>1</v>
      </c>
      <c r="AO12" s="87">
        <f>40/40</f>
        <v>1</v>
      </c>
      <c r="AP12" s="85">
        <f>AQ12+AR12+AS12+AT12</f>
        <v>1</v>
      </c>
      <c r="AQ12" s="85">
        <v>0.25</v>
      </c>
      <c r="AR12" s="85">
        <v>0.25</v>
      </c>
      <c r="AS12" s="85">
        <v>0.25</v>
      </c>
      <c r="AT12" s="85">
        <v>0.25</v>
      </c>
      <c r="AU12" s="87">
        <f>40/40</f>
        <v>1</v>
      </c>
      <c r="AV12" s="58">
        <f t="shared" si="0"/>
        <v>1</v>
      </c>
      <c r="AW12" s="85">
        <v>0.25</v>
      </c>
      <c r="AX12" s="85">
        <v>0.25</v>
      </c>
      <c r="AY12" s="85">
        <v>0.25</v>
      </c>
      <c r="AZ12" s="85">
        <v>0.25</v>
      </c>
      <c r="BA12" s="87"/>
      <c r="BB12" s="85"/>
      <c r="BC12" s="85"/>
      <c r="BD12" s="85"/>
      <c r="BE12" s="85"/>
      <c r="BF12" s="85"/>
      <c r="BG12" s="40"/>
      <c r="BH12" s="40"/>
      <c r="BI12" s="40"/>
      <c r="BJ12" s="40"/>
      <c r="BK12" s="40"/>
      <c r="BL12" s="40"/>
      <c r="BM12" s="11">
        <f>40/40</f>
        <v>1</v>
      </c>
      <c r="BN12" s="11">
        <f>BO12+BP12+BQ12+BR12</f>
        <v>1</v>
      </c>
      <c r="BO12" s="85">
        <v>0.25</v>
      </c>
      <c r="BP12" s="85">
        <v>0.25</v>
      </c>
      <c r="BQ12" s="85">
        <v>0.25</v>
      </c>
      <c r="BR12" s="85">
        <v>0.25</v>
      </c>
      <c r="BS12" s="11">
        <f>40/40</f>
        <v>1</v>
      </c>
      <c r="BT12" s="11">
        <f t="shared" si="5"/>
        <v>1</v>
      </c>
      <c r="BU12" s="85">
        <v>0.25</v>
      </c>
      <c r="BV12" s="85">
        <v>0.25</v>
      </c>
      <c r="BW12" s="85">
        <v>0.25</v>
      </c>
      <c r="BX12" s="85">
        <v>0.25</v>
      </c>
      <c r="BY12" s="11"/>
      <c r="BZ12" s="85"/>
      <c r="CA12" s="85"/>
      <c r="CB12" s="85"/>
      <c r="CC12" s="85"/>
      <c r="CD12" s="85"/>
      <c r="CE12" s="40"/>
      <c r="CF12" s="40"/>
      <c r="CG12" s="40"/>
      <c r="CH12" s="40"/>
      <c r="CI12" s="40"/>
      <c r="CJ12" s="40"/>
      <c r="CK12" s="26">
        <f>(BN12+BS12)/2</f>
        <v>1</v>
      </c>
      <c r="CL12" s="44">
        <f>+CK12/AG12</f>
        <v>1</v>
      </c>
    </row>
    <row r="13" spans="1:90" ht="78" customHeight="1" x14ac:dyDescent="0.25">
      <c r="A13" s="175"/>
      <c r="B13" s="150"/>
      <c r="C13" s="150"/>
      <c r="D13" s="170"/>
      <c r="E13" s="172"/>
      <c r="F13" s="174"/>
      <c r="G13" s="61"/>
      <c r="H13" s="150"/>
      <c r="I13" s="88" t="s">
        <v>118</v>
      </c>
      <c r="J13" s="89" t="s">
        <v>69</v>
      </c>
      <c r="K13" s="35" t="s">
        <v>423</v>
      </c>
      <c r="L13" s="68" t="s">
        <v>117</v>
      </c>
      <c r="M13" s="44">
        <v>1</v>
      </c>
      <c r="N13" s="48" t="s">
        <v>119</v>
      </c>
      <c r="O13" s="79">
        <v>1</v>
      </c>
      <c r="P13" s="48" t="s">
        <v>120</v>
      </c>
      <c r="Q13" s="35" t="s">
        <v>73</v>
      </c>
      <c r="R13" s="35" t="s">
        <v>73</v>
      </c>
      <c r="S13" s="48" t="s">
        <v>121</v>
      </c>
      <c r="T13" s="68" t="s">
        <v>75</v>
      </c>
      <c r="U13" s="48" t="s">
        <v>122</v>
      </c>
      <c r="V13" s="68" t="s">
        <v>77</v>
      </c>
      <c r="W13" s="68" t="s">
        <v>91</v>
      </c>
      <c r="X13" s="56" t="s">
        <v>79</v>
      </c>
      <c r="Y13" s="35" t="s">
        <v>73</v>
      </c>
      <c r="Z13" s="35" t="s">
        <v>73</v>
      </c>
      <c r="AA13" s="56" t="s">
        <v>80</v>
      </c>
      <c r="AB13" s="56"/>
      <c r="AC13" s="56"/>
      <c r="AD13" s="57">
        <v>1</v>
      </c>
      <c r="AE13" s="56"/>
      <c r="AF13" s="56"/>
      <c r="AG13" s="57">
        <v>1</v>
      </c>
      <c r="AH13" s="56"/>
      <c r="AI13" s="56"/>
      <c r="AJ13" s="57">
        <v>1</v>
      </c>
      <c r="AK13" s="56"/>
      <c r="AL13" s="56"/>
      <c r="AM13" s="57">
        <v>1</v>
      </c>
      <c r="AN13" s="57">
        <v>1</v>
      </c>
      <c r="AO13" s="37">
        <f>385/385</f>
        <v>1</v>
      </c>
      <c r="AP13" s="37">
        <f>AQ13+AR13+AS13+AT13</f>
        <v>0.75</v>
      </c>
      <c r="AQ13" s="37">
        <v>0.25</v>
      </c>
      <c r="AR13" s="37">
        <v>0.25</v>
      </c>
      <c r="AS13" s="37">
        <v>0</v>
      </c>
      <c r="AT13" s="37">
        <v>0.25</v>
      </c>
      <c r="AU13" s="14">
        <v>1</v>
      </c>
      <c r="AV13" s="58">
        <f t="shared" si="0"/>
        <v>1</v>
      </c>
      <c r="AW13" s="58">
        <v>0.25</v>
      </c>
      <c r="AX13" s="58">
        <v>0.25</v>
      </c>
      <c r="AY13" s="58">
        <v>0.25</v>
      </c>
      <c r="AZ13" s="58">
        <v>0.25</v>
      </c>
      <c r="BA13" s="14"/>
      <c r="BB13" s="14"/>
      <c r="BC13" s="59"/>
      <c r="BD13" s="59"/>
      <c r="BE13" s="59"/>
      <c r="BF13" s="59"/>
      <c r="BG13" s="40"/>
      <c r="BH13" s="40"/>
      <c r="BI13" s="40"/>
      <c r="BJ13" s="40"/>
      <c r="BK13" s="40"/>
      <c r="BL13" s="40"/>
      <c r="BM13" s="11">
        <f>385/385</f>
        <v>1</v>
      </c>
      <c r="BN13" s="37">
        <f>BO13+BP13+BQ13+BR13</f>
        <v>0.75</v>
      </c>
      <c r="BO13" s="44">
        <v>0.25</v>
      </c>
      <c r="BP13" s="44">
        <v>0.25</v>
      </c>
      <c r="BQ13" s="44">
        <v>0</v>
      </c>
      <c r="BR13" s="44">
        <v>0.25</v>
      </c>
      <c r="BS13" s="11">
        <f>262/262</f>
        <v>1</v>
      </c>
      <c r="BT13" s="11">
        <f t="shared" si="5"/>
        <v>1</v>
      </c>
      <c r="BU13" s="44">
        <v>0.25</v>
      </c>
      <c r="BV13" s="44">
        <v>0.25</v>
      </c>
      <c r="BW13" s="44">
        <v>0.25</v>
      </c>
      <c r="BX13" s="44">
        <v>0.25</v>
      </c>
      <c r="BY13" s="11"/>
      <c r="BZ13" s="11"/>
      <c r="CA13" s="44"/>
      <c r="CB13" s="44"/>
      <c r="CC13" s="44"/>
      <c r="CD13" s="44"/>
      <c r="CE13" s="40"/>
      <c r="CF13" s="40"/>
      <c r="CG13" s="40"/>
      <c r="CH13" s="40"/>
      <c r="CI13" s="40"/>
      <c r="CJ13" s="40"/>
      <c r="CK13" s="44">
        <f>(BM13+BS13)/2</f>
        <v>1</v>
      </c>
      <c r="CL13" s="44">
        <f>+CK13/AG13</f>
        <v>1</v>
      </c>
    </row>
    <row r="14" spans="1:90" ht="78" customHeight="1" x14ac:dyDescent="0.25">
      <c r="A14" s="175"/>
      <c r="B14" s="150"/>
      <c r="C14" s="150"/>
      <c r="D14" s="170"/>
      <c r="E14" s="172"/>
      <c r="F14" s="174"/>
      <c r="G14" s="179"/>
      <c r="H14" s="150"/>
      <c r="I14" s="152" t="s">
        <v>405</v>
      </c>
      <c r="J14" s="155" t="s">
        <v>69</v>
      </c>
      <c r="K14" s="35" t="s">
        <v>424</v>
      </c>
      <c r="L14" s="68" t="s">
        <v>117</v>
      </c>
      <c r="M14" s="139">
        <v>1</v>
      </c>
      <c r="N14" s="90" t="s">
        <v>123</v>
      </c>
      <c r="O14" s="44">
        <v>0.5</v>
      </c>
      <c r="P14" s="48" t="s">
        <v>124</v>
      </c>
      <c r="Q14" s="35" t="s">
        <v>73</v>
      </c>
      <c r="R14" s="35" t="s">
        <v>73</v>
      </c>
      <c r="S14" s="48" t="s">
        <v>125</v>
      </c>
      <c r="T14" s="91" t="s">
        <v>75</v>
      </c>
      <c r="U14" s="48" t="s">
        <v>126</v>
      </c>
      <c r="V14" s="68" t="s">
        <v>77</v>
      </c>
      <c r="W14" s="68" t="s">
        <v>91</v>
      </c>
      <c r="X14" s="56" t="s">
        <v>79</v>
      </c>
      <c r="Y14" s="35" t="s">
        <v>73</v>
      </c>
      <c r="Z14" s="35" t="s">
        <v>73</v>
      </c>
      <c r="AA14" s="56" t="s">
        <v>80</v>
      </c>
      <c r="AB14" s="56"/>
      <c r="AC14" s="56"/>
      <c r="AD14" s="37">
        <v>1</v>
      </c>
      <c r="AE14" s="56"/>
      <c r="AF14" s="56"/>
      <c r="AG14" s="37">
        <v>1</v>
      </c>
      <c r="AH14" s="56"/>
      <c r="AI14" s="56"/>
      <c r="AJ14" s="37">
        <v>1</v>
      </c>
      <c r="AK14" s="56"/>
      <c r="AL14" s="56"/>
      <c r="AM14" s="37">
        <v>1</v>
      </c>
      <c r="AN14" s="37">
        <v>1</v>
      </c>
      <c r="AO14" s="37">
        <f>13/13</f>
        <v>1</v>
      </c>
      <c r="AP14" s="37">
        <f>AQ14+AR14+AS14+AT14</f>
        <v>0.75</v>
      </c>
      <c r="AQ14" s="37">
        <v>0.25</v>
      </c>
      <c r="AR14" s="37">
        <v>0.25</v>
      </c>
      <c r="AS14" s="37">
        <v>0</v>
      </c>
      <c r="AT14" s="37">
        <v>0.25</v>
      </c>
      <c r="AU14" s="14">
        <v>1</v>
      </c>
      <c r="AV14" s="58">
        <f t="shared" si="0"/>
        <v>1</v>
      </c>
      <c r="AW14" s="58">
        <v>0.25</v>
      </c>
      <c r="AX14" s="58">
        <v>0.25</v>
      </c>
      <c r="AY14" s="58">
        <v>0.25</v>
      </c>
      <c r="AZ14" s="58">
        <v>0.25</v>
      </c>
      <c r="BA14" s="14"/>
      <c r="BB14" s="14"/>
      <c r="BC14" s="59"/>
      <c r="BD14" s="59"/>
      <c r="BE14" s="59"/>
      <c r="BF14" s="59"/>
      <c r="BG14" s="40"/>
      <c r="BH14" s="40"/>
      <c r="BI14" s="40"/>
      <c r="BJ14" s="40"/>
      <c r="BK14" s="40"/>
      <c r="BL14" s="40"/>
      <c r="BM14" s="37">
        <f>13/13</f>
        <v>1</v>
      </c>
      <c r="BN14" s="37">
        <f>BO14+BP14+BQ14+BR14</f>
        <v>0.75</v>
      </c>
      <c r="BO14" s="44">
        <v>0.25</v>
      </c>
      <c r="BP14" s="44">
        <v>0.25</v>
      </c>
      <c r="BQ14" s="44">
        <v>0</v>
      </c>
      <c r="BR14" s="44">
        <v>0.25</v>
      </c>
      <c r="BS14" s="11">
        <f>13/13</f>
        <v>1</v>
      </c>
      <c r="BT14" s="11">
        <f t="shared" si="5"/>
        <v>1</v>
      </c>
      <c r="BU14" s="44">
        <v>0.25</v>
      </c>
      <c r="BV14" s="44">
        <v>0.25</v>
      </c>
      <c r="BW14" s="44">
        <v>0.25</v>
      </c>
      <c r="BX14" s="44">
        <v>0.25</v>
      </c>
      <c r="BY14" s="11"/>
      <c r="BZ14" s="11"/>
      <c r="CA14" s="44"/>
      <c r="CB14" s="44"/>
      <c r="CC14" s="44"/>
      <c r="CD14" s="44"/>
      <c r="CE14" s="40"/>
      <c r="CF14" s="40"/>
      <c r="CG14" s="40"/>
      <c r="CH14" s="40"/>
      <c r="CI14" s="40"/>
      <c r="CJ14" s="40"/>
      <c r="CK14" s="44">
        <f>(BM14+BS14)/2</f>
        <v>1</v>
      </c>
      <c r="CL14" s="44">
        <f>+CK14/AG14</f>
        <v>1</v>
      </c>
    </row>
    <row r="15" spans="1:90" ht="78" customHeight="1" x14ac:dyDescent="0.25">
      <c r="A15" s="175"/>
      <c r="B15" s="150"/>
      <c r="C15" s="150"/>
      <c r="D15" s="170"/>
      <c r="E15" s="172"/>
      <c r="F15" s="174"/>
      <c r="G15" s="179"/>
      <c r="H15" s="150"/>
      <c r="I15" s="154"/>
      <c r="J15" s="157"/>
      <c r="K15" s="35" t="s">
        <v>425</v>
      </c>
      <c r="L15" s="68" t="s">
        <v>117</v>
      </c>
      <c r="M15" s="141"/>
      <c r="N15" s="48" t="s">
        <v>127</v>
      </c>
      <c r="O15" s="44">
        <v>0.5</v>
      </c>
      <c r="P15" s="48" t="s">
        <v>128</v>
      </c>
      <c r="Q15" s="35" t="s">
        <v>73</v>
      </c>
      <c r="R15" s="35" t="s">
        <v>73</v>
      </c>
      <c r="S15" s="48" t="s">
        <v>129</v>
      </c>
      <c r="T15" s="81" t="s">
        <v>84</v>
      </c>
      <c r="U15" s="48" t="s">
        <v>130</v>
      </c>
      <c r="V15" s="68" t="s">
        <v>29</v>
      </c>
      <c r="W15" s="68" t="s">
        <v>131</v>
      </c>
      <c r="X15" s="56" t="s">
        <v>79</v>
      </c>
      <c r="Y15" s="35" t="s">
        <v>73</v>
      </c>
      <c r="Z15" s="35" t="s">
        <v>73</v>
      </c>
      <c r="AA15" s="56" t="s">
        <v>462</v>
      </c>
      <c r="AB15" s="92"/>
      <c r="AC15" s="92"/>
      <c r="AD15" s="93"/>
      <c r="AE15" s="92"/>
      <c r="AF15" s="92"/>
      <c r="AG15" s="93">
        <v>1</v>
      </c>
      <c r="AH15" s="92"/>
      <c r="AI15" s="92"/>
      <c r="AJ15" s="92"/>
      <c r="AK15" s="92"/>
      <c r="AL15" s="92"/>
      <c r="AM15" s="93"/>
      <c r="AN15" s="94">
        <v>1</v>
      </c>
      <c r="AO15" s="40"/>
      <c r="AP15" s="40"/>
      <c r="AQ15" s="40"/>
      <c r="AR15" s="40"/>
      <c r="AS15" s="40"/>
      <c r="AT15" s="40"/>
      <c r="AU15" s="59"/>
      <c r="AV15" s="14"/>
      <c r="AW15" s="14"/>
      <c r="AX15" s="14"/>
      <c r="AY15" s="14"/>
      <c r="AZ15" s="14"/>
      <c r="BA15" s="40"/>
      <c r="BB15" s="40"/>
      <c r="BC15" s="40"/>
      <c r="BD15" s="40"/>
      <c r="BE15" s="40"/>
      <c r="BF15" s="40"/>
      <c r="BG15" s="40"/>
      <c r="BH15" s="40"/>
      <c r="BI15" s="40"/>
      <c r="BJ15" s="40"/>
      <c r="BK15" s="40"/>
      <c r="BL15" s="40"/>
      <c r="BM15" s="40"/>
      <c r="BN15" s="40"/>
      <c r="BO15" s="40"/>
      <c r="BP15" s="40"/>
      <c r="BQ15" s="40"/>
      <c r="BR15" s="40"/>
      <c r="BS15" s="35">
        <v>0</v>
      </c>
      <c r="BT15" s="11">
        <f t="shared" si="5"/>
        <v>0</v>
      </c>
      <c r="BU15" s="44">
        <v>0</v>
      </c>
      <c r="BV15" s="44">
        <v>0</v>
      </c>
      <c r="BW15" s="44">
        <v>0</v>
      </c>
      <c r="BX15" s="44">
        <v>0</v>
      </c>
      <c r="BY15" s="44">
        <v>0</v>
      </c>
      <c r="BZ15" s="44">
        <v>0</v>
      </c>
      <c r="CA15" s="44">
        <v>0</v>
      </c>
      <c r="CB15" s="44">
        <v>0</v>
      </c>
      <c r="CC15" s="44">
        <v>0</v>
      </c>
      <c r="CD15" s="44">
        <v>0</v>
      </c>
      <c r="CE15" s="44">
        <v>0</v>
      </c>
      <c r="CF15" s="44">
        <v>0</v>
      </c>
      <c r="CG15" s="44">
        <v>0</v>
      </c>
      <c r="CH15" s="44">
        <v>0</v>
      </c>
      <c r="CI15" s="44">
        <v>0</v>
      </c>
      <c r="CJ15" s="44">
        <v>0</v>
      </c>
      <c r="CK15" s="44">
        <f>BS15</f>
        <v>0</v>
      </c>
      <c r="CL15" s="44">
        <f>+BS15/AG15</f>
        <v>0</v>
      </c>
    </row>
    <row r="16" spans="1:90" ht="78" customHeight="1" x14ac:dyDescent="0.25">
      <c r="A16" s="175"/>
      <c r="B16" s="150"/>
      <c r="C16" s="150"/>
      <c r="D16" s="170"/>
      <c r="E16" s="172"/>
      <c r="F16" s="174"/>
      <c r="G16" s="61"/>
      <c r="H16" s="150"/>
      <c r="I16" s="95" t="s">
        <v>461</v>
      </c>
      <c r="J16" s="89" t="s">
        <v>69</v>
      </c>
      <c r="K16" s="35" t="s">
        <v>426</v>
      </c>
      <c r="L16" s="68" t="s">
        <v>70</v>
      </c>
      <c r="M16" s="44">
        <v>1</v>
      </c>
      <c r="N16" s="90" t="s">
        <v>133</v>
      </c>
      <c r="O16" s="73">
        <v>1</v>
      </c>
      <c r="P16" s="48" t="s">
        <v>134</v>
      </c>
      <c r="Q16" s="35" t="s">
        <v>73</v>
      </c>
      <c r="R16" s="35" t="s">
        <v>73</v>
      </c>
      <c r="S16" s="48" t="s">
        <v>135</v>
      </c>
      <c r="T16" s="68" t="s">
        <v>75</v>
      </c>
      <c r="U16" s="48" t="s">
        <v>136</v>
      </c>
      <c r="V16" s="68" t="s">
        <v>77</v>
      </c>
      <c r="W16" s="96" t="s">
        <v>137</v>
      </c>
      <c r="X16" s="56" t="s">
        <v>79</v>
      </c>
      <c r="Y16" s="35" t="s">
        <v>73</v>
      </c>
      <c r="Z16" s="35" t="s">
        <v>73</v>
      </c>
      <c r="AA16" s="35" t="s">
        <v>80</v>
      </c>
      <c r="AB16" s="40"/>
      <c r="AC16" s="40"/>
      <c r="AD16" s="37">
        <v>1</v>
      </c>
      <c r="AE16" s="40"/>
      <c r="AF16" s="40"/>
      <c r="AG16" s="37">
        <v>1</v>
      </c>
      <c r="AH16" s="40"/>
      <c r="AI16" s="40"/>
      <c r="AJ16" s="37">
        <v>1</v>
      </c>
      <c r="AK16" s="40"/>
      <c r="AL16" s="40"/>
      <c r="AM16" s="37">
        <v>1</v>
      </c>
      <c r="AN16" s="37">
        <v>1</v>
      </c>
      <c r="AO16" s="44">
        <f>5/5</f>
        <v>1</v>
      </c>
      <c r="AP16" s="44">
        <f>AQ16+AR16+AS16+AT16</f>
        <v>1</v>
      </c>
      <c r="AQ16" s="44">
        <v>0.25</v>
      </c>
      <c r="AR16" s="44">
        <v>0.25</v>
      </c>
      <c r="AS16" s="44">
        <v>0.25</v>
      </c>
      <c r="AT16" s="44">
        <v>0.25</v>
      </c>
      <c r="AU16" s="11">
        <f>10/10</f>
        <v>1</v>
      </c>
      <c r="AV16" s="44">
        <f>(AW16+AX16+AY16+AZ16)</f>
        <v>1</v>
      </c>
      <c r="AW16" s="44">
        <v>0.25</v>
      </c>
      <c r="AX16" s="44">
        <v>0.25</v>
      </c>
      <c r="AY16" s="44">
        <v>0.25</v>
      </c>
      <c r="AZ16" s="44">
        <v>0.25</v>
      </c>
      <c r="BA16" s="11"/>
      <c r="BB16" s="44"/>
      <c r="BC16" s="44"/>
      <c r="BD16" s="44"/>
      <c r="BE16" s="44"/>
      <c r="BF16" s="44"/>
      <c r="BG16" s="40"/>
      <c r="BH16" s="40"/>
      <c r="BI16" s="40"/>
      <c r="BJ16" s="40"/>
      <c r="BK16" s="40"/>
      <c r="BL16" s="40"/>
      <c r="BM16" s="44">
        <f>5/5</f>
        <v>1</v>
      </c>
      <c r="BN16" s="11">
        <f t="shared" ref="BN16:BN22" si="6">BO16+BP16+BQ16+BR16</f>
        <v>1</v>
      </c>
      <c r="BO16" s="44">
        <v>0.25</v>
      </c>
      <c r="BP16" s="44">
        <v>0.25</v>
      </c>
      <c r="BQ16" s="44">
        <v>0.25</v>
      </c>
      <c r="BR16" s="44">
        <v>0.25</v>
      </c>
      <c r="BS16" s="44">
        <f>10/10</f>
        <v>1</v>
      </c>
      <c r="BT16" s="11">
        <f t="shared" si="5"/>
        <v>1</v>
      </c>
      <c r="BU16" s="44">
        <v>0.25</v>
      </c>
      <c r="BV16" s="44">
        <v>0.25</v>
      </c>
      <c r="BW16" s="44">
        <v>0.25</v>
      </c>
      <c r="BX16" s="44">
        <v>0.25</v>
      </c>
      <c r="BY16" s="44"/>
      <c r="BZ16" s="11"/>
      <c r="CA16" s="44"/>
      <c r="CB16" s="44"/>
      <c r="CC16" s="44"/>
      <c r="CD16" s="44"/>
      <c r="CE16" s="40"/>
      <c r="CF16" s="40"/>
      <c r="CG16" s="40"/>
      <c r="CH16" s="40"/>
      <c r="CI16" s="40"/>
      <c r="CJ16" s="40"/>
      <c r="CK16" s="44">
        <f>(BM16+BS16)/2</f>
        <v>1</v>
      </c>
      <c r="CL16" s="44">
        <f>+CK16/AG16</f>
        <v>1</v>
      </c>
    </row>
    <row r="17" spans="1:90" ht="78" customHeight="1" x14ac:dyDescent="0.25">
      <c r="A17" s="149" t="s">
        <v>138</v>
      </c>
      <c r="B17" s="160" t="s">
        <v>139</v>
      </c>
      <c r="C17" s="160" t="s">
        <v>140</v>
      </c>
      <c r="D17" s="162" t="s">
        <v>141</v>
      </c>
      <c r="E17" s="164" t="s">
        <v>65</v>
      </c>
      <c r="F17" s="166" t="s">
        <v>142</v>
      </c>
      <c r="G17" s="168"/>
      <c r="H17" s="149" t="s">
        <v>67</v>
      </c>
      <c r="I17" s="152"/>
      <c r="J17" s="155" t="s">
        <v>69</v>
      </c>
      <c r="K17" s="35" t="s">
        <v>427</v>
      </c>
      <c r="L17" s="35" t="s">
        <v>117</v>
      </c>
      <c r="M17" s="139">
        <v>1</v>
      </c>
      <c r="N17" s="46" t="s">
        <v>143</v>
      </c>
      <c r="O17" s="61">
        <v>0.1666</v>
      </c>
      <c r="P17" s="46" t="s">
        <v>144</v>
      </c>
      <c r="Q17" s="35" t="s">
        <v>73</v>
      </c>
      <c r="R17" s="35" t="s">
        <v>73</v>
      </c>
      <c r="S17" s="46" t="s">
        <v>145</v>
      </c>
      <c r="T17" s="68" t="s">
        <v>84</v>
      </c>
      <c r="U17" s="46" t="s">
        <v>146</v>
      </c>
      <c r="V17" s="68" t="s">
        <v>147</v>
      </c>
      <c r="W17" s="81" t="s">
        <v>106</v>
      </c>
      <c r="X17" s="56" t="s">
        <v>79</v>
      </c>
      <c r="Y17" s="35" t="s">
        <v>73</v>
      </c>
      <c r="Z17" s="35" t="s">
        <v>73</v>
      </c>
      <c r="AA17" s="56" t="s">
        <v>107</v>
      </c>
      <c r="AB17" s="55">
        <v>60</v>
      </c>
      <c r="AC17" s="55">
        <v>60</v>
      </c>
      <c r="AD17" s="55">
        <v>60</v>
      </c>
      <c r="AE17" s="55">
        <v>60</v>
      </c>
      <c r="AF17" s="55">
        <v>60</v>
      </c>
      <c r="AG17" s="55">
        <v>60</v>
      </c>
      <c r="AH17" s="55">
        <v>60</v>
      </c>
      <c r="AI17" s="55">
        <v>60</v>
      </c>
      <c r="AJ17" s="55">
        <v>60</v>
      </c>
      <c r="AK17" s="55">
        <v>60</v>
      </c>
      <c r="AL17" s="55">
        <v>60</v>
      </c>
      <c r="AM17" s="55">
        <v>60</v>
      </c>
      <c r="AN17" s="55">
        <v>60</v>
      </c>
      <c r="AO17" s="45">
        <f>(37333.53+32721.6+49982.48)/(663+510+761)</f>
        <v>62.067016546018621</v>
      </c>
      <c r="AP17" s="58">
        <f>AQ17+AR17+AS17+AT17</f>
        <v>1</v>
      </c>
      <c r="AQ17" s="14">
        <f>(25%+25%+25%)/3</f>
        <v>0.25</v>
      </c>
      <c r="AR17" s="14">
        <f>(25%+25%+25%)/3</f>
        <v>0.25</v>
      </c>
      <c r="AS17" s="14">
        <f>(25%+25%+25%)/3</f>
        <v>0.25</v>
      </c>
      <c r="AT17" s="14">
        <f>(25%+25%+25%)/3</f>
        <v>0.25</v>
      </c>
      <c r="AU17" s="45">
        <f>(47023.8+44982+45327)/(724+714+561)</f>
        <v>68.700750375187582</v>
      </c>
      <c r="AV17" s="58">
        <f>AW17+AX17+AY17+AZ17</f>
        <v>1</v>
      </c>
      <c r="AW17" s="14">
        <f>(25%+25%+25%)/3</f>
        <v>0.25</v>
      </c>
      <c r="AX17" s="14">
        <f>(25%+25%+25%)/3</f>
        <v>0.25</v>
      </c>
      <c r="AY17" s="14">
        <f>(25%+25%+25%)/3</f>
        <v>0.25</v>
      </c>
      <c r="AZ17" s="14">
        <f>(25%+25%+25%)/3</f>
        <v>0.25</v>
      </c>
      <c r="BA17" s="45"/>
      <c r="BB17" s="14"/>
      <c r="BC17" s="85"/>
      <c r="BD17" s="85"/>
      <c r="BE17" s="85"/>
      <c r="BF17" s="85"/>
      <c r="BG17" s="45"/>
      <c r="BH17" s="14"/>
      <c r="BI17" s="85"/>
      <c r="BJ17" s="85"/>
      <c r="BK17" s="85"/>
      <c r="BL17" s="85"/>
      <c r="BM17" s="45">
        <f>(37333.53+32721.6+49982.48)/(663+510+761)</f>
        <v>62.067016546018621</v>
      </c>
      <c r="BN17" s="11">
        <f t="shared" si="6"/>
        <v>1</v>
      </c>
      <c r="BO17" s="14">
        <f t="shared" ref="BO17:BR20" si="7">(25%+25%+25%)/3</f>
        <v>0.25</v>
      </c>
      <c r="BP17" s="14">
        <f t="shared" si="7"/>
        <v>0.25</v>
      </c>
      <c r="BQ17" s="14">
        <f t="shared" si="7"/>
        <v>0.25</v>
      </c>
      <c r="BR17" s="14">
        <f t="shared" si="7"/>
        <v>0.25</v>
      </c>
      <c r="BS17" s="45">
        <f>(47023.8+44982+45327)/(724+714+561)</f>
        <v>68.700750375187582</v>
      </c>
      <c r="BT17" s="11">
        <f>BU17+BV17+BW17+BX17</f>
        <v>1</v>
      </c>
      <c r="BU17" s="14">
        <f t="shared" ref="BU17:BX20" si="8">(25%+25%+25%)/3</f>
        <v>0.25</v>
      </c>
      <c r="BV17" s="14">
        <f t="shared" si="8"/>
        <v>0.25</v>
      </c>
      <c r="BW17" s="14">
        <f t="shared" si="8"/>
        <v>0.25</v>
      </c>
      <c r="BX17" s="14">
        <f t="shared" si="8"/>
        <v>0.25</v>
      </c>
      <c r="BY17" s="45"/>
      <c r="BZ17" s="85"/>
      <c r="CA17" s="85"/>
      <c r="CB17" s="85"/>
      <c r="CC17" s="85"/>
      <c r="CD17" s="85"/>
      <c r="CE17" s="45"/>
      <c r="CF17" s="85"/>
      <c r="CG17" s="85"/>
      <c r="CH17" s="85"/>
      <c r="CI17" s="85"/>
      <c r="CJ17" s="85"/>
      <c r="CK17" s="74">
        <f>(BM17+BS17)/2</f>
        <v>65.383883460603101</v>
      </c>
      <c r="CL17" s="75">
        <v>0.92310000000000003</v>
      </c>
    </row>
    <row r="18" spans="1:90" ht="78" customHeight="1" x14ac:dyDescent="0.25">
      <c r="A18" s="150"/>
      <c r="B18" s="161"/>
      <c r="C18" s="161"/>
      <c r="D18" s="163"/>
      <c r="E18" s="165"/>
      <c r="F18" s="167"/>
      <c r="G18" s="168"/>
      <c r="H18" s="150"/>
      <c r="I18" s="153"/>
      <c r="J18" s="156"/>
      <c r="K18" s="35" t="s">
        <v>428</v>
      </c>
      <c r="L18" s="68" t="s">
        <v>70</v>
      </c>
      <c r="M18" s="140"/>
      <c r="N18" s="46" t="s">
        <v>148</v>
      </c>
      <c r="O18" s="61">
        <v>0.1666</v>
      </c>
      <c r="P18" s="46" t="s">
        <v>149</v>
      </c>
      <c r="Q18" s="35" t="s">
        <v>73</v>
      </c>
      <c r="R18" s="35" t="s">
        <v>73</v>
      </c>
      <c r="S18" s="46" t="s">
        <v>150</v>
      </c>
      <c r="T18" s="81" t="s">
        <v>84</v>
      </c>
      <c r="U18" s="46" t="s">
        <v>151</v>
      </c>
      <c r="V18" s="68" t="s">
        <v>147</v>
      </c>
      <c r="W18" s="68" t="s">
        <v>112</v>
      </c>
      <c r="X18" s="56" t="s">
        <v>79</v>
      </c>
      <c r="Y18" s="35" t="s">
        <v>73</v>
      </c>
      <c r="Z18" s="35" t="s">
        <v>73</v>
      </c>
      <c r="AA18" s="56" t="s">
        <v>107</v>
      </c>
      <c r="AB18" s="19">
        <v>60</v>
      </c>
      <c r="AC18" s="19">
        <v>60</v>
      </c>
      <c r="AD18" s="19">
        <v>60</v>
      </c>
      <c r="AE18" s="19">
        <v>60</v>
      </c>
      <c r="AF18" s="19">
        <v>60</v>
      </c>
      <c r="AG18" s="19">
        <v>60</v>
      </c>
      <c r="AH18" s="19">
        <v>60</v>
      </c>
      <c r="AI18" s="19">
        <v>60</v>
      </c>
      <c r="AJ18" s="19">
        <v>60</v>
      </c>
      <c r="AK18" s="19">
        <v>60</v>
      </c>
      <c r="AL18" s="19">
        <v>60</v>
      </c>
      <c r="AM18" s="19">
        <v>60</v>
      </c>
      <c r="AN18" s="19">
        <v>60</v>
      </c>
      <c r="AO18" s="45">
        <f>(0+0+172)/(0+0+5)</f>
        <v>34.4</v>
      </c>
      <c r="AP18" s="11">
        <f>AQ18+AR18+AS18+AT18</f>
        <v>0.75</v>
      </c>
      <c r="AQ18" s="16">
        <f t="shared" ref="AQ18:AS20" si="9">(25%+25%+25%)/3</f>
        <v>0.25</v>
      </c>
      <c r="AR18" s="16">
        <f t="shared" si="9"/>
        <v>0.25</v>
      </c>
      <c r="AS18" s="16">
        <f t="shared" si="9"/>
        <v>0.25</v>
      </c>
      <c r="AT18" s="16">
        <v>0</v>
      </c>
      <c r="AU18" s="45">
        <f>(345+774+1003)/(10+11+19)</f>
        <v>53.05</v>
      </c>
      <c r="AV18" s="11">
        <f>AW18+AX18+AY18+AZ18</f>
        <v>0.75</v>
      </c>
      <c r="AW18" s="16">
        <f t="shared" ref="AW18:AY18" si="10">(25%+25%+25%)/3</f>
        <v>0.25</v>
      </c>
      <c r="AX18" s="16">
        <f t="shared" si="10"/>
        <v>0.25</v>
      </c>
      <c r="AY18" s="16">
        <f t="shared" si="10"/>
        <v>0.25</v>
      </c>
      <c r="AZ18" s="16">
        <v>0</v>
      </c>
      <c r="BA18" s="45"/>
      <c r="BB18" s="58"/>
      <c r="BC18" s="85"/>
      <c r="BD18" s="85"/>
      <c r="BE18" s="85"/>
      <c r="BF18" s="85"/>
      <c r="BG18" s="45"/>
      <c r="BH18" s="58"/>
      <c r="BI18" s="85"/>
      <c r="BJ18" s="85"/>
      <c r="BK18" s="85"/>
      <c r="BL18" s="85"/>
      <c r="BM18" s="45">
        <f>+(0+0+172)/(0+0+5)</f>
        <v>34.4</v>
      </c>
      <c r="BN18" s="11">
        <f t="shared" si="6"/>
        <v>0.75</v>
      </c>
      <c r="BO18" s="16">
        <f t="shared" si="7"/>
        <v>0.25</v>
      </c>
      <c r="BP18" s="16">
        <f t="shared" si="7"/>
        <v>0.25</v>
      </c>
      <c r="BQ18" s="16">
        <f t="shared" si="7"/>
        <v>0.25</v>
      </c>
      <c r="BR18" s="16">
        <f>(0%+0%+0%)/3</f>
        <v>0</v>
      </c>
      <c r="BS18" s="45">
        <f>+(345+774+1003)/(10+11+19)</f>
        <v>53.05</v>
      </c>
      <c r="BT18" s="11">
        <f>BU18+BV18+BW18+BX18</f>
        <v>0.75</v>
      </c>
      <c r="BU18" s="16">
        <f t="shared" si="8"/>
        <v>0.25</v>
      </c>
      <c r="BV18" s="16">
        <f t="shared" si="8"/>
        <v>0.25</v>
      </c>
      <c r="BW18" s="16">
        <f t="shared" si="8"/>
        <v>0.25</v>
      </c>
      <c r="BX18" s="16">
        <f>(0%+0%+0%)/3</f>
        <v>0</v>
      </c>
      <c r="BY18" s="45"/>
      <c r="BZ18" s="11"/>
      <c r="CA18" s="85"/>
      <c r="CB18" s="85"/>
      <c r="CC18" s="85"/>
      <c r="CD18" s="85"/>
      <c r="CE18" s="45"/>
      <c r="CF18" s="58"/>
      <c r="CG18" s="85"/>
      <c r="CH18" s="85"/>
      <c r="CI18" s="85"/>
      <c r="CJ18" s="85"/>
      <c r="CK18" s="45">
        <f>(BM18+BS18)/2</f>
        <v>43.724999999999994</v>
      </c>
      <c r="CL18" s="11">
        <v>1</v>
      </c>
    </row>
    <row r="19" spans="1:90" ht="78" customHeight="1" x14ac:dyDescent="0.25">
      <c r="A19" s="150"/>
      <c r="B19" s="161"/>
      <c r="C19" s="161"/>
      <c r="D19" s="163"/>
      <c r="E19" s="165"/>
      <c r="F19" s="167"/>
      <c r="G19" s="168"/>
      <c r="H19" s="150"/>
      <c r="I19" s="153"/>
      <c r="J19" s="156"/>
      <c r="K19" s="35" t="s">
        <v>428</v>
      </c>
      <c r="L19" s="35" t="s">
        <v>117</v>
      </c>
      <c r="M19" s="140"/>
      <c r="N19" s="46" t="s">
        <v>152</v>
      </c>
      <c r="O19" s="61">
        <v>0.1666</v>
      </c>
      <c r="P19" s="46" t="s">
        <v>153</v>
      </c>
      <c r="Q19" s="35" t="s">
        <v>73</v>
      </c>
      <c r="R19" s="35" t="s">
        <v>73</v>
      </c>
      <c r="S19" s="46" t="s">
        <v>154</v>
      </c>
      <c r="T19" s="68" t="s">
        <v>75</v>
      </c>
      <c r="U19" s="46" t="s">
        <v>155</v>
      </c>
      <c r="V19" s="68" t="s">
        <v>147</v>
      </c>
      <c r="W19" s="68" t="s">
        <v>112</v>
      </c>
      <c r="X19" s="56" t="s">
        <v>79</v>
      </c>
      <c r="Y19" s="35" t="s">
        <v>73</v>
      </c>
      <c r="Z19" s="35" t="s">
        <v>73</v>
      </c>
      <c r="AA19" s="56" t="s">
        <v>107</v>
      </c>
      <c r="AB19" s="21">
        <v>8.3299999999999999E-2</v>
      </c>
      <c r="AC19" s="21">
        <v>0.1666</v>
      </c>
      <c r="AD19" s="21">
        <v>0.24990000000000001</v>
      </c>
      <c r="AE19" s="21">
        <v>0.3332</v>
      </c>
      <c r="AF19" s="21">
        <v>0.41649999999999998</v>
      </c>
      <c r="AG19" s="21">
        <v>0.49979999999999997</v>
      </c>
      <c r="AH19" s="21">
        <v>0.58309999999999995</v>
      </c>
      <c r="AI19" s="21">
        <v>0.66639999999999999</v>
      </c>
      <c r="AJ19" s="21">
        <v>0.74970000000000003</v>
      </c>
      <c r="AK19" s="21">
        <v>0.83300000000000007</v>
      </c>
      <c r="AL19" s="21">
        <v>0.91630000000000011</v>
      </c>
      <c r="AM19" s="21">
        <v>0.99960000000000016</v>
      </c>
      <c r="AN19" s="20">
        <v>1</v>
      </c>
      <c r="AO19" s="17">
        <f>(0+17+125)/745</f>
        <v>0.1906040268456376</v>
      </c>
      <c r="AP19" s="11">
        <f>AQ19+AR19+AS19+AT19</f>
        <v>0.75</v>
      </c>
      <c r="AQ19" s="16">
        <f t="shared" si="9"/>
        <v>0.25</v>
      </c>
      <c r="AR19" s="16">
        <f t="shared" si="9"/>
        <v>0.25</v>
      </c>
      <c r="AS19" s="16">
        <f t="shared" si="9"/>
        <v>0.25</v>
      </c>
      <c r="AT19" s="16">
        <v>0</v>
      </c>
      <c r="AU19" s="16">
        <f>(389)/745</f>
        <v>0.52214765100671146</v>
      </c>
      <c r="AV19" s="58">
        <v>0.75</v>
      </c>
      <c r="AW19" s="14">
        <v>0.25</v>
      </c>
      <c r="AX19" s="14">
        <v>0.25</v>
      </c>
      <c r="AY19" s="14">
        <v>0.25</v>
      </c>
      <c r="AZ19" s="14">
        <v>0</v>
      </c>
      <c r="BA19" s="61"/>
      <c r="BB19" s="58"/>
      <c r="BC19" s="85"/>
      <c r="BD19" s="85"/>
      <c r="BE19" s="85"/>
      <c r="BF19" s="85"/>
      <c r="BG19" s="44"/>
      <c r="BH19" s="58"/>
      <c r="BI19" s="85"/>
      <c r="BJ19" s="85"/>
      <c r="BK19" s="85"/>
      <c r="BL19" s="85"/>
      <c r="BM19" s="22">
        <f>(0+17+125)/745</f>
        <v>0.1906040268456376</v>
      </c>
      <c r="BN19" s="11">
        <f t="shared" si="6"/>
        <v>0.75</v>
      </c>
      <c r="BO19" s="16">
        <f t="shared" si="7"/>
        <v>0.25</v>
      </c>
      <c r="BP19" s="16">
        <f t="shared" si="7"/>
        <v>0.25</v>
      </c>
      <c r="BQ19" s="16">
        <f t="shared" si="7"/>
        <v>0.25</v>
      </c>
      <c r="BR19" s="16">
        <f>(0%+0%+0%)/3</f>
        <v>0</v>
      </c>
      <c r="BS19" s="97">
        <f>(389)/(745)</f>
        <v>0.52214765100671146</v>
      </c>
      <c r="BT19" s="11">
        <f>(BU19+BV19+BW19+BX19)</f>
        <v>1</v>
      </c>
      <c r="BU19" s="16">
        <v>0.25</v>
      </c>
      <c r="BV19" s="16">
        <v>0.25</v>
      </c>
      <c r="BW19" s="16">
        <v>0.25</v>
      </c>
      <c r="BX19" s="16">
        <v>0.25</v>
      </c>
      <c r="BY19" s="17"/>
      <c r="BZ19" s="11"/>
      <c r="CA19" s="85"/>
      <c r="CB19" s="85"/>
      <c r="CC19" s="85"/>
      <c r="CD19" s="85"/>
      <c r="CE19" s="11"/>
      <c r="CF19" s="58"/>
      <c r="CG19" s="85"/>
      <c r="CH19" s="85"/>
      <c r="CI19" s="85"/>
      <c r="CJ19" s="85"/>
      <c r="CK19" s="17">
        <f>(389)/745</f>
        <v>0.52214765100671146</v>
      </c>
      <c r="CL19" s="44">
        <f>+CK19/AG19</f>
        <v>1.0447131872883384</v>
      </c>
    </row>
    <row r="20" spans="1:90" ht="78" customHeight="1" x14ac:dyDescent="0.25">
      <c r="A20" s="150"/>
      <c r="B20" s="161"/>
      <c r="C20" s="161"/>
      <c r="D20" s="163"/>
      <c r="E20" s="165"/>
      <c r="F20" s="167"/>
      <c r="G20" s="168"/>
      <c r="H20" s="150"/>
      <c r="I20" s="153"/>
      <c r="J20" s="156"/>
      <c r="K20" s="35" t="s">
        <v>428</v>
      </c>
      <c r="L20" s="68" t="s">
        <v>70</v>
      </c>
      <c r="M20" s="140"/>
      <c r="N20" s="46" t="s">
        <v>156</v>
      </c>
      <c r="O20" s="61">
        <v>0.1666</v>
      </c>
      <c r="P20" s="46" t="s">
        <v>157</v>
      </c>
      <c r="Q20" s="35" t="s">
        <v>73</v>
      </c>
      <c r="R20" s="35" t="s">
        <v>73</v>
      </c>
      <c r="S20" s="46" t="s">
        <v>158</v>
      </c>
      <c r="T20" s="68" t="s">
        <v>75</v>
      </c>
      <c r="U20" s="46" t="s">
        <v>159</v>
      </c>
      <c r="V20" s="68" t="s">
        <v>147</v>
      </c>
      <c r="W20" s="68" t="s">
        <v>112</v>
      </c>
      <c r="X20" s="56" t="s">
        <v>79</v>
      </c>
      <c r="Y20" s="35" t="s">
        <v>73</v>
      </c>
      <c r="Z20" s="35" t="s">
        <v>73</v>
      </c>
      <c r="AA20" s="56" t="s">
        <v>107</v>
      </c>
      <c r="AB20" s="13">
        <v>1</v>
      </c>
      <c r="AC20" s="13">
        <v>1</v>
      </c>
      <c r="AD20" s="13">
        <v>1</v>
      </c>
      <c r="AE20" s="13">
        <v>1</v>
      </c>
      <c r="AF20" s="13">
        <v>1</v>
      </c>
      <c r="AG20" s="13">
        <v>1</v>
      </c>
      <c r="AH20" s="13">
        <v>1</v>
      </c>
      <c r="AI20" s="13">
        <v>1</v>
      </c>
      <c r="AJ20" s="13">
        <v>1</v>
      </c>
      <c r="AK20" s="13">
        <v>1</v>
      </c>
      <c r="AL20" s="13">
        <v>1</v>
      </c>
      <c r="AM20" s="13">
        <v>1</v>
      </c>
      <c r="AN20" s="13">
        <v>1</v>
      </c>
      <c r="AO20" s="17">
        <f>(8+10+23)/(28+40+71)</f>
        <v>0.29496402877697842</v>
      </c>
      <c r="AP20" s="11">
        <f>AR20+AS20+AT20+AU20</f>
        <v>0.95132743362831862</v>
      </c>
      <c r="AQ20" s="16">
        <f t="shared" si="9"/>
        <v>0.25</v>
      </c>
      <c r="AR20" s="16">
        <f t="shared" si="9"/>
        <v>0.25</v>
      </c>
      <c r="AS20" s="16">
        <f t="shared" si="9"/>
        <v>0.25</v>
      </c>
      <c r="AT20" s="16">
        <v>0</v>
      </c>
      <c r="AU20" s="17">
        <f>(7+15+29)/(29+43+41)</f>
        <v>0.45132743362831856</v>
      </c>
      <c r="AV20" s="11">
        <f>AW20+AX20+AY20+AZ20</f>
        <v>0.5</v>
      </c>
      <c r="AW20" s="16">
        <f t="shared" ref="AW20:AX20" si="11">(25%+25%+25%)/3</f>
        <v>0.25</v>
      </c>
      <c r="AX20" s="16">
        <f t="shared" si="11"/>
        <v>0.25</v>
      </c>
      <c r="AY20" s="16">
        <v>0</v>
      </c>
      <c r="AZ20" s="16">
        <v>0</v>
      </c>
      <c r="BA20" s="21"/>
      <c r="BB20" s="58"/>
      <c r="BC20" s="58"/>
      <c r="BD20" s="58"/>
      <c r="BE20" s="58"/>
      <c r="BF20" s="58"/>
      <c r="BG20" s="21"/>
      <c r="BH20" s="58"/>
      <c r="BI20" s="85"/>
      <c r="BJ20" s="85"/>
      <c r="BK20" s="85"/>
      <c r="BL20" s="85"/>
      <c r="BM20" s="17">
        <f>(8+10+23)/(28+40+71)</f>
        <v>0.29496402877697842</v>
      </c>
      <c r="BN20" s="11">
        <f t="shared" si="6"/>
        <v>0.75</v>
      </c>
      <c r="BO20" s="16">
        <f t="shared" si="7"/>
        <v>0.25</v>
      </c>
      <c r="BP20" s="16">
        <f t="shared" si="7"/>
        <v>0.25</v>
      </c>
      <c r="BQ20" s="16">
        <f t="shared" si="7"/>
        <v>0.25</v>
      </c>
      <c r="BR20" s="16">
        <f>(0%+0%+0%)/3</f>
        <v>0</v>
      </c>
      <c r="BS20" s="17">
        <f>(7+15+29)/(29+43+41)</f>
        <v>0.45132743362831856</v>
      </c>
      <c r="BT20" s="11">
        <f>BU20+BV20+BW20+BX20</f>
        <v>1</v>
      </c>
      <c r="BU20" s="16">
        <f t="shared" si="8"/>
        <v>0.25</v>
      </c>
      <c r="BV20" s="16">
        <f t="shared" si="8"/>
        <v>0.25</v>
      </c>
      <c r="BW20" s="16">
        <v>0.25</v>
      </c>
      <c r="BX20" s="16">
        <v>0.25</v>
      </c>
      <c r="BY20" s="21"/>
      <c r="BZ20" s="11"/>
      <c r="CA20" s="85"/>
      <c r="CB20" s="85"/>
      <c r="CC20" s="85"/>
      <c r="CD20" s="85"/>
      <c r="CE20" s="21"/>
      <c r="CF20" s="58"/>
      <c r="CG20" s="85"/>
      <c r="CH20" s="85"/>
      <c r="CI20" s="85"/>
      <c r="CJ20" s="85"/>
      <c r="CK20" s="61">
        <f>(BM20+BS20)/2</f>
        <v>0.37314573120264849</v>
      </c>
      <c r="CL20" s="62">
        <f>+CK20/AG20</f>
        <v>0.37314573120264849</v>
      </c>
    </row>
    <row r="21" spans="1:90" ht="78" customHeight="1" x14ac:dyDescent="0.25">
      <c r="A21" s="150"/>
      <c r="B21" s="161"/>
      <c r="C21" s="161"/>
      <c r="D21" s="163"/>
      <c r="E21" s="165"/>
      <c r="F21" s="167"/>
      <c r="G21" s="168"/>
      <c r="H21" s="150"/>
      <c r="I21" s="153"/>
      <c r="J21" s="156"/>
      <c r="K21" s="35" t="s">
        <v>429</v>
      </c>
      <c r="L21" s="68" t="s">
        <v>70</v>
      </c>
      <c r="M21" s="140"/>
      <c r="N21" s="46" t="s">
        <v>160</v>
      </c>
      <c r="O21" s="61">
        <v>0.1666</v>
      </c>
      <c r="P21" s="46" t="s">
        <v>161</v>
      </c>
      <c r="Q21" s="35" t="s">
        <v>73</v>
      </c>
      <c r="R21" s="35" t="s">
        <v>73</v>
      </c>
      <c r="S21" s="46" t="s">
        <v>163</v>
      </c>
      <c r="T21" s="68" t="s">
        <v>75</v>
      </c>
      <c r="U21" s="46" t="s">
        <v>164</v>
      </c>
      <c r="V21" s="68" t="s">
        <v>147</v>
      </c>
      <c r="W21" s="68" t="s">
        <v>165</v>
      </c>
      <c r="X21" s="56" t="s">
        <v>79</v>
      </c>
      <c r="Y21" s="35" t="s">
        <v>162</v>
      </c>
      <c r="Z21" s="70">
        <v>1725000000</v>
      </c>
      <c r="AA21" s="56" t="s">
        <v>80</v>
      </c>
      <c r="AB21" s="19"/>
      <c r="AC21" s="19"/>
      <c r="AD21" s="13">
        <v>1</v>
      </c>
      <c r="AE21" s="19"/>
      <c r="AF21" s="19"/>
      <c r="AG21" s="13">
        <v>1</v>
      </c>
      <c r="AH21" s="19"/>
      <c r="AI21" s="19"/>
      <c r="AJ21" s="13">
        <v>1</v>
      </c>
      <c r="AK21" s="19"/>
      <c r="AL21" s="19"/>
      <c r="AM21" s="13">
        <v>1</v>
      </c>
      <c r="AN21" s="20">
        <v>1</v>
      </c>
      <c r="AO21" s="22">
        <f>22/24</f>
        <v>0.91666666666666663</v>
      </c>
      <c r="AP21" s="13">
        <f>AQ21+AR21+AS21+AT21</f>
        <v>0.75</v>
      </c>
      <c r="AQ21" s="13">
        <v>0.25</v>
      </c>
      <c r="AR21" s="13">
        <v>0.25</v>
      </c>
      <c r="AS21" s="13">
        <v>0</v>
      </c>
      <c r="AT21" s="13">
        <v>0.25</v>
      </c>
      <c r="AU21" s="50">
        <f>17/20</f>
        <v>0.85</v>
      </c>
      <c r="AV21" s="13">
        <f>AW21+AX21+AY21+AZ21</f>
        <v>1</v>
      </c>
      <c r="AW21" s="13">
        <v>0.25</v>
      </c>
      <c r="AX21" s="13">
        <v>0.25</v>
      </c>
      <c r="AY21" s="13">
        <v>0.25</v>
      </c>
      <c r="AZ21" s="13">
        <v>0.25</v>
      </c>
      <c r="BA21" s="14"/>
      <c r="BB21" s="14"/>
      <c r="BC21" s="14"/>
      <c r="BD21" s="14"/>
      <c r="BE21" s="14"/>
      <c r="BF21" s="14"/>
      <c r="BG21" s="22"/>
      <c r="BH21" s="14"/>
      <c r="BI21" s="14"/>
      <c r="BJ21" s="14"/>
      <c r="BK21" s="14"/>
      <c r="BL21" s="14"/>
      <c r="BM21" s="22">
        <f>22/24</f>
        <v>0.91666666666666663</v>
      </c>
      <c r="BN21" s="13">
        <f t="shared" si="6"/>
        <v>0.75</v>
      </c>
      <c r="BO21" s="13">
        <v>0.25</v>
      </c>
      <c r="BP21" s="13">
        <v>0.25</v>
      </c>
      <c r="BQ21" s="13">
        <v>0</v>
      </c>
      <c r="BR21" s="13">
        <v>0.25</v>
      </c>
      <c r="BS21" s="47">
        <f>17/20</f>
        <v>0.85</v>
      </c>
      <c r="BT21" s="11">
        <f t="shared" ref="BT21:BT22" si="12">BU21+BV21+BW21+BX21</f>
        <v>1</v>
      </c>
      <c r="BU21" s="16">
        <v>0.25</v>
      </c>
      <c r="BV21" s="16">
        <v>0.25</v>
      </c>
      <c r="BW21" s="16">
        <v>0.25</v>
      </c>
      <c r="BX21" s="16">
        <v>0.25</v>
      </c>
      <c r="BY21" s="44"/>
      <c r="BZ21" s="14"/>
      <c r="CA21" s="44"/>
      <c r="CB21" s="44"/>
      <c r="CC21" s="44"/>
      <c r="CD21" s="44"/>
      <c r="CE21" s="22"/>
      <c r="CF21" s="14"/>
      <c r="CG21" s="14"/>
      <c r="CH21" s="14"/>
      <c r="CI21" s="14"/>
      <c r="CJ21" s="14"/>
      <c r="CK21" s="17">
        <f>(BM21+BS21)/2</f>
        <v>0.8833333333333333</v>
      </c>
      <c r="CL21" s="62">
        <f>+CK21/AG21</f>
        <v>0.8833333333333333</v>
      </c>
    </row>
    <row r="22" spans="1:90" ht="78" customHeight="1" x14ac:dyDescent="0.25">
      <c r="A22" s="150"/>
      <c r="B22" s="161"/>
      <c r="C22" s="161"/>
      <c r="D22" s="163"/>
      <c r="E22" s="165"/>
      <c r="F22" s="167"/>
      <c r="G22" s="168"/>
      <c r="H22" s="150"/>
      <c r="I22" s="154"/>
      <c r="J22" s="157"/>
      <c r="K22" s="35" t="s">
        <v>429</v>
      </c>
      <c r="L22" s="68" t="s">
        <v>70</v>
      </c>
      <c r="M22" s="141"/>
      <c r="N22" s="46" t="s">
        <v>166</v>
      </c>
      <c r="O22" s="61">
        <v>0.1666</v>
      </c>
      <c r="P22" s="46" t="s">
        <v>167</v>
      </c>
      <c r="Q22" s="35" t="s">
        <v>73</v>
      </c>
      <c r="R22" s="35" t="s">
        <v>73</v>
      </c>
      <c r="S22" s="46" t="s">
        <v>168</v>
      </c>
      <c r="T22" s="68" t="s">
        <v>75</v>
      </c>
      <c r="U22" s="46" t="s">
        <v>169</v>
      </c>
      <c r="V22" s="68" t="s">
        <v>147</v>
      </c>
      <c r="W22" s="68" t="s">
        <v>165</v>
      </c>
      <c r="X22" s="56" t="s">
        <v>79</v>
      </c>
      <c r="Y22" s="35" t="s">
        <v>73</v>
      </c>
      <c r="Z22" s="35" t="s">
        <v>73</v>
      </c>
      <c r="AA22" s="56" t="s">
        <v>107</v>
      </c>
      <c r="AB22" s="13">
        <v>1</v>
      </c>
      <c r="AC22" s="13">
        <v>1</v>
      </c>
      <c r="AD22" s="13">
        <v>1</v>
      </c>
      <c r="AE22" s="13">
        <v>1</v>
      </c>
      <c r="AF22" s="13">
        <v>1</v>
      </c>
      <c r="AG22" s="13">
        <v>1</v>
      </c>
      <c r="AH22" s="13">
        <v>1</v>
      </c>
      <c r="AI22" s="13">
        <v>1</v>
      </c>
      <c r="AJ22" s="13">
        <v>1</v>
      </c>
      <c r="AK22" s="13">
        <v>1</v>
      </c>
      <c r="AL22" s="13">
        <v>1</v>
      </c>
      <c r="AM22" s="13">
        <v>1</v>
      </c>
      <c r="AN22" s="20">
        <v>1</v>
      </c>
      <c r="AO22" s="17">
        <f>(306+126+184)/(320+140+201)</f>
        <v>0.9319213313161876</v>
      </c>
      <c r="AP22" s="13">
        <f>AQ22+AR22+AS22+AT22</f>
        <v>1</v>
      </c>
      <c r="AQ22" s="13">
        <v>0.25</v>
      </c>
      <c r="AR22" s="13">
        <v>0.25</v>
      </c>
      <c r="AS22" s="13">
        <v>0.25</v>
      </c>
      <c r="AT22" s="13">
        <v>0.25</v>
      </c>
      <c r="AU22" s="17">
        <f>(252+258+233)/(320+284+254)</f>
        <v>0.86596736596736601</v>
      </c>
      <c r="AV22" s="13">
        <f>AW22+AX22+AY22+AZ22</f>
        <v>1</v>
      </c>
      <c r="AW22" s="13">
        <v>0.25</v>
      </c>
      <c r="AX22" s="13">
        <v>0.25</v>
      </c>
      <c r="AY22" s="13">
        <v>0.25</v>
      </c>
      <c r="AZ22" s="13">
        <v>0.25</v>
      </c>
      <c r="BA22" s="22"/>
      <c r="BB22" s="14"/>
      <c r="BC22" s="14"/>
      <c r="BD22" s="14"/>
      <c r="BE22" s="14"/>
      <c r="BF22" s="14"/>
      <c r="BG22" s="22"/>
      <c r="BH22" s="14"/>
      <c r="BI22" s="14"/>
      <c r="BJ22" s="14"/>
      <c r="BK22" s="14"/>
      <c r="BL22" s="14"/>
      <c r="BM22" s="17">
        <f>(306+126+184)/(320+140+201)</f>
        <v>0.9319213313161876</v>
      </c>
      <c r="BN22" s="11">
        <f t="shared" si="6"/>
        <v>1</v>
      </c>
      <c r="BO22" s="16">
        <v>0.25</v>
      </c>
      <c r="BP22" s="16">
        <v>0.25</v>
      </c>
      <c r="BQ22" s="16">
        <v>0.25</v>
      </c>
      <c r="BR22" s="16">
        <v>0.25</v>
      </c>
      <c r="BS22" s="17">
        <f>(252+258+233)/(320+284+254)</f>
        <v>0.86596736596736601</v>
      </c>
      <c r="BT22" s="11">
        <f t="shared" si="12"/>
        <v>1</v>
      </c>
      <c r="BU22" s="16">
        <v>0.25</v>
      </c>
      <c r="BV22" s="16">
        <v>0.25</v>
      </c>
      <c r="BW22" s="16">
        <v>0.25</v>
      </c>
      <c r="BX22" s="16">
        <v>0.25</v>
      </c>
      <c r="BY22" s="22"/>
      <c r="BZ22" s="14"/>
      <c r="CA22" s="85"/>
      <c r="CB22" s="85"/>
      <c r="CC22" s="85"/>
      <c r="CD22" s="85"/>
      <c r="CE22" s="22"/>
      <c r="CF22" s="14"/>
      <c r="CG22" s="14"/>
      <c r="CH22" s="14"/>
      <c r="CI22" s="14"/>
      <c r="CJ22" s="14"/>
      <c r="CK22" s="61">
        <f>(BM22+BS22)/2</f>
        <v>0.89894434864177675</v>
      </c>
      <c r="CL22" s="62">
        <f>+CK22/AG22</f>
        <v>0.89894434864177675</v>
      </c>
    </row>
    <row r="23" spans="1:90" ht="95.25" customHeight="1" x14ac:dyDescent="0.25">
      <c r="A23" s="150"/>
      <c r="B23" s="161"/>
      <c r="C23" s="161"/>
      <c r="D23" s="163"/>
      <c r="E23" s="165"/>
      <c r="F23" s="167"/>
      <c r="G23" s="158"/>
      <c r="H23" s="150"/>
      <c r="I23" s="152" t="s">
        <v>406</v>
      </c>
      <c r="J23" s="156"/>
      <c r="K23" s="35" t="s">
        <v>430</v>
      </c>
      <c r="L23" s="68" t="s">
        <v>70</v>
      </c>
      <c r="M23" s="139">
        <v>1</v>
      </c>
      <c r="N23" s="46" t="s">
        <v>170</v>
      </c>
      <c r="O23" s="61">
        <v>8.3299999999999999E-2</v>
      </c>
      <c r="P23" s="46" t="s">
        <v>171</v>
      </c>
      <c r="Q23" s="35" t="s">
        <v>73</v>
      </c>
      <c r="R23" s="35" t="s">
        <v>73</v>
      </c>
      <c r="S23" s="46" t="s">
        <v>172</v>
      </c>
      <c r="T23" s="81" t="s">
        <v>75</v>
      </c>
      <c r="U23" s="46" t="s">
        <v>173</v>
      </c>
      <c r="V23" s="68" t="s">
        <v>77</v>
      </c>
      <c r="W23" s="68" t="s">
        <v>91</v>
      </c>
      <c r="X23" s="56" t="s">
        <v>79</v>
      </c>
      <c r="Y23" s="35" t="s">
        <v>73</v>
      </c>
      <c r="Z23" s="35" t="s">
        <v>73</v>
      </c>
      <c r="AA23" s="56" t="s">
        <v>80</v>
      </c>
      <c r="AB23" s="37"/>
      <c r="AC23" s="37"/>
      <c r="AD23" s="37">
        <v>1</v>
      </c>
      <c r="AE23" s="37"/>
      <c r="AF23" s="37"/>
      <c r="AG23" s="37">
        <v>1</v>
      </c>
      <c r="AH23" s="37"/>
      <c r="AI23" s="37"/>
      <c r="AJ23" s="37">
        <v>1</v>
      </c>
      <c r="AK23" s="37"/>
      <c r="AL23" s="37"/>
      <c r="AM23" s="37">
        <v>1</v>
      </c>
      <c r="AN23" s="37">
        <v>1</v>
      </c>
      <c r="AO23" s="37">
        <f>1/1</f>
        <v>1</v>
      </c>
      <c r="AP23" s="37">
        <f>AQ23+AR23+AS23+AT23</f>
        <v>0.75</v>
      </c>
      <c r="AQ23" s="37">
        <v>0.25</v>
      </c>
      <c r="AR23" s="37">
        <v>0.25</v>
      </c>
      <c r="AS23" s="37">
        <v>0</v>
      </c>
      <c r="AT23" s="37">
        <v>0.25</v>
      </c>
      <c r="AU23" s="14">
        <v>1</v>
      </c>
      <c r="AV23" s="14">
        <f>(AW23+AX23+AY23+AZ23)</f>
        <v>1</v>
      </c>
      <c r="AW23" s="58">
        <v>0.25</v>
      </c>
      <c r="AX23" s="58">
        <v>0.25</v>
      </c>
      <c r="AY23" s="58">
        <v>0.25</v>
      </c>
      <c r="AZ23" s="58">
        <v>0.25</v>
      </c>
      <c r="BA23" s="14"/>
      <c r="BB23" s="14"/>
      <c r="BC23" s="59"/>
      <c r="BD23" s="59"/>
      <c r="BE23" s="59"/>
      <c r="BF23" s="59"/>
      <c r="BG23" s="40"/>
      <c r="BH23" s="40"/>
      <c r="BI23" s="40"/>
      <c r="BJ23" s="40"/>
      <c r="BK23" s="40"/>
      <c r="BL23" s="40"/>
      <c r="BM23" s="44">
        <f>1/1</f>
        <v>1</v>
      </c>
      <c r="BN23" s="37">
        <f>BO23+BP23+BQ23+BR23</f>
        <v>0.75</v>
      </c>
      <c r="BO23" s="44">
        <v>0.25</v>
      </c>
      <c r="BP23" s="44">
        <v>0.25</v>
      </c>
      <c r="BQ23" s="44">
        <v>0</v>
      </c>
      <c r="BR23" s="44">
        <v>0.25</v>
      </c>
      <c r="BS23" s="44">
        <f>1/1</f>
        <v>1</v>
      </c>
      <c r="BT23" s="11">
        <f>(BU23+BV23+BW23+BX23)</f>
        <v>1</v>
      </c>
      <c r="BU23" s="44">
        <v>0.25</v>
      </c>
      <c r="BV23" s="44">
        <v>0.25</v>
      </c>
      <c r="BW23" s="44">
        <v>0.25</v>
      </c>
      <c r="BX23" s="44">
        <v>0.25</v>
      </c>
      <c r="BY23" s="11"/>
      <c r="BZ23" s="11"/>
      <c r="CA23" s="44"/>
      <c r="CB23" s="44"/>
      <c r="CC23" s="44"/>
      <c r="CD23" s="44"/>
      <c r="CE23" s="40"/>
      <c r="CF23" s="40"/>
      <c r="CG23" s="40"/>
      <c r="CH23" s="40"/>
      <c r="CI23" s="40"/>
      <c r="CJ23" s="40"/>
      <c r="CK23" s="44">
        <f>(BM23+BS23)/2</f>
        <v>1</v>
      </c>
      <c r="CL23" s="44">
        <f>+CK23/AG23</f>
        <v>1</v>
      </c>
    </row>
    <row r="24" spans="1:90" ht="78" customHeight="1" x14ac:dyDescent="0.25">
      <c r="A24" s="150"/>
      <c r="B24" s="161"/>
      <c r="C24" s="161"/>
      <c r="D24" s="163"/>
      <c r="E24" s="165"/>
      <c r="F24" s="167"/>
      <c r="G24" s="158"/>
      <c r="H24" s="150"/>
      <c r="I24" s="153"/>
      <c r="J24" s="156"/>
      <c r="K24" s="35" t="s">
        <v>431</v>
      </c>
      <c r="L24" s="68" t="s">
        <v>70</v>
      </c>
      <c r="M24" s="140"/>
      <c r="N24" s="46" t="s">
        <v>174</v>
      </c>
      <c r="O24" s="61">
        <v>8.3299999999999999E-2</v>
      </c>
      <c r="P24" s="46" t="s">
        <v>175</v>
      </c>
      <c r="Q24" s="35" t="s">
        <v>73</v>
      </c>
      <c r="R24" s="35" t="s">
        <v>73</v>
      </c>
      <c r="S24" s="46" t="s">
        <v>176</v>
      </c>
      <c r="T24" s="81" t="s">
        <v>75</v>
      </c>
      <c r="U24" s="46" t="s">
        <v>177</v>
      </c>
      <c r="V24" s="68" t="s">
        <v>77</v>
      </c>
      <c r="W24" s="68" t="s">
        <v>106</v>
      </c>
      <c r="X24" s="56" t="s">
        <v>79</v>
      </c>
      <c r="Y24" s="35" t="s">
        <v>73</v>
      </c>
      <c r="Z24" s="35" t="s">
        <v>73</v>
      </c>
      <c r="AA24" s="56" t="s">
        <v>86</v>
      </c>
      <c r="AB24" s="37"/>
      <c r="AC24" s="37"/>
      <c r="AD24" s="37"/>
      <c r="AE24" s="37"/>
      <c r="AF24" s="37"/>
      <c r="AG24" s="37">
        <v>1</v>
      </c>
      <c r="AH24" s="37"/>
      <c r="AI24" s="37"/>
      <c r="AJ24" s="37"/>
      <c r="AK24" s="37"/>
      <c r="AL24" s="37"/>
      <c r="AM24" s="37">
        <v>1</v>
      </c>
      <c r="AN24" s="37">
        <v>1</v>
      </c>
      <c r="AO24" s="44"/>
      <c r="AP24" s="85"/>
      <c r="AQ24" s="85"/>
      <c r="AR24" s="85"/>
      <c r="AS24" s="85"/>
      <c r="AT24" s="85"/>
      <c r="AU24" s="51">
        <f>501/891</f>
        <v>0.56228956228956228</v>
      </c>
      <c r="AV24" s="58">
        <f>AW24+AX24+AY24+AZ24</f>
        <v>1</v>
      </c>
      <c r="AW24" s="14">
        <f>(25%+25%+25%)/3</f>
        <v>0.25</v>
      </c>
      <c r="AX24" s="14">
        <f>(25%+25%+25%)/3</f>
        <v>0.25</v>
      </c>
      <c r="AY24" s="14">
        <f>(25%+25%+25%)/3</f>
        <v>0.25</v>
      </c>
      <c r="AZ24" s="14">
        <f>(25%+25%+25%)/3</f>
        <v>0.25</v>
      </c>
      <c r="BA24" s="40"/>
      <c r="BB24" s="40"/>
      <c r="BC24" s="40"/>
      <c r="BD24" s="40"/>
      <c r="BE24" s="40"/>
      <c r="BF24" s="40"/>
      <c r="BG24" s="40"/>
      <c r="BH24" s="40"/>
      <c r="BI24" s="40"/>
      <c r="BJ24" s="40"/>
      <c r="BK24" s="40"/>
      <c r="BL24" s="40"/>
      <c r="BM24" s="44"/>
      <c r="BN24" s="11"/>
      <c r="BO24" s="16"/>
      <c r="BP24" s="16"/>
      <c r="BQ24" s="16"/>
      <c r="BR24" s="16"/>
      <c r="BS24" s="51">
        <f>501/891</f>
        <v>0.56228956228956228</v>
      </c>
      <c r="BT24" s="11">
        <f>BU24+BV24+BW24+BX24</f>
        <v>1</v>
      </c>
      <c r="BU24" s="14">
        <f t="shared" ref="BU24:BX27" si="13">(25%+25%+25%)/3</f>
        <v>0.25</v>
      </c>
      <c r="BV24" s="14">
        <f t="shared" si="13"/>
        <v>0.25</v>
      </c>
      <c r="BW24" s="14">
        <f t="shared" si="13"/>
        <v>0.25</v>
      </c>
      <c r="BX24" s="14">
        <f t="shared" si="13"/>
        <v>0.25</v>
      </c>
      <c r="BY24" s="35"/>
      <c r="BZ24" s="40"/>
      <c r="CA24" s="40"/>
      <c r="CB24" s="40"/>
      <c r="CC24" s="40"/>
      <c r="CD24" s="40"/>
      <c r="CE24" s="40"/>
      <c r="CF24" s="40"/>
      <c r="CG24" s="40"/>
      <c r="CH24" s="40"/>
      <c r="CI24" s="40"/>
      <c r="CJ24" s="40"/>
      <c r="CK24" s="61">
        <f>BS24</f>
        <v>0.56228956228956228</v>
      </c>
      <c r="CL24" s="61">
        <f>+BS24/AG24</f>
        <v>0.56228956228956228</v>
      </c>
    </row>
    <row r="25" spans="1:90" ht="78" customHeight="1" x14ac:dyDescent="0.25">
      <c r="A25" s="150"/>
      <c r="B25" s="161"/>
      <c r="C25" s="161"/>
      <c r="D25" s="163"/>
      <c r="E25" s="165"/>
      <c r="F25" s="167"/>
      <c r="G25" s="158"/>
      <c r="H25" s="150"/>
      <c r="I25" s="153"/>
      <c r="J25" s="156"/>
      <c r="K25" s="35" t="s">
        <v>432</v>
      </c>
      <c r="L25" s="68" t="s">
        <v>70</v>
      </c>
      <c r="M25" s="140"/>
      <c r="N25" s="46" t="s">
        <v>178</v>
      </c>
      <c r="O25" s="61">
        <v>8.3299999999999999E-2</v>
      </c>
      <c r="P25" s="46" t="s">
        <v>179</v>
      </c>
      <c r="Q25" s="35" t="s">
        <v>73</v>
      </c>
      <c r="R25" s="35" t="s">
        <v>73</v>
      </c>
      <c r="S25" s="46" t="s">
        <v>457</v>
      </c>
      <c r="T25" s="81" t="s">
        <v>75</v>
      </c>
      <c r="U25" s="46" t="s">
        <v>180</v>
      </c>
      <c r="V25" s="68" t="s">
        <v>77</v>
      </c>
      <c r="W25" s="68" t="s">
        <v>165</v>
      </c>
      <c r="X25" s="56" t="s">
        <v>79</v>
      </c>
      <c r="Y25" s="35" t="s">
        <v>73</v>
      </c>
      <c r="Z25" s="35" t="s">
        <v>73</v>
      </c>
      <c r="AA25" s="56" t="s">
        <v>107</v>
      </c>
      <c r="AB25" s="37">
        <v>1</v>
      </c>
      <c r="AC25" s="37">
        <v>1</v>
      </c>
      <c r="AD25" s="37">
        <v>1</v>
      </c>
      <c r="AE25" s="37">
        <v>1</v>
      </c>
      <c r="AF25" s="37">
        <v>1</v>
      </c>
      <c r="AG25" s="37">
        <v>1</v>
      </c>
      <c r="AH25" s="37">
        <v>1</v>
      </c>
      <c r="AI25" s="37">
        <v>1</v>
      </c>
      <c r="AJ25" s="37">
        <v>1</v>
      </c>
      <c r="AK25" s="37">
        <v>1</v>
      </c>
      <c r="AL25" s="37">
        <v>1</v>
      </c>
      <c r="AM25" s="37">
        <v>1</v>
      </c>
      <c r="AN25" s="37">
        <v>1</v>
      </c>
      <c r="AO25" s="17">
        <f>(17+17+20)/(17+18+21)</f>
        <v>0.9642857142857143</v>
      </c>
      <c r="AP25" s="13">
        <f>AQ25+AR25+AS25+AT25</f>
        <v>1</v>
      </c>
      <c r="AQ25" s="13">
        <v>0.25</v>
      </c>
      <c r="AR25" s="13">
        <v>0.25</v>
      </c>
      <c r="AS25" s="13">
        <v>0.25</v>
      </c>
      <c r="AT25" s="13">
        <v>0.25</v>
      </c>
      <c r="AU25" s="17">
        <f>(24+24+31)/(27+24+32)</f>
        <v>0.95180722891566261</v>
      </c>
      <c r="AV25" s="13">
        <f>AW25+AX25+AY25+AZ25</f>
        <v>1</v>
      </c>
      <c r="AW25" s="13">
        <v>0.25</v>
      </c>
      <c r="AX25" s="13">
        <v>0.25</v>
      </c>
      <c r="AY25" s="13">
        <v>0.25</v>
      </c>
      <c r="AZ25" s="13">
        <v>0.25</v>
      </c>
      <c r="BA25" s="22"/>
      <c r="BB25" s="14"/>
      <c r="BC25" s="14"/>
      <c r="BD25" s="14"/>
      <c r="BE25" s="14"/>
      <c r="BF25" s="14"/>
      <c r="BG25" s="22"/>
      <c r="BH25" s="14"/>
      <c r="BI25" s="14"/>
      <c r="BJ25" s="14"/>
      <c r="BK25" s="14"/>
      <c r="BL25" s="14"/>
      <c r="BM25" s="17">
        <f>(17+17+20)/(17+18+21)</f>
        <v>0.9642857142857143</v>
      </c>
      <c r="BN25" s="11">
        <f>BO25+BP25+BQ25+BR25</f>
        <v>1</v>
      </c>
      <c r="BO25" s="16">
        <f t="shared" ref="BO25:BR26" si="14">(25%+25%+25%)/3</f>
        <v>0.25</v>
      </c>
      <c r="BP25" s="16">
        <f t="shared" si="14"/>
        <v>0.25</v>
      </c>
      <c r="BQ25" s="16">
        <f t="shared" si="14"/>
        <v>0.25</v>
      </c>
      <c r="BR25" s="16">
        <f t="shared" si="14"/>
        <v>0.25</v>
      </c>
      <c r="BS25" s="17">
        <f>(24+24+31)/(27+24+32)</f>
        <v>0.95180722891566261</v>
      </c>
      <c r="BT25" s="13">
        <f>BU25+BV25+BW25+BX25</f>
        <v>1</v>
      </c>
      <c r="BU25" s="16">
        <f t="shared" si="13"/>
        <v>0.25</v>
      </c>
      <c r="BV25" s="16">
        <f t="shared" si="13"/>
        <v>0.25</v>
      </c>
      <c r="BW25" s="16">
        <f t="shared" si="13"/>
        <v>0.25</v>
      </c>
      <c r="BX25" s="16">
        <f t="shared" si="13"/>
        <v>0.25</v>
      </c>
      <c r="BY25" s="22"/>
      <c r="BZ25" s="14"/>
      <c r="CA25" s="85"/>
      <c r="CB25" s="14"/>
      <c r="CC25" s="85"/>
      <c r="CD25" s="85"/>
      <c r="CE25" s="22"/>
      <c r="CF25" s="14"/>
      <c r="CG25" s="14"/>
      <c r="CH25" s="14"/>
      <c r="CI25" s="14"/>
      <c r="CJ25" s="14"/>
      <c r="CK25" s="61">
        <f>(BM25+BS25)/2</f>
        <v>0.95804647160068845</v>
      </c>
      <c r="CL25" s="61">
        <f>+CK25/AG25</f>
        <v>0.95804647160068845</v>
      </c>
    </row>
    <row r="26" spans="1:90" ht="78" customHeight="1" x14ac:dyDescent="0.25">
      <c r="A26" s="150"/>
      <c r="B26" s="161"/>
      <c r="C26" s="161"/>
      <c r="D26" s="163"/>
      <c r="E26" s="165"/>
      <c r="F26" s="167"/>
      <c r="G26" s="158"/>
      <c r="H26" s="150"/>
      <c r="I26" s="153"/>
      <c r="J26" s="156"/>
      <c r="K26" s="35" t="s">
        <v>432</v>
      </c>
      <c r="L26" s="68" t="s">
        <v>70</v>
      </c>
      <c r="M26" s="140"/>
      <c r="N26" s="46" t="s">
        <v>181</v>
      </c>
      <c r="O26" s="61">
        <v>8.3299999999999999E-2</v>
      </c>
      <c r="P26" s="46" t="s">
        <v>182</v>
      </c>
      <c r="Q26" s="35" t="s">
        <v>73</v>
      </c>
      <c r="R26" s="35" t="s">
        <v>73</v>
      </c>
      <c r="S26" s="46" t="s">
        <v>183</v>
      </c>
      <c r="T26" s="81" t="s">
        <v>75</v>
      </c>
      <c r="U26" s="46" t="s">
        <v>184</v>
      </c>
      <c r="V26" s="68" t="s">
        <v>147</v>
      </c>
      <c r="W26" s="68" t="s">
        <v>165</v>
      </c>
      <c r="X26" s="56" t="s">
        <v>79</v>
      </c>
      <c r="Y26" s="35" t="s">
        <v>73</v>
      </c>
      <c r="Z26" s="35" t="s">
        <v>73</v>
      </c>
      <c r="AA26" s="56" t="s">
        <v>107</v>
      </c>
      <c r="AB26" s="37">
        <v>1</v>
      </c>
      <c r="AC26" s="37">
        <v>1</v>
      </c>
      <c r="AD26" s="37">
        <v>1</v>
      </c>
      <c r="AE26" s="37">
        <v>1</v>
      </c>
      <c r="AF26" s="37">
        <v>1</v>
      </c>
      <c r="AG26" s="37">
        <v>1</v>
      </c>
      <c r="AH26" s="37">
        <v>1</v>
      </c>
      <c r="AI26" s="37">
        <v>1</v>
      </c>
      <c r="AJ26" s="37">
        <v>1</v>
      </c>
      <c r="AK26" s="37">
        <v>1</v>
      </c>
      <c r="AL26" s="37">
        <v>1</v>
      </c>
      <c r="AM26" s="37">
        <v>1</v>
      </c>
      <c r="AN26" s="37">
        <v>1</v>
      </c>
      <c r="AO26" s="17">
        <f>(67+67+126)/(77+77+135)</f>
        <v>0.89965397923875434</v>
      </c>
      <c r="AP26" s="13">
        <f>AQ26+AR26+AS26+AT26</f>
        <v>1</v>
      </c>
      <c r="AQ26" s="13">
        <v>0.25</v>
      </c>
      <c r="AR26" s="13">
        <v>0.25</v>
      </c>
      <c r="AS26" s="13">
        <v>0.25</v>
      </c>
      <c r="AT26" s="13">
        <v>0.25</v>
      </c>
      <c r="AU26" s="17">
        <f>(103+90+113)/(114+100+125)</f>
        <v>0.90265486725663713</v>
      </c>
      <c r="AV26" s="13">
        <f>AW26+AX26+AY26+AZ26</f>
        <v>1</v>
      </c>
      <c r="AW26" s="13">
        <v>0.25</v>
      </c>
      <c r="AX26" s="13">
        <v>0.25</v>
      </c>
      <c r="AY26" s="13">
        <v>0.25</v>
      </c>
      <c r="AZ26" s="13">
        <v>0.25</v>
      </c>
      <c r="BA26" s="14"/>
      <c r="BB26" s="14"/>
      <c r="BC26" s="14"/>
      <c r="BD26" s="14"/>
      <c r="BE26" s="14"/>
      <c r="BF26" s="14"/>
      <c r="BG26" s="22"/>
      <c r="BH26" s="14"/>
      <c r="BI26" s="14"/>
      <c r="BJ26" s="14"/>
      <c r="BK26" s="14"/>
      <c r="BL26" s="14"/>
      <c r="BM26" s="17">
        <f>(67+67+126)/(77+77+135)</f>
        <v>0.89965397923875434</v>
      </c>
      <c r="BN26" s="11">
        <f>BO26+BP26+BQ26+BR26</f>
        <v>1</v>
      </c>
      <c r="BO26" s="16">
        <f t="shared" si="14"/>
        <v>0.25</v>
      </c>
      <c r="BP26" s="16">
        <f t="shared" si="14"/>
        <v>0.25</v>
      </c>
      <c r="BQ26" s="16">
        <f t="shared" si="14"/>
        <v>0.25</v>
      </c>
      <c r="BR26" s="16">
        <f t="shared" si="14"/>
        <v>0.25</v>
      </c>
      <c r="BS26" s="17">
        <f>(103+90+113)/(114+100+125)</f>
        <v>0.90265486725663713</v>
      </c>
      <c r="BT26" s="13">
        <f>BU26+BV26+BW26+BX26</f>
        <v>1</v>
      </c>
      <c r="BU26" s="16">
        <f t="shared" si="13"/>
        <v>0.25</v>
      </c>
      <c r="BV26" s="16">
        <f t="shared" si="13"/>
        <v>0.25</v>
      </c>
      <c r="BW26" s="16">
        <f t="shared" si="13"/>
        <v>0.25</v>
      </c>
      <c r="BX26" s="16">
        <f t="shared" si="13"/>
        <v>0.25</v>
      </c>
      <c r="BY26" s="22"/>
      <c r="BZ26" s="14"/>
      <c r="CA26" s="85"/>
      <c r="CB26" s="14"/>
      <c r="CC26" s="85"/>
      <c r="CD26" s="85"/>
      <c r="CE26" s="22"/>
      <c r="CF26" s="14"/>
      <c r="CG26" s="14"/>
      <c r="CH26" s="14"/>
      <c r="CI26" s="14"/>
      <c r="CJ26" s="14"/>
      <c r="CK26" s="61">
        <f>(BM26+BS26)/2</f>
        <v>0.90115442324769579</v>
      </c>
      <c r="CL26" s="61">
        <f>+CK26/AG26</f>
        <v>0.90115442324769579</v>
      </c>
    </row>
    <row r="27" spans="1:90" ht="78" customHeight="1" x14ac:dyDescent="0.25">
      <c r="A27" s="150"/>
      <c r="B27" s="161"/>
      <c r="C27" s="161"/>
      <c r="D27" s="163"/>
      <c r="E27" s="165"/>
      <c r="F27" s="167"/>
      <c r="G27" s="158"/>
      <c r="H27" s="150"/>
      <c r="I27" s="153"/>
      <c r="J27" s="156"/>
      <c r="K27" s="35" t="s">
        <v>432</v>
      </c>
      <c r="L27" s="68" t="s">
        <v>70</v>
      </c>
      <c r="M27" s="140"/>
      <c r="N27" s="46" t="s">
        <v>185</v>
      </c>
      <c r="O27" s="61">
        <v>8.3299999999999999E-2</v>
      </c>
      <c r="P27" s="46" t="s">
        <v>186</v>
      </c>
      <c r="Q27" s="35" t="s">
        <v>73</v>
      </c>
      <c r="R27" s="35" t="s">
        <v>73</v>
      </c>
      <c r="S27" s="46" t="s">
        <v>187</v>
      </c>
      <c r="T27" s="68" t="s">
        <v>75</v>
      </c>
      <c r="U27" s="46" t="s">
        <v>188</v>
      </c>
      <c r="V27" s="68" t="s">
        <v>77</v>
      </c>
      <c r="W27" s="68" t="s">
        <v>165</v>
      </c>
      <c r="X27" s="56" t="s">
        <v>79</v>
      </c>
      <c r="Y27" s="35" t="s">
        <v>73</v>
      </c>
      <c r="Z27" s="35" t="s">
        <v>73</v>
      </c>
      <c r="AA27" s="56" t="s">
        <v>80</v>
      </c>
      <c r="AB27" s="23"/>
      <c r="AC27" s="23"/>
      <c r="AD27" s="13">
        <v>1</v>
      </c>
      <c r="AE27" s="23"/>
      <c r="AF27" s="23"/>
      <c r="AG27" s="13">
        <v>1</v>
      </c>
      <c r="AH27" s="23"/>
      <c r="AI27" s="23"/>
      <c r="AJ27" s="13">
        <v>1</v>
      </c>
      <c r="AK27" s="23"/>
      <c r="AL27" s="23"/>
      <c r="AM27" s="13">
        <v>1</v>
      </c>
      <c r="AN27" s="20">
        <v>1</v>
      </c>
      <c r="AO27" s="50">
        <f>621/621</f>
        <v>1</v>
      </c>
      <c r="AP27" s="13">
        <f>AQ27+AR27+AS27+AT27</f>
        <v>0.75</v>
      </c>
      <c r="AQ27" s="13">
        <v>0.25</v>
      </c>
      <c r="AR27" s="13">
        <v>0.25</v>
      </c>
      <c r="AS27" s="13">
        <v>0</v>
      </c>
      <c r="AT27" s="13">
        <v>0.25</v>
      </c>
      <c r="AU27" s="14">
        <f>858/858</f>
        <v>1</v>
      </c>
      <c r="AV27" s="13">
        <f>AW27+AX27+AY27+AZ27</f>
        <v>1</v>
      </c>
      <c r="AW27" s="13">
        <v>0.25</v>
      </c>
      <c r="AX27" s="13">
        <v>0.25</v>
      </c>
      <c r="AY27" s="13">
        <v>0.25</v>
      </c>
      <c r="AZ27" s="13">
        <v>0.25</v>
      </c>
      <c r="BA27" s="44"/>
      <c r="BB27" s="14"/>
      <c r="BC27" s="14"/>
      <c r="BD27" s="14"/>
      <c r="BE27" s="14"/>
      <c r="BF27" s="14"/>
      <c r="BG27" s="44"/>
      <c r="BH27" s="14"/>
      <c r="BI27" s="14"/>
      <c r="BJ27" s="14"/>
      <c r="BK27" s="14"/>
      <c r="BL27" s="14"/>
      <c r="BM27" s="50">
        <f>621/621</f>
        <v>1</v>
      </c>
      <c r="BN27" s="13">
        <f>BO27+BP27+BQ27+BR27</f>
        <v>0.75</v>
      </c>
      <c r="BO27" s="13">
        <v>0.25</v>
      </c>
      <c r="BP27" s="13">
        <v>0.25</v>
      </c>
      <c r="BQ27" s="13">
        <v>0</v>
      </c>
      <c r="BR27" s="13">
        <v>0.25</v>
      </c>
      <c r="BS27" s="11">
        <f>858/858</f>
        <v>1</v>
      </c>
      <c r="BT27" s="13">
        <f>BU27+BV27+BW27+BX27</f>
        <v>1</v>
      </c>
      <c r="BU27" s="16">
        <f t="shared" si="13"/>
        <v>0.25</v>
      </c>
      <c r="BV27" s="16">
        <f t="shared" si="13"/>
        <v>0.25</v>
      </c>
      <c r="BW27" s="16">
        <f t="shared" si="13"/>
        <v>0.25</v>
      </c>
      <c r="BX27" s="16">
        <f t="shared" si="13"/>
        <v>0.25</v>
      </c>
      <c r="BY27" s="14"/>
      <c r="BZ27" s="14"/>
      <c r="CA27" s="44"/>
      <c r="CB27" s="44"/>
      <c r="CC27" s="44"/>
      <c r="CD27" s="44"/>
      <c r="CE27" s="14"/>
      <c r="CF27" s="14"/>
      <c r="CG27" s="14"/>
      <c r="CH27" s="14"/>
      <c r="CI27" s="14"/>
      <c r="CJ27" s="14"/>
      <c r="CK27" s="47">
        <f>(BM27+BS27)/2</f>
        <v>1</v>
      </c>
      <c r="CL27" s="44">
        <f>+CK27/AG27</f>
        <v>1</v>
      </c>
    </row>
    <row r="28" spans="1:90" ht="78" customHeight="1" x14ac:dyDescent="0.25">
      <c r="A28" s="150"/>
      <c r="B28" s="161"/>
      <c r="C28" s="161"/>
      <c r="D28" s="163"/>
      <c r="E28" s="165"/>
      <c r="F28" s="167"/>
      <c r="G28" s="158"/>
      <c r="H28" s="150"/>
      <c r="I28" s="153"/>
      <c r="J28" s="156"/>
      <c r="K28" s="35" t="s">
        <v>433</v>
      </c>
      <c r="L28" s="68" t="s">
        <v>70</v>
      </c>
      <c r="M28" s="140"/>
      <c r="N28" s="46" t="s">
        <v>189</v>
      </c>
      <c r="O28" s="61">
        <v>8.3299999999999999E-2</v>
      </c>
      <c r="P28" s="46" t="s">
        <v>190</v>
      </c>
      <c r="Q28" s="35" t="s">
        <v>73</v>
      </c>
      <c r="R28" s="35" t="s">
        <v>73</v>
      </c>
      <c r="S28" s="46" t="s">
        <v>191</v>
      </c>
      <c r="T28" s="68" t="s">
        <v>75</v>
      </c>
      <c r="U28" s="46" t="s">
        <v>192</v>
      </c>
      <c r="V28" s="68" t="s">
        <v>77</v>
      </c>
      <c r="W28" s="68" t="s">
        <v>112</v>
      </c>
      <c r="X28" s="56" t="s">
        <v>79</v>
      </c>
      <c r="Y28" s="35" t="s">
        <v>73</v>
      </c>
      <c r="Z28" s="35" t="s">
        <v>73</v>
      </c>
      <c r="AA28" s="56" t="s">
        <v>80</v>
      </c>
      <c r="AB28" s="40"/>
      <c r="AC28" s="40"/>
      <c r="AD28" s="13">
        <v>1</v>
      </c>
      <c r="AE28" s="23"/>
      <c r="AF28" s="23"/>
      <c r="AG28" s="13">
        <v>1</v>
      </c>
      <c r="AH28" s="23"/>
      <c r="AI28" s="23"/>
      <c r="AJ28" s="13">
        <v>1</v>
      </c>
      <c r="AK28" s="23"/>
      <c r="AL28" s="23"/>
      <c r="AM28" s="13">
        <v>1</v>
      </c>
      <c r="AN28" s="20">
        <v>1</v>
      </c>
      <c r="AO28" s="21">
        <f>47/161</f>
        <v>0.29192546583850931</v>
      </c>
      <c r="AP28" s="13">
        <f>AQ28+AR28+AS28+AT28</f>
        <v>0.75</v>
      </c>
      <c r="AQ28" s="13">
        <v>0.25</v>
      </c>
      <c r="AR28" s="13">
        <v>0.25</v>
      </c>
      <c r="AS28" s="13">
        <v>0</v>
      </c>
      <c r="AT28" s="13">
        <v>0.25</v>
      </c>
      <c r="AU28" s="61">
        <f>98/130</f>
        <v>0.75384615384615383</v>
      </c>
      <c r="AV28" s="58">
        <f>(AW28+AX28+AY28+AZ28)</f>
        <v>0.5</v>
      </c>
      <c r="AW28" s="16">
        <f t="shared" ref="AW28:AX28" si="15">(25%+25%+25%)/3</f>
        <v>0.25</v>
      </c>
      <c r="AX28" s="16">
        <f t="shared" si="15"/>
        <v>0.25</v>
      </c>
      <c r="AY28" s="16">
        <v>0</v>
      </c>
      <c r="AZ28" s="16">
        <v>0</v>
      </c>
      <c r="BA28" s="44"/>
      <c r="BB28" s="58"/>
      <c r="BC28" s="58"/>
      <c r="BD28" s="58"/>
      <c r="BE28" s="58"/>
      <c r="BF28" s="58"/>
      <c r="BG28" s="40"/>
      <c r="BH28" s="40"/>
      <c r="BI28" s="40"/>
      <c r="BJ28" s="40"/>
      <c r="BK28" s="40"/>
      <c r="BL28" s="40"/>
      <c r="BM28" s="61">
        <f>47/161</f>
        <v>0.29192546583850931</v>
      </c>
      <c r="BN28" s="44">
        <f>BO28+BP28+BQ28+BR28</f>
        <v>0.75</v>
      </c>
      <c r="BO28" s="13">
        <v>0.25</v>
      </c>
      <c r="BP28" s="13">
        <v>0.25</v>
      </c>
      <c r="BQ28" s="13">
        <v>0</v>
      </c>
      <c r="BR28" s="13">
        <v>0.25</v>
      </c>
      <c r="BS28" s="17">
        <f>98/130</f>
        <v>0.75384615384615383</v>
      </c>
      <c r="BT28" s="11">
        <f>(BU28+BV28+BW28+BX28)</f>
        <v>0.5</v>
      </c>
      <c r="BU28" s="44">
        <v>0.25</v>
      </c>
      <c r="BV28" s="44">
        <v>0.25</v>
      </c>
      <c r="BW28" s="44">
        <v>0</v>
      </c>
      <c r="BX28" s="44">
        <v>0</v>
      </c>
      <c r="BY28" s="11"/>
      <c r="BZ28" s="11"/>
      <c r="CA28" s="85"/>
      <c r="CB28" s="85"/>
      <c r="CC28" s="85"/>
      <c r="CD28" s="85"/>
      <c r="CE28" s="40"/>
      <c r="CF28" s="40"/>
      <c r="CG28" s="40"/>
      <c r="CH28" s="40"/>
      <c r="CI28" s="40"/>
      <c r="CJ28" s="40"/>
      <c r="CK28" s="17">
        <f>(BM28+BS28)/2</f>
        <v>0.52288580984233157</v>
      </c>
      <c r="CL28" s="61">
        <f>CK28</f>
        <v>0.52288580984233157</v>
      </c>
    </row>
    <row r="29" spans="1:90" ht="78" customHeight="1" x14ac:dyDescent="0.25">
      <c r="A29" s="150"/>
      <c r="B29" s="161"/>
      <c r="C29" s="161"/>
      <c r="D29" s="163"/>
      <c r="E29" s="165"/>
      <c r="F29" s="167"/>
      <c r="G29" s="158"/>
      <c r="H29" s="150"/>
      <c r="I29" s="153"/>
      <c r="J29" s="156"/>
      <c r="K29" s="35" t="s">
        <v>434</v>
      </c>
      <c r="L29" s="35" t="s">
        <v>117</v>
      </c>
      <c r="M29" s="140"/>
      <c r="N29" s="46" t="s">
        <v>193</v>
      </c>
      <c r="O29" s="61">
        <v>8.3299999999999999E-2</v>
      </c>
      <c r="P29" s="46" t="s">
        <v>194</v>
      </c>
      <c r="Q29" s="35" t="s">
        <v>73</v>
      </c>
      <c r="R29" s="35" t="s">
        <v>73</v>
      </c>
      <c r="S29" s="46" t="s">
        <v>195</v>
      </c>
      <c r="T29" s="68" t="s">
        <v>75</v>
      </c>
      <c r="U29" s="46" t="s">
        <v>196</v>
      </c>
      <c r="V29" s="68" t="s">
        <v>77</v>
      </c>
      <c r="W29" s="68" t="s">
        <v>197</v>
      </c>
      <c r="X29" s="56" t="s">
        <v>79</v>
      </c>
      <c r="Y29" s="35" t="s">
        <v>73</v>
      </c>
      <c r="Z29" s="35" t="s">
        <v>73</v>
      </c>
      <c r="AA29" s="56" t="s">
        <v>132</v>
      </c>
      <c r="AB29" s="37"/>
      <c r="AC29" s="37"/>
      <c r="AD29" s="19"/>
      <c r="AE29" s="37"/>
      <c r="AF29" s="37"/>
      <c r="AG29" s="37"/>
      <c r="AH29" s="37"/>
      <c r="AI29" s="37"/>
      <c r="AJ29" s="13"/>
      <c r="AK29" s="37"/>
      <c r="AL29" s="37"/>
      <c r="AM29" s="13">
        <v>1</v>
      </c>
      <c r="AN29" s="13">
        <v>1</v>
      </c>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35"/>
      <c r="CL29" s="44">
        <v>0</v>
      </c>
    </row>
    <row r="30" spans="1:90" ht="78" customHeight="1" x14ac:dyDescent="0.25">
      <c r="A30" s="150"/>
      <c r="B30" s="161"/>
      <c r="C30" s="161"/>
      <c r="D30" s="163"/>
      <c r="E30" s="165"/>
      <c r="F30" s="167"/>
      <c r="G30" s="158"/>
      <c r="H30" s="150"/>
      <c r="I30" s="153"/>
      <c r="J30" s="156"/>
      <c r="K30" s="35" t="s">
        <v>435</v>
      </c>
      <c r="L30" s="68" t="s">
        <v>70</v>
      </c>
      <c r="M30" s="140"/>
      <c r="N30" s="46" t="s">
        <v>198</v>
      </c>
      <c r="O30" s="61">
        <v>8.3299999999999999E-2</v>
      </c>
      <c r="P30" s="46" t="s">
        <v>199</v>
      </c>
      <c r="Q30" s="35" t="s">
        <v>73</v>
      </c>
      <c r="R30" s="35" t="s">
        <v>73</v>
      </c>
      <c r="S30" s="46" t="s">
        <v>200</v>
      </c>
      <c r="T30" s="81" t="s">
        <v>84</v>
      </c>
      <c r="U30" s="46" t="s">
        <v>200</v>
      </c>
      <c r="V30" s="68" t="s">
        <v>29</v>
      </c>
      <c r="W30" s="68" t="s">
        <v>201</v>
      </c>
      <c r="X30" s="56" t="s">
        <v>79</v>
      </c>
      <c r="Y30" s="35" t="s">
        <v>73</v>
      </c>
      <c r="Z30" s="35" t="s">
        <v>73</v>
      </c>
      <c r="AA30" s="56" t="s">
        <v>132</v>
      </c>
      <c r="AB30" s="37"/>
      <c r="AC30" s="37"/>
      <c r="AD30" s="19"/>
      <c r="AE30" s="37"/>
      <c r="AF30" s="37"/>
      <c r="AG30" s="37"/>
      <c r="AH30" s="37"/>
      <c r="AI30" s="37"/>
      <c r="AJ30" s="13"/>
      <c r="AK30" s="37"/>
      <c r="AL30" s="37"/>
      <c r="AM30" s="19">
        <v>1</v>
      </c>
      <c r="AN30" s="19">
        <v>1</v>
      </c>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35"/>
      <c r="CL30" s="44">
        <v>0</v>
      </c>
    </row>
    <row r="31" spans="1:90" ht="78" customHeight="1" x14ac:dyDescent="0.25">
      <c r="A31" s="150"/>
      <c r="B31" s="161"/>
      <c r="C31" s="161"/>
      <c r="D31" s="163"/>
      <c r="E31" s="165"/>
      <c r="F31" s="167"/>
      <c r="G31" s="158"/>
      <c r="H31" s="150"/>
      <c r="I31" s="153"/>
      <c r="J31" s="156"/>
      <c r="K31" s="35" t="s">
        <v>436</v>
      </c>
      <c r="L31" s="68" t="s">
        <v>70</v>
      </c>
      <c r="M31" s="140"/>
      <c r="N31" s="40" t="s">
        <v>202</v>
      </c>
      <c r="O31" s="61">
        <v>8.3299999999999999E-2</v>
      </c>
      <c r="P31" s="40" t="s">
        <v>203</v>
      </c>
      <c r="Q31" s="35" t="s">
        <v>73</v>
      </c>
      <c r="R31" s="35" t="s">
        <v>73</v>
      </c>
      <c r="S31" s="46" t="s">
        <v>203</v>
      </c>
      <c r="T31" s="81" t="s">
        <v>75</v>
      </c>
      <c r="U31" s="46" t="s">
        <v>204</v>
      </c>
      <c r="V31" s="68" t="s">
        <v>147</v>
      </c>
      <c r="W31" s="68" t="s">
        <v>205</v>
      </c>
      <c r="X31" s="56" t="s">
        <v>79</v>
      </c>
      <c r="Y31" s="35" t="s">
        <v>73</v>
      </c>
      <c r="Z31" s="35" t="s">
        <v>73</v>
      </c>
      <c r="AA31" s="35" t="s">
        <v>86</v>
      </c>
      <c r="AB31" s="40"/>
      <c r="AC31" s="40"/>
      <c r="AD31" s="40"/>
      <c r="AE31" s="40"/>
      <c r="AF31" s="40"/>
      <c r="AG31" s="44">
        <v>0.5</v>
      </c>
      <c r="AH31" s="43"/>
      <c r="AI31" s="40"/>
      <c r="AJ31" s="40"/>
      <c r="AK31" s="40"/>
      <c r="AL31" s="40"/>
      <c r="AM31" s="44">
        <v>0.5</v>
      </c>
      <c r="AN31" s="44">
        <v>1</v>
      </c>
      <c r="AO31" s="40"/>
      <c r="AP31" s="40"/>
      <c r="AQ31" s="40"/>
      <c r="AR31" s="40"/>
      <c r="AS31" s="40"/>
      <c r="AT31" s="40"/>
      <c r="AU31" s="47">
        <f>98/100</f>
        <v>0.98</v>
      </c>
      <c r="AV31" s="43">
        <f>(AW31+AX31+AY31+AZ31)</f>
        <v>1</v>
      </c>
      <c r="AW31" s="43">
        <v>0.25</v>
      </c>
      <c r="AX31" s="43">
        <v>0.25</v>
      </c>
      <c r="AY31" s="43">
        <v>0.25</v>
      </c>
      <c r="AZ31" s="43">
        <v>0.25</v>
      </c>
      <c r="BA31" s="40"/>
      <c r="BB31" s="40"/>
      <c r="BC31" s="40"/>
      <c r="BD31" s="40"/>
      <c r="BE31" s="40"/>
      <c r="BF31" s="40"/>
      <c r="BG31" s="40"/>
      <c r="BH31" s="40"/>
      <c r="BI31" s="40"/>
      <c r="BJ31" s="40"/>
      <c r="BK31" s="40"/>
      <c r="BL31" s="40"/>
      <c r="BM31" s="40"/>
      <c r="BN31" s="40"/>
      <c r="BO31" s="40"/>
      <c r="BP31" s="40"/>
      <c r="BQ31" s="40"/>
      <c r="BR31" s="40"/>
      <c r="BS31" s="11">
        <f>98/100</f>
        <v>0.98</v>
      </c>
      <c r="BT31" s="43">
        <f>(BU31+BV31+BW31+BX31)</f>
        <v>1</v>
      </c>
      <c r="BU31" s="43">
        <v>0.25</v>
      </c>
      <c r="BV31" s="43">
        <v>0.25</v>
      </c>
      <c r="BW31" s="43">
        <v>0.25</v>
      </c>
      <c r="BX31" s="43">
        <v>0.25</v>
      </c>
      <c r="BY31" s="40"/>
      <c r="BZ31" s="40"/>
      <c r="CA31" s="40"/>
      <c r="CB31" s="40"/>
      <c r="CC31" s="40"/>
      <c r="CD31" s="40"/>
      <c r="CE31" s="40"/>
      <c r="CF31" s="40"/>
      <c r="CG31" s="40"/>
      <c r="CH31" s="40"/>
      <c r="CI31" s="40"/>
      <c r="CJ31" s="40"/>
      <c r="CK31" s="44">
        <f>BS31</f>
        <v>0.98</v>
      </c>
      <c r="CL31" s="44">
        <v>1</v>
      </c>
    </row>
    <row r="32" spans="1:90" ht="78" customHeight="1" x14ac:dyDescent="0.25">
      <c r="A32" s="150"/>
      <c r="B32" s="161"/>
      <c r="C32" s="161"/>
      <c r="D32" s="163"/>
      <c r="E32" s="165"/>
      <c r="F32" s="167"/>
      <c r="G32" s="158"/>
      <c r="H32" s="150"/>
      <c r="I32" s="153"/>
      <c r="J32" s="156"/>
      <c r="K32" s="35" t="s">
        <v>432</v>
      </c>
      <c r="L32" s="68" t="s">
        <v>70</v>
      </c>
      <c r="M32" s="140"/>
      <c r="N32" s="46" t="s">
        <v>206</v>
      </c>
      <c r="O32" s="61">
        <v>8.3299999999999999E-2</v>
      </c>
      <c r="P32" s="48" t="s">
        <v>207</v>
      </c>
      <c r="Q32" s="63"/>
      <c r="R32" s="64"/>
      <c r="S32" s="48" t="s">
        <v>208</v>
      </c>
      <c r="T32" s="68" t="s">
        <v>75</v>
      </c>
      <c r="U32" s="46" t="s">
        <v>209</v>
      </c>
      <c r="V32" s="68" t="s">
        <v>147</v>
      </c>
      <c r="W32" s="68" t="s">
        <v>165</v>
      </c>
      <c r="X32" s="56" t="s">
        <v>79</v>
      </c>
      <c r="Y32" s="35" t="s">
        <v>73</v>
      </c>
      <c r="Z32" s="35" t="s">
        <v>73</v>
      </c>
      <c r="AA32" s="56" t="s">
        <v>80</v>
      </c>
      <c r="AB32" s="19"/>
      <c r="AC32" s="19"/>
      <c r="AD32" s="13">
        <v>1</v>
      </c>
      <c r="AE32" s="19"/>
      <c r="AF32" s="19"/>
      <c r="AG32" s="13">
        <v>1</v>
      </c>
      <c r="AH32" s="19"/>
      <c r="AI32" s="19"/>
      <c r="AJ32" s="13">
        <v>1</v>
      </c>
      <c r="AK32" s="19"/>
      <c r="AL32" s="19"/>
      <c r="AM32" s="13">
        <v>1</v>
      </c>
      <c r="AN32" s="20">
        <v>1</v>
      </c>
      <c r="AO32" s="22">
        <f>5/6</f>
        <v>0.83333333333333337</v>
      </c>
      <c r="AP32" s="13">
        <f>AQ32+AR32+AS32+AT32</f>
        <v>0.75</v>
      </c>
      <c r="AQ32" s="13">
        <v>0.25</v>
      </c>
      <c r="AR32" s="13">
        <v>0.25</v>
      </c>
      <c r="AS32" s="13">
        <v>0</v>
      </c>
      <c r="AT32" s="13">
        <v>0.25</v>
      </c>
      <c r="AU32" s="14">
        <f>0/11</f>
        <v>0</v>
      </c>
      <c r="AV32" s="13">
        <f>AW32+AX32+AY32+AZ32</f>
        <v>1</v>
      </c>
      <c r="AW32" s="13">
        <v>0.25</v>
      </c>
      <c r="AX32" s="13">
        <v>0.25</v>
      </c>
      <c r="AY32" s="13">
        <v>0.25</v>
      </c>
      <c r="AZ32" s="13">
        <v>0.25</v>
      </c>
      <c r="BA32" s="44"/>
      <c r="BB32" s="14"/>
      <c r="BC32" s="14"/>
      <c r="BD32" s="14"/>
      <c r="BE32" s="14"/>
      <c r="BF32" s="14"/>
      <c r="BG32" s="44"/>
      <c r="BH32" s="14"/>
      <c r="BI32" s="14"/>
      <c r="BJ32" s="14"/>
      <c r="BK32" s="14"/>
      <c r="BL32" s="14"/>
      <c r="BM32" s="22">
        <f>5/6</f>
        <v>0.83333333333333337</v>
      </c>
      <c r="BN32" s="13">
        <f>BO32+BP32+BQ32+BR32</f>
        <v>0.75</v>
      </c>
      <c r="BO32" s="13">
        <v>0.25</v>
      </c>
      <c r="BP32" s="13">
        <v>0.25</v>
      </c>
      <c r="BQ32" s="13">
        <v>0</v>
      </c>
      <c r="BR32" s="13">
        <v>0.25</v>
      </c>
      <c r="BS32" s="47">
        <f>0/11</f>
        <v>0</v>
      </c>
      <c r="BT32" s="11">
        <f>(BU32+BV32+BW32+BX32)</f>
        <v>1</v>
      </c>
      <c r="BU32" s="16">
        <f t="shared" ref="BU32:BX34" si="16">(25%+25%+25%)/3</f>
        <v>0.25</v>
      </c>
      <c r="BV32" s="16">
        <f t="shared" si="16"/>
        <v>0.25</v>
      </c>
      <c r="BW32" s="16">
        <f t="shared" si="16"/>
        <v>0.25</v>
      </c>
      <c r="BX32" s="16">
        <f t="shared" si="16"/>
        <v>0.25</v>
      </c>
      <c r="BY32" s="14"/>
      <c r="BZ32" s="14"/>
      <c r="CA32" s="44"/>
      <c r="CB32" s="44"/>
      <c r="CC32" s="44"/>
      <c r="CD32" s="44"/>
      <c r="CE32" s="14"/>
      <c r="CF32" s="14"/>
      <c r="CG32" s="14"/>
      <c r="CH32" s="14"/>
      <c r="CI32" s="14"/>
      <c r="CJ32" s="14"/>
      <c r="CK32" s="17">
        <f>(BM32+BS32)/2</f>
        <v>0.41666666666666669</v>
      </c>
      <c r="CL32" s="61">
        <f>+ CK32/AG32</f>
        <v>0.41666666666666669</v>
      </c>
    </row>
    <row r="33" spans="1:90" ht="78" customHeight="1" x14ac:dyDescent="0.25">
      <c r="A33" s="150"/>
      <c r="B33" s="161"/>
      <c r="C33" s="161"/>
      <c r="D33" s="163"/>
      <c r="E33" s="165"/>
      <c r="F33" s="167"/>
      <c r="G33" s="158"/>
      <c r="H33" s="150"/>
      <c r="I33" s="153"/>
      <c r="J33" s="156"/>
      <c r="K33" s="35" t="s">
        <v>432</v>
      </c>
      <c r="L33" s="68" t="s">
        <v>70</v>
      </c>
      <c r="M33" s="140"/>
      <c r="N33" s="46" t="s">
        <v>210</v>
      </c>
      <c r="O33" s="61">
        <v>8.3299999999999999E-2</v>
      </c>
      <c r="P33" s="48" t="s">
        <v>211</v>
      </c>
      <c r="Q33" s="65">
        <v>1692500000</v>
      </c>
      <c r="R33" s="64" t="s">
        <v>212</v>
      </c>
      <c r="S33" s="48" t="s">
        <v>213</v>
      </c>
      <c r="T33" s="68" t="s">
        <v>75</v>
      </c>
      <c r="U33" s="48" t="s">
        <v>214</v>
      </c>
      <c r="V33" s="68" t="s">
        <v>147</v>
      </c>
      <c r="W33" s="68" t="s">
        <v>165</v>
      </c>
      <c r="X33" s="56" t="s">
        <v>79</v>
      </c>
      <c r="Y33" s="65">
        <v>1692500000</v>
      </c>
      <c r="Z33" s="64" t="s">
        <v>212</v>
      </c>
      <c r="AA33" s="56" t="s">
        <v>86</v>
      </c>
      <c r="AB33" s="56"/>
      <c r="AC33" s="56"/>
      <c r="AD33" s="37"/>
      <c r="AE33" s="56"/>
      <c r="AF33" s="56"/>
      <c r="AG33" s="37">
        <v>1</v>
      </c>
      <c r="AH33" s="56"/>
      <c r="AI33" s="56"/>
      <c r="AJ33" s="37"/>
      <c r="AK33" s="56"/>
      <c r="AL33" s="56"/>
      <c r="AM33" s="37">
        <v>1</v>
      </c>
      <c r="AN33" s="80">
        <v>1</v>
      </c>
      <c r="AO33" s="40"/>
      <c r="AP33" s="40"/>
      <c r="AQ33" s="40"/>
      <c r="AR33" s="40"/>
      <c r="AS33" s="40"/>
      <c r="AT33" s="40"/>
      <c r="AU33" s="17">
        <f>257/287</f>
        <v>0.89547038327526129</v>
      </c>
      <c r="AV33" s="13">
        <f>AW33+AX33+AY33+AZ33</f>
        <v>1</v>
      </c>
      <c r="AW33" s="13">
        <v>0.25</v>
      </c>
      <c r="AX33" s="13">
        <v>0.25</v>
      </c>
      <c r="AY33" s="13">
        <v>0.25</v>
      </c>
      <c r="AZ33" s="13">
        <v>0.25</v>
      </c>
      <c r="BA33" s="40"/>
      <c r="BB33" s="40"/>
      <c r="BC33" s="40"/>
      <c r="BD33" s="40"/>
      <c r="BE33" s="40"/>
      <c r="BF33" s="40"/>
      <c r="BG33" s="17"/>
      <c r="BH33" s="14"/>
      <c r="BI33" s="14"/>
      <c r="BJ33" s="14"/>
      <c r="BK33" s="14"/>
      <c r="BL33" s="14"/>
      <c r="BM33" s="40"/>
      <c r="BN33" s="40"/>
      <c r="BO33" s="40"/>
      <c r="BP33" s="40"/>
      <c r="BQ33" s="40"/>
      <c r="BR33" s="40"/>
      <c r="BS33" s="76">
        <f>257/287</f>
        <v>0.89547038327526129</v>
      </c>
      <c r="BT33" s="11">
        <f>(BU33+BV33+BW33+BX33)</f>
        <v>1</v>
      </c>
      <c r="BU33" s="16">
        <f t="shared" si="16"/>
        <v>0.25</v>
      </c>
      <c r="BV33" s="16">
        <f t="shared" si="16"/>
        <v>0.25</v>
      </c>
      <c r="BW33" s="16">
        <f t="shared" si="16"/>
        <v>0.25</v>
      </c>
      <c r="BX33" s="16">
        <f t="shared" si="16"/>
        <v>0.25</v>
      </c>
      <c r="BY33" s="35"/>
      <c r="BZ33" s="40"/>
      <c r="CA33" s="40"/>
      <c r="CB33" s="40"/>
      <c r="CC33" s="40"/>
      <c r="CD33" s="40"/>
      <c r="CE33" s="17"/>
      <c r="CF33" s="11"/>
      <c r="CG33" s="14"/>
      <c r="CH33" s="14"/>
      <c r="CI33" s="14"/>
      <c r="CJ33" s="14"/>
      <c r="CK33" s="17">
        <f>BS33</f>
        <v>0.89547038327526129</v>
      </c>
      <c r="CL33" s="61">
        <f>CK33/AG33</f>
        <v>0.89547038327526129</v>
      </c>
    </row>
    <row r="34" spans="1:90" ht="78" customHeight="1" x14ac:dyDescent="0.25">
      <c r="A34" s="150"/>
      <c r="B34" s="161"/>
      <c r="C34" s="161"/>
      <c r="D34" s="163"/>
      <c r="E34" s="165"/>
      <c r="F34" s="167"/>
      <c r="G34" s="159"/>
      <c r="H34" s="150"/>
      <c r="I34" s="154"/>
      <c r="J34" s="157"/>
      <c r="K34" s="35" t="s">
        <v>433</v>
      </c>
      <c r="L34" s="68" t="s">
        <v>70</v>
      </c>
      <c r="M34" s="141"/>
      <c r="N34" s="46" t="s">
        <v>215</v>
      </c>
      <c r="O34" s="61">
        <v>8.3299999999999999E-2</v>
      </c>
      <c r="P34" s="46" t="s">
        <v>216</v>
      </c>
      <c r="Q34" s="35" t="s">
        <v>73</v>
      </c>
      <c r="R34" s="35" t="s">
        <v>73</v>
      </c>
      <c r="S34" s="46" t="s">
        <v>217</v>
      </c>
      <c r="T34" s="68" t="s">
        <v>75</v>
      </c>
      <c r="U34" s="46" t="s">
        <v>218</v>
      </c>
      <c r="V34" s="68" t="s">
        <v>147</v>
      </c>
      <c r="W34" s="68" t="s">
        <v>112</v>
      </c>
      <c r="X34" s="56" t="s">
        <v>79</v>
      </c>
      <c r="Y34" s="35" t="s">
        <v>73</v>
      </c>
      <c r="Z34" s="35" t="s">
        <v>73</v>
      </c>
      <c r="AA34" s="56" t="s">
        <v>107</v>
      </c>
      <c r="AB34" s="13">
        <v>1</v>
      </c>
      <c r="AC34" s="13">
        <v>1</v>
      </c>
      <c r="AD34" s="13">
        <v>1</v>
      </c>
      <c r="AE34" s="13">
        <v>1</v>
      </c>
      <c r="AF34" s="13">
        <v>1</v>
      </c>
      <c r="AG34" s="13">
        <v>1</v>
      </c>
      <c r="AH34" s="13">
        <v>1</v>
      </c>
      <c r="AI34" s="13">
        <v>1</v>
      </c>
      <c r="AJ34" s="13">
        <v>1</v>
      </c>
      <c r="AK34" s="13">
        <v>1</v>
      </c>
      <c r="AL34" s="13">
        <v>1</v>
      </c>
      <c r="AM34" s="13">
        <v>1</v>
      </c>
      <c r="AN34" s="13">
        <v>1</v>
      </c>
      <c r="AO34" s="17">
        <f>(0+2+4)/(3+7+12)</f>
        <v>0.27272727272727271</v>
      </c>
      <c r="AP34" s="11">
        <f>AQ34+AR34+AS34+AT34</f>
        <v>0.75</v>
      </c>
      <c r="AQ34" s="16">
        <f>(25%+25%+25%)/3</f>
        <v>0.25</v>
      </c>
      <c r="AR34" s="16">
        <f>(25%+25%+25%)/3</f>
        <v>0.25</v>
      </c>
      <c r="AS34" s="16">
        <f>(25%+25%+25%)/3</f>
        <v>0.25</v>
      </c>
      <c r="AT34" s="16">
        <v>0</v>
      </c>
      <c r="AU34" s="17">
        <f>(1+2+3)/(4+5+8)</f>
        <v>0.35294117647058826</v>
      </c>
      <c r="AV34" s="11">
        <f>AW34+AX34+AY34+AZ34</f>
        <v>1</v>
      </c>
      <c r="AW34" s="16">
        <f t="shared" ref="AW34:AX34" si="17">(25%+25%+25%)/3</f>
        <v>0.25</v>
      </c>
      <c r="AX34" s="16">
        <f t="shared" si="17"/>
        <v>0.25</v>
      </c>
      <c r="AY34" s="16">
        <v>0.25</v>
      </c>
      <c r="AZ34" s="16">
        <v>0.25</v>
      </c>
      <c r="BA34" s="61"/>
      <c r="BB34" s="58"/>
      <c r="BC34" s="58"/>
      <c r="BD34" s="58"/>
      <c r="BE34" s="58"/>
      <c r="BF34" s="58"/>
      <c r="BG34" s="17"/>
      <c r="BH34" s="58"/>
      <c r="BI34" s="85"/>
      <c r="BJ34" s="85"/>
      <c r="BK34" s="85"/>
      <c r="BL34" s="85"/>
      <c r="BM34" s="17">
        <f>(0+2+4)/(3+7+12)</f>
        <v>0.27272727272727271</v>
      </c>
      <c r="BN34" s="11">
        <f>BO34+BP34+BQ34+BR34</f>
        <v>0.75</v>
      </c>
      <c r="BO34" s="16">
        <f>(25%+25%+25%)/3</f>
        <v>0.25</v>
      </c>
      <c r="BP34" s="16">
        <f>(25%+25%+25%)/3</f>
        <v>0.25</v>
      </c>
      <c r="BQ34" s="16">
        <f>(25%+25%+25%)/3</f>
        <v>0.25</v>
      </c>
      <c r="BR34" s="16">
        <f>(0%+0%+0%)/3</f>
        <v>0</v>
      </c>
      <c r="BS34" s="17">
        <f>(1+2+3)/(4+5+8)</f>
        <v>0.35294117647058826</v>
      </c>
      <c r="BT34" s="11">
        <f>BU34+BV34+BW34+BX34</f>
        <v>1</v>
      </c>
      <c r="BU34" s="16">
        <f t="shared" si="16"/>
        <v>0.25</v>
      </c>
      <c r="BV34" s="16">
        <f t="shared" si="16"/>
        <v>0.25</v>
      </c>
      <c r="BW34" s="16">
        <v>0.25</v>
      </c>
      <c r="BX34" s="16">
        <v>0.25</v>
      </c>
      <c r="BY34" s="17"/>
      <c r="BZ34" s="11"/>
      <c r="CA34" s="85"/>
      <c r="CB34" s="85"/>
      <c r="CC34" s="85"/>
      <c r="CD34" s="85"/>
      <c r="CE34" s="17"/>
      <c r="CF34" s="58"/>
      <c r="CG34" s="85"/>
      <c r="CH34" s="85"/>
      <c r="CI34" s="85"/>
      <c r="CJ34" s="85"/>
      <c r="CK34" s="61">
        <f>(BM34+BS34)/2</f>
        <v>0.31283422459893051</v>
      </c>
      <c r="CL34" s="61">
        <f>+CK34/AG34</f>
        <v>0.31283422459893051</v>
      </c>
    </row>
    <row r="35" spans="1:90" ht="78" customHeight="1" x14ac:dyDescent="0.25">
      <c r="A35" s="152" t="s">
        <v>219</v>
      </c>
      <c r="B35" s="152" t="s">
        <v>139</v>
      </c>
      <c r="C35" s="152" t="s">
        <v>220</v>
      </c>
      <c r="D35" s="152" t="s">
        <v>221</v>
      </c>
      <c r="E35" s="150" t="s">
        <v>99</v>
      </c>
      <c r="F35" s="152" t="s">
        <v>222</v>
      </c>
      <c r="G35" s="44"/>
      <c r="H35" s="98" t="s">
        <v>101</v>
      </c>
      <c r="I35" s="48" t="s">
        <v>407</v>
      </c>
      <c r="J35" s="35" t="s">
        <v>223</v>
      </c>
      <c r="K35" s="35" t="s">
        <v>437</v>
      </c>
      <c r="L35" s="68" t="s">
        <v>70</v>
      </c>
      <c r="M35" s="44">
        <v>1</v>
      </c>
      <c r="N35" s="46" t="s">
        <v>224</v>
      </c>
      <c r="O35" s="44">
        <v>1</v>
      </c>
      <c r="P35" s="48" t="s">
        <v>225</v>
      </c>
      <c r="Q35" s="35" t="s">
        <v>73</v>
      </c>
      <c r="R35" s="35" t="s">
        <v>73</v>
      </c>
      <c r="S35" s="48" t="s">
        <v>226</v>
      </c>
      <c r="T35" s="81" t="s">
        <v>84</v>
      </c>
      <c r="U35" s="48" t="s">
        <v>226</v>
      </c>
      <c r="V35" s="68" t="s">
        <v>29</v>
      </c>
      <c r="W35" s="68" t="s">
        <v>78</v>
      </c>
      <c r="X35" s="56" t="s">
        <v>79</v>
      </c>
      <c r="Y35" s="35" t="s">
        <v>73</v>
      </c>
      <c r="Z35" s="35" t="s">
        <v>73</v>
      </c>
      <c r="AA35" s="56" t="s">
        <v>86</v>
      </c>
      <c r="AB35" s="40"/>
      <c r="AC35" s="40"/>
      <c r="AD35" s="35"/>
      <c r="AE35" s="40"/>
      <c r="AF35" s="40"/>
      <c r="AG35" s="35">
        <v>2</v>
      </c>
      <c r="AH35" s="40"/>
      <c r="AI35" s="40"/>
      <c r="AJ35" s="35"/>
      <c r="AK35" s="40"/>
      <c r="AL35" s="40"/>
      <c r="AM35" s="35">
        <v>2</v>
      </c>
      <c r="AN35" s="35">
        <v>4</v>
      </c>
      <c r="AO35" s="40"/>
      <c r="AP35" s="40"/>
      <c r="AQ35" s="40"/>
      <c r="AR35" s="40"/>
      <c r="AS35" s="40"/>
      <c r="AT35" s="40"/>
      <c r="AU35" s="59">
        <v>2</v>
      </c>
      <c r="AV35" s="58">
        <v>1</v>
      </c>
      <c r="AW35" s="58">
        <v>0.25</v>
      </c>
      <c r="AX35" s="58">
        <v>0.25</v>
      </c>
      <c r="AY35" s="58">
        <v>0.25</v>
      </c>
      <c r="AZ35" s="58">
        <v>0.25</v>
      </c>
      <c r="BA35" s="40"/>
      <c r="BB35" s="40"/>
      <c r="BC35" s="40"/>
      <c r="BD35" s="40"/>
      <c r="BE35" s="40"/>
      <c r="BF35" s="40"/>
      <c r="BG35" s="40"/>
      <c r="BH35" s="40"/>
      <c r="BI35" s="40"/>
      <c r="BJ35" s="40"/>
      <c r="BK35" s="40"/>
      <c r="BL35" s="40"/>
      <c r="BM35" s="40"/>
      <c r="BN35" s="40"/>
      <c r="BO35" s="40"/>
      <c r="BP35" s="40"/>
      <c r="BQ35" s="40"/>
      <c r="BR35" s="40"/>
      <c r="BS35" s="35">
        <v>2</v>
      </c>
      <c r="BT35" s="11"/>
      <c r="BU35" s="58">
        <v>0.25</v>
      </c>
      <c r="BV35" s="58">
        <v>0.25</v>
      </c>
      <c r="BW35" s="58">
        <v>0.25</v>
      </c>
      <c r="BX35" s="58">
        <v>0.25</v>
      </c>
      <c r="BY35" s="40"/>
      <c r="BZ35" s="40"/>
      <c r="CA35" s="40"/>
      <c r="CB35" s="40"/>
      <c r="CC35" s="40"/>
      <c r="CD35" s="40"/>
      <c r="CE35" s="40"/>
      <c r="CF35" s="40"/>
      <c r="CG35" s="40"/>
      <c r="CH35" s="40"/>
      <c r="CI35" s="40"/>
      <c r="CJ35" s="40"/>
      <c r="CK35" s="52">
        <v>2</v>
      </c>
      <c r="CL35" s="44">
        <f>2/4</f>
        <v>0.5</v>
      </c>
    </row>
    <row r="36" spans="1:90" ht="78" customHeight="1" x14ac:dyDescent="0.25">
      <c r="A36" s="153"/>
      <c r="B36" s="153"/>
      <c r="C36" s="153"/>
      <c r="D36" s="153"/>
      <c r="E36" s="150"/>
      <c r="F36" s="153"/>
      <c r="G36" s="99"/>
      <c r="H36" s="99"/>
      <c r="I36" s="152" t="s">
        <v>408</v>
      </c>
      <c r="J36" s="155" t="s">
        <v>69</v>
      </c>
      <c r="K36" s="35" t="s">
        <v>438</v>
      </c>
      <c r="L36" s="68" t="s">
        <v>70</v>
      </c>
      <c r="M36" s="139">
        <v>1</v>
      </c>
      <c r="N36" s="46" t="s">
        <v>227</v>
      </c>
      <c r="O36" s="61">
        <v>0.33329999999999999</v>
      </c>
      <c r="P36" s="48" t="s">
        <v>228</v>
      </c>
      <c r="Q36" s="35" t="s">
        <v>73</v>
      </c>
      <c r="R36" s="35" t="s">
        <v>73</v>
      </c>
      <c r="S36" s="48" t="s">
        <v>229</v>
      </c>
      <c r="T36" s="81" t="s">
        <v>75</v>
      </c>
      <c r="U36" s="48" t="s">
        <v>230</v>
      </c>
      <c r="V36" s="68" t="s">
        <v>147</v>
      </c>
      <c r="W36" s="68" t="s">
        <v>165</v>
      </c>
      <c r="X36" s="56" t="s">
        <v>79</v>
      </c>
      <c r="Y36" s="35" t="s">
        <v>73</v>
      </c>
      <c r="Z36" s="35" t="s">
        <v>73</v>
      </c>
      <c r="AA36" s="56" t="s">
        <v>86</v>
      </c>
      <c r="AB36" s="56"/>
      <c r="AC36" s="56"/>
      <c r="AD36" s="37"/>
      <c r="AE36" s="56"/>
      <c r="AF36" s="56"/>
      <c r="AG36" s="37">
        <v>1</v>
      </c>
      <c r="AH36" s="56"/>
      <c r="AI36" s="56"/>
      <c r="AJ36" s="37"/>
      <c r="AK36" s="56"/>
      <c r="AL36" s="56"/>
      <c r="AM36" s="37">
        <v>1</v>
      </c>
      <c r="AN36" s="37">
        <v>1</v>
      </c>
      <c r="AO36" s="40"/>
      <c r="AP36" s="40"/>
      <c r="AQ36" s="40"/>
      <c r="AR36" s="40"/>
      <c r="AS36" s="40"/>
      <c r="AT36" s="40"/>
      <c r="AU36" s="14">
        <f>1/1</f>
        <v>1</v>
      </c>
      <c r="AV36" s="13">
        <f>AW36+AX36+AY36+AZ36</f>
        <v>1</v>
      </c>
      <c r="AW36" s="13">
        <v>0.25</v>
      </c>
      <c r="AX36" s="13">
        <v>0.25</v>
      </c>
      <c r="AY36" s="13">
        <v>0.25</v>
      </c>
      <c r="AZ36" s="13">
        <v>0.25</v>
      </c>
      <c r="BA36" s="40"/>
      <c r="BB36" s="40"/>
      <c r="BC36" s="40"/>
      <c r="BD36" s="40"/>
      <c r="BE36" s="40"/>
      <c r="BF36" s="40"/>
      <c r="BG36" s="80"/>
      <c r="BH36" s="14"/>
      <c r="BI36" s="14"/>
      <c r="BJ36" s="14"/>
      <c r="BK36" s="14"/>
      <c r="BL36" s="14"/>
      <c r="BM36" s="40"/>
      <c r="BN36" s="40"/>
      <c r="BO36" s="40"/>
      <c r="BP36" s="40"/>
      <c r="BQ36" s="40"/>
      <c r="BR36" s="40"/>
      <c r="BS36" s="14">
        <f>1/1</f>
        <v>1</v>
      </c>
      <c r="BT36" s="11">
        <f>(BU36+BV36+BW36+BX36)</f>
        <v>1</v>
      </c>
      <c r="BU36" s="16">
        <f t="shared" ref="BU36:BX36" si="18">(25%+25%+25%)/3</f>
        <v>0.25</v>
      </c>
      <c r="BV36" s="16">
        <f t="shared" si="18"/>
        <v>0.25</v>
      </c>
      <c r="BW36" s="16">
        <f t="shared" si="18"/>
        <v>0.25</v>
      </c>
      <c r="BX36" s="16">
        <f t="shared" si="18"/>
        <v>0.25</v>
      </c>
      <c r="BY36" s="35"/>
      <c r="BZ36" s="40"/>
      <c r="CA36" s="40"/>
      <c r="CB36" s="40"/>
      <c r="CC36" s="40"/>
      <c r="CD36" s="40"/>
      <c r="CE36" s="44"/>
      <c r="CF36" s="11"/>
      <c r="CG36" s="44"/>
      <c r="CH36" s="44"/>
      <c r="CI36" s="44"/>
      <c r="CJ36" s="44"/>
      <c r="CK36" s="44">
        <f>BS36</f>
        <v>1</v>
      </c>
      <c r="CL36" s="44">
        <f>+BS36/AG36</f>
        <v>1</v>
      </c>
    </row>
    <row r="37" spans="1:90" ht="78" customHeight="1" x14ac:dyDescent="0.25">
      <c r="A37" s="153"/>
      <c r="B37" s="153"/>
      <c r="C37" s="153"/>
      <c r="D37" s="153"/>
      <c r="E37" s="150"/>
      <c r="F37" s="153"/>
      <c r="G37" s="99"/>
      <c r="H37" s="99"/>
      <c r="I37" s="153"/>
      <c r="J37" s="156"/>
      <c r="K37" s="35" t="s">
        <v>439</v>
      </c>
      <c r="L37" s="68" t="s">
        <v>70</v>
      </c>
      <c r="M37" s="140"/>
      <c r="N37" s="46" t="s">
        <v>231</v>
      </c>
      <c r="O37" s="61">
        <v>0.33329999999999999</v>
      </c>
      <c r="P37" s="48" t="s">
        <v>232</v>
      </c>
      <c r="Q37" s="35" t="s">
        <v>73</v>
      </c>
      <c r="R37" s="35" t="s">
        <v>73</v>
      </c>
      <c r="S37" s="48" t="s">
        <v>233</v>
      </c>
      <c r="T37" s="81" t="s">
        <v>75</v>
      </c>
      <c r="U37" s="48" t="s">
        <v>234</v>
      </c>
      <c r="V37" s="68" t="s">
        <v>77</v>
      </c>
      <c r="W37" s="68" t="s">
        <v>131</v>
      </c>
      <c r="X37" s="56" t="s">
        <v>79</v>
      </c>
      <c r="Y37" s="35" t="s">
        <v>73</v>
      </c>
      <c r="Z37" s="35" t="s">
        <v>73</v>
      </c>
      <c r="AA37" s="56" t="s">
        <v>80</v>
      </c>
      <c r="AB37" s="56"/>
      <c r="AC37" s="56"/>
      <c r="AD37" s="37">
        <v>1</v>
      </c>
      <c r="AE37" s="56"/>
      <c r="AF37" s="56"/>
      <c r="AG37" s="37">
        <v>1</v>
      </c>
      <c r="AH37" s="56"/>
      <c r="AI37" s="56"/>
      <c r="AJ37" s="37">
        <v>1</v>
      </c>
      <c r="AK37" s="56"/>
      <c r="AL37" s="56"/>
      <c r="AM37" s="37">
        <v>1</v>
      </c>
      <c r="AN37" s="37">
        <v>1</v>
      </c>
      <c r="AO37" s="37">
        <f>3/3</f>
        <v>1</v>
      </c>
      <c r="AP37" s="37">
        <f>AQ37+AR37+AS37+AT37</f>
        <v>0.75</v>
      </c>
      <c r="AQ37" s="37">
        <v>0.25</v>
      </c>
      <c r="AR37" s="37">
        <v>0.25</v>
      </c>
      <c r="AS37" s="37">
        <v>0</v>
      </c>
      <c r="AT37" s="37">
        <v>0.25</v>
      </c>
      <c r="AU37" s="58">
        <f>3/3</f>
        <v>1</v>
      </c>
      <c r="AV37" s="58">
        <f>(AW37+AX37+AY37+AZ37)</f>
        <v>1</v>
      </c>
      <c r="AW37" s="58">
        <v>0.25</v>
      </c>
      <c r="AX37" s="58">
        <v>0.25</v>
      </c>
      <c r="AY37" s="58">
        <v>0.25</v>
      </c>
      <c r="AZ37" s="58">
        <v>0.25</v>
      </c>
      <c r="BA37" s="11"/>
      <c r="BB37" s="58"/>
      <c r="BC37" s="58"/>
      <c r="BD37" s="58"/>
      <c r="BE37" s="58"/>
      <c r="BF37" s="58"/>
      <c r="BG37" s="40"/>
      <c r="BH37" s="40"/>
      <c r="BI37" s="40"/>
      <c r="BJ37" s="40"/>
      <c r="BK37" s="40"/>
      <c r="BL37" s="40"/>
      <c r="BM37" s="44">
        <f>3/3</f>
        <v>1</v>
      </c>
      <c r="BN37" s="11">
        <f>BO37+BP37+BQ37+BR37</f>
        <v>0.75</v>
      </c>
      <c r="BO37" s="37">
        <v>0.25</v>
      </c>
      <c r="BP37" s="37">
        <v>0.25</v>
      </c>
      <c r="BQ37" s="37">
        <v>0</v>
      </c>
      <c r="BR37" s="37">
        <v>0.25</v>
      </c>
      <c r="BS37" s="37">
        <f>3/3</f>
        <v>1</v>
      </c>
      <c r="BT37" s="11">
        <f>(BU37+BV37+BW37+BX37)</f>
        <v>1</v>
      </c>
      <c r="BU37" s="44">
        <v>0.25</v>
      </c>
      <c r="BV37" s="44">
        <v>0.25</v>
      </c>
      <c r="BW37" s="44">
        <v>0.25</v>
      </c>
      <c r="BX37" s="44">
        <v>0.25</v>
      </c>
      <c r="BY37" s="11"/>
      <c r="BZ37" s="11"/>
      <c r="CA37" s="58"/>
      <c r="CB37" s="58"/>
      <c r="CC37" s="58"/>
      <c r="CD37" s="58"/>
      <c r="CE37" s="40"/>
      <c r="CF37" s="40"/>
      <c r="CG37" s="40"/>
      <c r="CH37" s="40"/>
      <c r="CI37" s="40"/>
      <c r="CJ37" s="40"/>
      <c r="CK37" s="11">
        <f>(BM37+BS37)/2</f>
        <v>1</v>
      </c>
      <c r="CL37" s="44">
        <f>+CK37/AG37</f>
        <v>1</v>
      </c>
    </row>
    <row r="38" spans="1:90" ht="78" customHeight="1" x14ac:dyDescent="0.25">
      <c r="A38" s="154"/>
      <c r="B38" s="154"/>
      <c r="C38" s="154"/>
      <c r="D38" s="154"/>
      <c r="E38" s="150"/>
      <c r="F38" s="154"/>
      <c r="G38" s="99"/>
      <c r="H38" s="99"/>
      <c r="I38" s="154"/>
      <c r="J38" s="157"/>
      <c r="K38" s="35" t="s">
        <v>440</v>
      </c>
      <c r="L38" s="68" t="s">
        <v>70</v>
      </c>
      <c r="M38" s="141"/>
      <c r="N38" s="46" t="s">
        <v>235</v>
      </c>
      <c r="O38" s="61">
        <v>0.33329999999999999</v>
      </c>
      <c r="P38" s="48" t="s">
        <v>236</v>
      </c>
      <c r="Q38" s="35" t="s">
        <v>73</v>
      </c>
      <c r="R38" s="35" t="s">
        <v>73</v>
      </c>
      <c r="S38" s="48" t="s">
        <v>237</v>
      </c>
      <c r="T38" s="81" t="s">
        <v>75</v>
      </c>
      <c r="U38" s="48" t="s">
        <v>238</v>
      </c>
      <c r="V38" s="68" t="s">
        <v>77</v>
      </c>
      <c r="W38" s="68" t="s">
        <v>106</v>
      </c>
      <c r="X38" s="56" t="s">
        <v>79</v>
      </c>
      <c r="Y38" s="35" t="s">
        <v>73</v>
      </c>
      <c r="Z38" s="35" t="s">
        <v>73</v>
      </c>
      <c r="AA38" s="56" t="s">
        <v>107</v>
      </c>
      <c r="AB38" s="37">
        <v>1</v>
      </c>
      <c r="AC38" s="37">
        <v>1</v>
      </c>
      <c r="AD38" s="37">
        <v>1</v>
      </c>
      <c r="AE38" s="37">
        <v>1</v>
      </c>
      <c r="AF38" s="37">
        <v>1</v>
      </c>
      <c r="AG38" s="37">
        <v>1</v>
      </c>
      <c r="AH38" s="37">
        <v>1</v>
      </c>
      <c r="AI38" s="37">
        <v>1</v>
      </c>
      <c r="AJ38" s="37">
        <v>1</v>
      </c>
      <c r="AK38" s="37">
        <v>1</v>
      </c>
      <c r="AL38" s="37">
        <v>1</v>
      </c>
      <c r="AM38" s="37">
        <v>1</v>
      </c>
      <c r="AN38" s="37">
        <v>1</v>
      </c>
      <c r="AO38" s="51">
        <f>(1+1+7)/(188+190+184)</f>
        <v>1.601423487544484E-2</v>
      </c>
      <c r="AP38" s="58">
        <f>AQ38+AR38+AS38+AT38</f>
        <v>1</v>
      </c>
      <c r="AQ38" s="16">
        <f>(25%+25%+25%)/3</f>
        <v>0.25</v>
      </c>
      <c r="AR38" s="16">
        <f t="shared" ref="AR38:AT38" si="19">(25%+25%+25%)/3</f>
        <v>0.25</v>
      </c>
      <c r="AS38" s="16">
        <f t="shared" si="19"/>
        <v>0.25</v>
      </c>
      <c r="AT38" s="16">
        <f t="shared" si="19"/>
        <v>0.25</v>
      </c>
      <c r="AU38" s="51">
        <f>(3+7+12)/(191+219+221)</f>
        <v>3.486529318541997E-2</v>
      </c>
      <c r="AV38" s="58">
        <f>AW38+AX38+AY38+AZ38</f>
        <v>1</v>
      </c>
      <c r="AW38" s="16">
        <f>(25%+25%+25%)/3</f>
        <v>0.25</v>
      </c>
      <c r="AX38" s="16">
        <f t="shared" ref="AX38:AZ38" si="20">(25%+25%+25%)/3</f>
        <v>0.25</v>
      </c>
      <c r="AY38" s="16">
        <f t="shared" si="20"/>
        <v>0.25</v>
      </c>
      <c r="AZ38" s="16">
        <f t="shared" si="20"/>
        <v>0.25</v>
      </c>
      <c r="BA38" s="24"/>
      <c r="BB38" s="85"/>
      <c r="BC38" s="85"/>
      <c r="BD38" s="85"/>
      <c r="BE38" s="85"/>
      <c r="BF38" s="85"/>
      <c r="BG38" s="24"/>
      <c r="BH38" s="85"/>
      <c r="BI38" s="85"/>
      <c r="BJ38" s="85"/>
      <c r="BK38" s="85"/>
      <c r="BL38" s="85"/>
      <c r="BM38" s="51">
        <f>(1+1+7)/(188+190+184)</f>
        <v>1.601423487544484E-2</v>
      </c>
      <c r="BN38" s="11">
        <f>BO38+BP38+BQ38+BR38</f>
        <v>1</v>
      </c>
      <c r="BO38" s="14">
        <f t="shared" ref="BO38:BR38" si="21">(25%+25%+25%)/3</f>
        <v>0.25</v>
      </c>
      <c r="BP38" s="14">
        <f t="shared" si="21"/>
        <v>0.25</v>
      </c>
      <c r="BQ38" s="14">
        <f t="shared" si="21"/>
        <v>0.25</v>
      </c>
      <c r="BR38" s="14">
        <f t="shared" si="21"/>
        <v>0.25</v>
      </c>
      <c r="BS38" s="51">
        <f>(3+7+12)/(191+219+221)</f>
        <v>3.486529318541997E-2</v>
      </c>
      <c r="BT38" s="11">
        <f>BU38+BV38+BW38+BX38</f>
        <v>1</v>
      </c>
      <c r="BU38" s="14">
        <f t="shared" ref="BU38:BX38" si="22">(25%+25%+25%)/3</f>
        <v>0.25</v>
      </c>
      <c r="BV38" s="14">
        <f t="shared" si="22"/>
        <v>0.25</v>
      </c>
      <c r="BW38" s="14">
        <f t="shared" si="22"/>
        <v>0.25</v>
      </c>
      <c r="BX38" s="14">
        <f t="shared" si="22"/>
        <v>0.25</v>
      </c>
      <c r="BY38" s="17"/>
      <c r="BZ38" s="85"/>
      <c r="CA38" s="85"/>
      <c r="CB38" s="85"/>
      <c r="CC38" s="85"/>
      <c r="CD38" s="85"/>
      <c r="CE38" s="24"/>
      <c r="CF38" s="85"/>
      <c r="CG38" s="85"/>
      <c r="CH38" s="85"/>
      <c r="CI38" s="85"/>
      <c r="CJ38" s="85"/>
      <c r="CK38" s="61">
        <f>(BM38+BS38)/2</f>
        <v>2.5439764030432403E-2</v>
      </c>
      <c r="CL38" s="61">
        <f>+CK38/AG38</f>
        <v>2.5439764030432403E-2</v>
      </c>
    </row>
    <row r="39" spans="1:90" ht="78" customHeight="1" x14ac:dyDescent="0.25">
      <c r="A39" s="149" t="s">
        <v>239</v>
      </c>
      <c r="B39" s="149" t="s">
        <v>240</v>
      </c>
      <c r="C39" s="149" t="s">
        <v>241</v>
      </c>
      <c r="D39" s="149" t="s">
        <v>242</v>
      </c>
      <c r="E39" s="150"/>
      <c r="F39" s="152" t="s">
        <v>243</v>
      </c>
      <c r="G39" s="44"/>
      <c r="H39" s="98" t="s">
        <v>101</v>
      </c>
      <c r="I39" s="71" t="s">
        <v>458</v>
      </c>
      <c r="J39" s="35" t="s">
        <v>69</v>
      </c>
      <c r="K39" s="35" t="s">
        <v>441</v>
      </c>
      <c r="L39" s="68" t="s">
        <v>117</v>
      </c>
      <c r="M39" s="44">
        <v>1</v>
      </c>
      <c r="N39" s="100" t="s">
        <v>459</v>
      </c>
      <c r="O39" s="44">
        <v>1</v>
      </c>
      <c r="P39" s="71" t="s">
        <v>460</v>
      </c>
      <c r="Q39" s="35" t="s">
        <v>73</v>
      </c>
      <c r="R39" s="35" t="s">
        <v>73</v>
      </c>
      <c r="S39" s="48" t="s">
        <v>244</v>
      </c>
      <c r="T39" s="101" t="s">
        <v>75</v>
      </c>
      <c r="U39" s="48" t="s">
        <v>245</v>
      </c>
      <c r="V39" s="69" t="s">
        <v>77</v>
      </c>
      <c r="W39" s="68" t="s">
        <v>246</v>
      </c>
      <c r="X39" s="56" t="s">
        <v>79</v>
      </c>
      <c r="Y39" s="35" t="s">
        <v>73</v>
      </c>
      <c r="Z39" s="35" t="s">
        <v>73</v>
      </c>
      <c r="AA39" s="59" t="s">
        <v>80</v>
      </c>
      <c r="AB39" s="36"/>
      <c r="AC39" s="36"/>
      <c r="AD39" s="37">
        <v>0.85</v>
      </c>
      <c r="AE39" s="36"/>
      <c r="AF39" s="36"/>
      <c r="AG39" s="37">
        <v>0.85</v>
      </c>
      <c r="AH39" s="36"/>
      <c r="AI39" s="36"/>
      <c r="AJ39" s="37">
        <v>0.85</v>
      </c>
      <c r="AK39" s="36"/>
      <c r="AL39" s="36"/>
      <c r="AM39" s="37">
        <v>0.85</v>
      </c>
      <c r="AN39" s="37">
        <v>0.85</v>
      </c>
      <c r="AO39" s="14">
        <f>39/39</f>
        <v>1</v>
      </c>
      <c r="AP39" s="14">
        <f>AQ39+AR39+AS39+AT39</f>
        <v>1</v>
      </c>
      <c r="AQ39" s="14">
        <v>0.25</v>
      </c>
      <c r="AR39" s="14">
        <v>0.25</v>
      </c>
      <c r="AS39" s="14">
        <v>0.25</v>
      </c>
      <c r="AT39" s="14">
        <v>0.25</v>
      </c>
      <c r="AU39" s="11">
        <f>14/14</f>
        <v>1</v>
      </c>
      <c r="AV39" s="58">
        <f>(AW39+AX39+AY39+AZ39)</f>
        <v>1</v>
      </c>
      <c r="AW39" s="14">
        <v>0.25</v>
      </c>
      <c r="AX39" s="14">
        <v>0.25</v>
      </c>
      <c r="AY39" s="14">
        <v>0.25</v>
      </c>
      <c r="AZ39" s="14">
        <v>0.25</v>
      </c>
      <c r="BA39" s="14"/>
      <c r="BB39" s="58"/>
      <c r="BC39" s="58"/>
      <c r="BD39" s="58"/>
      <c r="BE39" s="58"/>
      <c r="BF39" s="58"/>
      <c r="BG39" s="14"/>
      <c r="BH39" s="58"/>
      <c r="BI39" s="58"/>
      <c r="BJ39" s="58"/>
      <c r="BK39" s="58"/>
      <c r="BL39" s="58"/>
      <c r="BM39" s="11">
        <f>39/39</f>
        <v>1</v>
      </c>
      <c r="BN39" s="11">
        <f>BO39+BP39+BQ39+BR39</f>
        <v>1</v>
      </c>
      <c r="BO39" s="14">
        <v>0.25</v>
      </c>
      <c r="BP39" s="14">
        <v>0.25</v>
      </c>
      <c r="BQ39" s="14">
        <v>0.25</v>
      </c>
      <c r="BR39" s="14">
        <v>0.25</v>
      </c>
      <c r="BS39" s="25">
        <f>14/14</f>
        <v>1</v>
      </c>
      <c r="BT39" s="25">
        <f>(BU39+BV39+BW39+BX39)</f>
        <v>1</v>
      </c>
      <c r="BU39" s="16">
        <v>0.25</v>
      </c>
      <c r="BV39" s="16">
        <v>0.25</v>
      </c>
      <c r="BW39" s="16">
        <v>0.25</v>
      </c>
      <c r="BX39" s="16">
        <v>0.25</v>
      </c>
      <c r="BY39" s="16"/>
      <c r="BZ39" s="102"/>
      <c r="CA39" s="85"/>
      <c r="CB39" s="85"/>
      <c r="CC39" s="85"/>
      <c r="CD39" s="85"/>
      <c r="CE39" s="14"/>
      <c r="CF39" s="85"/>
      <c r="CG39" s="14"/>
      <c r="CH39" s="14"/>
      <c r="CI39" s="14"/>
      <c r="CJ39" s="14"/>
      <c r="CK39" s="11">
        <f>(BM39+BS39)/2</f>
        <v>1</v>
      </c>
      <c r="CL39" s="44">
        <f>+CK39/AG39</f>
        <v>1.1764705882352942</v>
      </c>
    </row>
    <row r="40" spans="1:90" ht="78" customHeight="1" x14ac:dyDescent="0.25">
      <c r="A40" s="150"/>
      <c r="B40" s="150"/>
      <c r="C40" s="150"/>
      <c r="D40" s="150"/>
      <c r="E40" s="150"/>
      <c r="F40" s="153"/>
      <c r="G40" s="44"/>
      <c r="H40" s="99"/>
      <c r="I40" s="103" t="s">
        <v>409</v>
      </c>
      <c r="J40" s="35" t="s">
        <v>247</v>
      </c>
      <c r="K40" s="35" t="s">
        <v>442</v>
      </c>
      <c r="L40" s="40" t="s">
        <v>70</v>
      </c>
      <c r="M40" s="44">
        <v>1</v>
      </c>
      <c r="N40" s="71" t="s">
        <v>248</v>
      </c>
      <c r="O40" s="44">
        <v>1</v>
      </c>
      <c r="P40" s="71" t="s">
        <v>249</v>
      </c>
      <c r="Q40" s="35" t="s">
        <v>73</v>
      </c>
      <c r="R40" s="35" t="s">
        <v>73</v>
      </c>
      <c r="S40" s="71" t="s">
        <v>250</v>
      </c>
      <c r="T40" s="81" t="s">
        <v>84</v>
      </c>
      <c r="U40" s="71" t="s">
        <v>250</v>
      </c>
      <c r="V40" s="35" t="s">
        <v>29</v>
      </c>
      <c r="W40" s="35" t="s">
        <v>201</v>
      </c>
      <c r="X40" s="56" t="s">
        <v>79</v>
      </c>
      <c r="Y40" s="35" t="s">
        <v>73</v>
      </c>
      <c r="Z40" s="35" t="s">
        <v>73</v>
      </c>
      <c r="AA40" s="35" t="s">
        <v>107</v>
      </c>
      <c r="AB40" s="35">
        <v>1</v>
      </c>
      <c r="AC40" s="35">
        <v>1</v>
      </c>
      <c r="AD40" s="35">
        <v>1</v>
      </c>
      <c r="AE40" s="35">
        <v>1</v>
      </c>
      <c r="AF40" s="35">
        <v>1</v>
      </c>
      <c r="AG40" s="35">
        <v>1</v>
      </c>
      <c r="AH40" s="35">
        <v>1</v>
      </c>
      <c r="AI40" s="35">
        <v>1</v>
      </c>
      <c r="AJ40" s="35">
        <v>1</v>
      </c>
      <c r="AK40" s="35">
        <v>1</v>
      </c>
      <c r="AL40" s="35">
        <v>1</v>
      </c>
      <c r="AM40" s="35">
        <v>1</v>
      </c>
      <c r="AN40" s="35">
        <v>12</v>
      </c>
      <c r="AO40" s="35">
        <f>1+1+1</f>
        <v>3</v>
      </c>
      <c r="AP40" s="44">
        <f>SUBTOTAL(9,AQ40:AT40)</f>
        <v>1</v>
      </c>
      <c r="AQ40" s="16">
        <f>(25%+25%+25%)/3</f>
        <v>0.25</v>
      </c>
      <c r="AR40" s="16">
        <f>(25%+25%+25%)/3</f>
        <v>0.25</v>
      </c>
      <c r="AS40" s="16">
        <f>(25%+25%+25%)/3</f>
        <v>0.25</v>
      </c>
      <c r="AT40" s="16">
        <f>(25%+25%+25%)/3</f>
        <v>0.25</v>
      </c>
      <c r="AU40" s="35">
        <f>1+1+1</f>
        <v>3</v>
      </c>
      <c r="AV40" s="44">
        <f>SUBTOTAL(9,AW40:AZ40)</f>
        <v>1</v>
      </c>
      <c r="AW40" s="16">
        <f>(25%+25%+25%)/3</f>
        <v>0.25</v>
      </c>
      <c r="AX40" s="16">
        <f>(25%+25%+25%)/3</f>
        <v>0.25</v>
      </c>
      <c r="AY40" s="16">
        <f>(25%+25%+25%)/3</f>
        <v>0.25</v>
      </c>
      <c r="AZ40" s="16">
        <f>(25%+25%+25%)/3</f>
        <v>0.25</v>
      </c>
      <c r="BA40" s="35"/>
      <c r="BB40" s="44"/>
      <c r="BC40" s="44"/>
      <c r="BD40" s="44"/>
      <c r="BE40" s="44"/>
      <c r="BF40" s="44"/>
      <c r="BG40" s="104"/>
      <c r="BH40" s="44"/>
      <c r="BI40" s="44"/>
      <c r="BJ40" s="44"/>
      <c r="BK40" s="44"/>
      <c r="BL40" s="44"/>
      <c r="BM40" s="35">
        <f>1+1+1</f>
        <v>3</v>
      </c>
      <c r="BN40" s="11">
        <f>BO40+BP40+BQ40+BR40</f>
        <v>1</v>
      </c>
      <c r="BO40" s="16">
        <f>(25%+25%+25%)/3</f>
        <v>0.25</v>
      </c>
      <c r="BP40" s="16">
        <f>(25%+25%+25%)/3</f>
        <v>0.25</v>
      </c>
      <c r="BQ40" s="16">
        <f>(25%+25%+25%)/3</f>
        <v>0.25</v>
      </c>
      <c r="BR40" s="16">
        <f>(25%+25%+25%)/3</f>
        <v>0.25</v>
      </c>
      <c r="BS40" s="35">
        <f>1+1+1</f>
        <v>3</v>
      </c>
      <c r="BT40" s="11">
        <f>BU40+BV40+BW40+BX40</f>
        <v>1</v>
      </c>
      <c r="BU40" s="16">
        <f>(25%+25%+25%)/3</f>
        <v>0.25</v>
      </c>
      <c r="BV40" s="16">
        <f>(25%+25%+25%)/3</f>
        <v>0.25</v>
      </c>
      <c r="BW40" s="16">
        <f>(25%+25%+25%)/3</f>
        <v>0.25</v>
      </c>
      <c r="BX40" s="16">
        <f>(25%+25%+25%)/3</f>
        <v>0.25</v>
      </c>
      <c r="BY40" s="35"/>
      <c r="BZ40" s="17"/>
      <c r="CA40" s="16"/>
      <c r="CB40" s="16"/>
      <c r="CC40" s="16"/>
      <c r="CD40" s="16"/>
      <c r="CE40" s="104"/>
      <c r="CF40" s="44"/>
      <c r="CG40" s="16"/>
      <c r="CH40" s="16"/>
      <c r="CI40" s="16"/>
      <c r="CJ40" s="16"/>
      <c r="CK40" s="52">
        <f>BM40+BS40</f>
        <v>6</v>
      </c>
      <c r="CL40" s="44">
        <f>CK40/AN40</f>
        <v>0.5</v>
      </c>
    </row>
    <row r="41" spans="1:90" ht="98.25" customHeight="1" x14ac:dyDescent="0.25">
      <c r="A41" s="150"/>
      <c r="B41" s="150"/>
      <c r="C41" s="150"/>
      <c r="D41" s="150"/>
      <c r="E41" s="150"/>
      <c r="F41" s="153"/>
      <c r="G41" s="44"/>
      <c r="H41" s="99"/>
      <c r="I41" s="71" t="s">
        <v>410</v>
      </c>
      <c r="J41" s="35" t="s">
        <v>251</v>
      </c>
      <c r="K41" s="35" t="s">
        <v>443</v>
      </c>
      <c r="L41" s="40" t="s">
        <v>70</v>
      </c>
      <c r="M41" s="44">
        <v>1</v>
      </c>
      <c r="N41" s="71" t="s">
        <v>252</v>
      </c>
      <c r="O41" s="44">
        <v>1</v>
      </c>
      <c r="P41" s="71" t="s">
        <v>253</v>
      </c>
      <c r="Q41" s="35" t="s">
        <v>73</v>
      </c>
      <c r="R41" s="35" t="s">
        <v>73</v>
      </c>
      <c r="S41" s="71" t="s">
        <v>254</v>
      </c>
      <c r="T41" s="69" t="s">
        <v>75</v>
      </c>
      <c r="U41" s="71" t="s">
        <v>255</v>
      </c>
      <c r="V41" s="35" t="s">
        <v>77</v>
      </c>
      <c r="W41" s="35" t="s">
        <v>137</v>
      </c>
      <c r="X41" s="56" t="s">
        <v>79</v>
      </c>
      <c r="Y41" s="35" t="s">
        <v>73</v>
      </c>
      <c r="Z41" s="35" t="s">
        <v>73</v>
      </c>
      <c r="AA41" s="35" t="s">
        <v>80</v>
      </c>
      <c r="AB41" s="40"/>
      <c r="AC41" s="40"/>
      <c r="AD41" s="44">
        <v>1</v>
      </c>
      <c r="AE41" s="40"/>
      <c r="AF41" s="40"/>
      <c r="AG41" s="44">
        <v>1</v>
      </c>
      <c r="AH41" s="40"/>
      <c r="AI41" s="40"/>
      <c r="AJ41" s="44">
        <v>1</v>
      </c>
      <c r="AK41" s="40"/>
      <c r="AL41" s="40"/>
      <c r="AM41" s="44">
        <v>1</v>
      </c>
      <c r="AN41" s="44">
        <v>1</v>
      </c>
      <c r="AO41" s="44">
        <f>193/193</f>
        <v>1</v>
      </c>
      <c r="AP41" s="44">
        <f>AQ41+AR41+AS41+AT41</f>
        <v>1</v>
      </c>
      <c r="AQ41" s="44">
        <v>0.25</v>
      </c>
      <c r="AR41" s="44">
        <v>0.25</v>
      </c>
      <c r="AS41" s="44">
        <v>0.25</v>
      </c>
      <c r="AT41" s="44">
        <v>0.25</v>
      </c>
      <c r="AU41" s="61">
        <f>85/91</f>
        <v>0.93406593406593408</v>
      </c>
      <c r="AV41" s="44">
        <f>(AW41+AX41+AY41+AZ41)</f>
        <v>0.75</v>
      </c>
      <c r="AW41" s="44">
        <v>0.25</v>
      </c>
      <c r="AX41" s="44">
        <v>0.25</v>
      </c>
      <c r="AY41" s="44">
        <v>0.25</v>
      </c>
      <c r="AZ41" s="44">
        <v>0</v>
      </c>
      <c r="BA41" s="61"/>
      <c r="BB41" s="44"/>
      <c r="BC41" s="44"/>
      <c r="BD41" s="44"/>
      <c r="BE41" s="44"/>
      <c r="BF41" s="44"/>
      <c r="BG41" s="40"/>
      <c r="BH41" s="40"/>
      <c r="BI41" s="40"/>
      <c r="BJ41" s="40"/>
      <c r="BK41" s="40"/>
      <c r="BL41" s="40"/>
      <c r="BM41" s="11">
        <f>193/193</f>
        <v>1</v>
      </c>
      <c r="BN41" s="11">
        <f t="shared" ref="BN41" si="23">BO41+BP41+BQ41+BR41</f>
        <v>1</v>
      </c>
      <c r="BO41" s="44">
        <v>0.25</v>
      </c>
      <c r="BP41" s="44">
        <v>0.25</v>
      </c>
      <c r="BQ41" s="44">
        <v>0.25</v>
      </c>
      <c r="BR41" s="44">
        <v>0.25</v>
      </c>
      <c r="BS41" s="17">
        <f>85/91</f>
        <v>0.93406593406593408</v>
      </c>
      <c r="BT41" s="11">
        <f>(BU41+BV41+BW41+BX41)</f>
        <v>0.75</v>
      </c>
      <c r="BU41" s="44">
        <v>0.25</v>
      </c>
      <c r="BV41" s="44">
        <v>0.25</v>
      </c>
      <c r="BW41" s="44">
        <v>0.25</v>
      </c>
      <c r="BX41" s="44">
        <v>0</v>
      </c>
      <c r="BY41" s="17"/>
      <c r="BZ41" s="11"/>
      <c r="CA41" s="44"/>
      <c r="CB41" s="44"/>
      <c r="CC41" s="44"/>
      <c r="CD41" s="44"/>
      <c r="CE41" s="40"/>
      <c r="CF41" s="40"/>
      <c r="CG41" s="40"/>
      <c r="CH41" s="40"/>
      <c r="CI41" s="40"/>
      <c r="CJ41" s="40"/>
      <c r="CK41" s="17">
        <f>(BM41+BS41)/2</f>
        <v>0.96703296703296704</v>
      </c>
      <c r="CL41" s="61">
        <f>+CK41/AG41</f>
        <v>0.96703296703296704</v>
      </c>
    </row>
    <row r="42" spans="1:90" ht="78" customHeight="1" x14ac:dyDescent="0.25">
      <c r="A42" s="150"/>
      <c r="B42" s="150"/>
      <c r="C42" s="150"/>
      <c r="D42" s="150"/>
      <c r="E42" s="150"/>
      <c r="F42" s="153"/>
      <c r="G42" s="44"/>
      <c r="H42" s="99"/>
      <c r="I42" s="105" t="s">
        <v>411</v>
      </c>
      <c r="J42" s="35" t="s">
        <v>256</v>
      </c>
      <c r="K42" s="35" t="s">
        <v>444</v>
      </c>
      <c r="L42" s="35" t="s">
        <v>257</v>
      </c>
      <c r="M42" s="44">
        <v>1</v>
      </c>
      <c r="N42" s="71" t="s">
        <v>258</v>
      </c>
      <c r="O42" s="44">
        <v>1</v>
      </c>
      <c r="P42" s="48" t="s">
        <v>259</v>
      </c>
      <c r="Q42" s="35" t="s">
        <v>73</v>
      </c>
      <c r="R42" s="35" t="s">
        <v>73</v>
      </c>
      <c r="S42" s="48" t="s">
        <v>260</v>
      </c>
      <c r="T42" s="69" t="s">
        <v>75</v>
      </c>
      <c r="U42" s="48" t="s">
        <v>261</v>
      </c>
      <c r="V42" s="68" t="s">
        <v>77</v>
      </c>
      <c r="W42" s="68" t="s">
        <v>205</v>
      </c>
      <c r="X42" s="56" t="s">
        <v>79</v>
      </c>
      <c r="Y42" s="35" t="s">
        <v>73</v>
      </c>
      <c r="Z42" s="35" t="s">
        <v>73</v>
      </c>
      <c r="AA42" s="35" t="s">
        <v>80</v>
      </c>
      <c r="AB42" s="40"/>
      <c r="AC42" s="40"/>
      <c r="AD42" s="44">
        <v>0.8</v>
      </c>
      <c r="AE42" s="40"/>
      <c r="AF42" s="40"/>
      <c r="AG42" s="44">
        <v>0.8</v>
      </c>
      <c r="AH42" s="40"/>
      <c r="AI42" s="40"/>
      <c r="AJ42" s="44">
        <v>0.8</v>
      </c>
      <c r="AK42" s="40"/>
      <c r="AL42" s="40"/>
      <c r="AM42" s="44">
        <v>0.8</v>
      </c>
      <c r="AN42" s="44">
        <v>0.8</v>
      </c>
      <c r="AO42" s="11">
        <f>6/6</f>
        <v>1</v>
      </c>
      <c r="AP42" s="11">
        <f>AQ42+AR42+AS42+AT42</f>
        <v>1</v>
      </c>
      <c r="AQ42" s="18">
        <v>0.25</v>
      </c>
      <c r="AR42" s="26">
        <v>0.25</v>
      </c>
      <c r="AS42" s="26">
        <v>0.25</v>
      </c>
      <c r="AT42" s="26">
        <v>0.25</v>
      </c>
      <c r="AU42" s="11">
        <f>12/12</f>
        <v>1</v>
      </c>
      <c r="AV42" s="44">
        <f>(AW42+AX42+AY42+AZ42)</f>
        <v>1</v>
      </c>
      <c r="AW42" s="44">
        <v>0.25</v>
      </c>
      <c r="AX42" s="44">
        <v>0.25</v>
      </c>
      <c r="AY42" s="44">
        <v>0.25</v>
      </c>
      <c r="AZ42" s="44">
        <v>0.25</v>
      </c>
      <c r="BA42" s="11"/>
      <c r="BB42" s="26"/>
      <c r="BC42" s="18"/>
      <c r="BD42" s="26"/>
      <c r="BE42" s="26"/>
      <c r="BF42" s="26"/>
      <c r="BG42" s="40"/>
      <c r="BH42" s="40"/>
      <c r="BI42" s="40"/>
      <c r="BJ42" s="40"/>
      <c r="BK42" s="40"/>
      <c r="BL42" s="40"/>
      <c r="BM42" s="11">
        <f>6/6</f>
        <v>1</v>
      </c>
      <c r="BN42" s="11">
        <f>BO42+BP42+BQ42+BR42</f>
        <v>0.75</v>
      </c>
      <c r="BO42" s="44">
        <v>0.25</v>
      </c>
      <c r="BP42" s="44">
        <v>0.25</v>
      </c>
      <c r="BQ42" s="44">
        <v>0</v>
      </c>
      <c r="BR42" s="44">
        <v>0.25</v>
      </c>
      <c r="BS42" s="11">
        <f>12/12</f>
        <v>1</v>
      </c>
      <c r="BT42" s="11">
        <f>(BU42+BV42+BW42+BX42)</f>
        <v>1</v>
      </c>
      <c r="BU42" s="43">
        <v>0.25</v>
      </c>
      <c r="BV42" s="43">
        <v>0.25</v>
      </c>
      <c r="BW42" s="43">
        <v>0.25</v>
      </c>
      <c r="BX42" s="43">
        <v>0.25</v>
      </c>
      <c r="BY42" s="11"/>
      <c r="BZ42" s="11"/>
      <c r="CA42" s="44"/>
      <c r="CB42" s="44"/>
      <c r="CC42" s="44"/>
      <c r="CD42" s="44"/>
      <c r="CE42" s="40"/>
      <c r="CF42" s="40"/>
      <c r="CG42" s="40"/>
      <c r="CH42" s="40"/>
      <c r="CI42" s="40"/>
      <c r="CJ42" s="40"/>
      <c r="CK42" s="11">
        <f>(BM42+BS42)/2</f>
        <v>1</v>
      </c>
      <c r="CL42" s="44">
        <f>+CK42/AG42</f>
        <v>1.25</v>
      </c>
    </row>
    <row r="43" spans="1:90" ht="78" customHeight="1" x14ac:dyDescent="0.25">
      <c r="A43" s="150"/>
      <c r="B43" s="150"/>
      <c r="C43" s="150"/>
      <c r="D43" s="150"/>
      <c r="E43" s="150"/>
      <c r="F43" s="153"/>
      <c r="G43" s="44"/>
      <c r="H43" s="99"/>
      <c r="I43" s="98" t="s">
        <v>412</v>
      </c>
      <c r="J43" s="35" t="s">
        <v>69</v>
      </c>
      <c r="K43" s="35" t="s">
        <v>445</v>
      </c>
      <c r="L43" s="35" t="s">
        <v>117</v>
      </c>
      <c r="M43" s="44">
        <v>1</v>
      </c>
      <c r="N43" s="71" t="s">
        <v>262</v>
      </c>
      <c r="O43" s="44">
        <v>1</v>
      </c>
      <c r="P43" s="49" t="s">
        <v>263</v>
      </c>
      <c r="Q43" s="35" t="s">
        <v>73</v>
      </c>
      <c r="R43" s="35" t="s">
        <v>73</v>
      </c>
      <c r="S43" s="48" t="s">
        <v>264</v>
      </c>
      <c r="T43" s="101" t="s">
        <v>75</v>
      </c>
      <c r="U43" s="48" t="s">
        <v>265</v>
      </c>
      <c r="V43" s="69" t="s">
        <v>77</v>
      </c>
      <c r="W43" s="35" t="s">
        <v>266</v>
      </c>
      <c r="X43" s="56" t="s">
        <v>79</v>
      </c>
      <c r="Y43" s="35" t="s">
        <v>73</v>
      </c>
      <c r="Z43" s="35" t="s">
        <v>73</v>
      </c>
      <c r="AA43" s="59" t="s">
        <v>80</v>
      </c>
      <c r="AB43" s="36"/>
      <c r="AC43" s="36"/>
      <c r="AD43" s="37">
        <v>1</v>
      </c>
      <c r="AE43" s="37"/>
      <c r="AF43" s="36"/>
      <c r="AG43" s="37">
        <v>1</v>
      </c>
      <c r="AH43" s="36"/>
      <c r="AI43" s="37"/>
      <c r="AJ43" s="37">
        <v>1</v>
      </c>
      <c r="AK43" s="36"/>
      <c r="AL43" s="36"/>
      <c r="AM43" s="37">
        <v>1</v>
      </c>
      <c r="AN43" s="37">
        <v>1</v>
      </c>
      <c r="AO43" s="17">
        <f>1142/1423</f>
        <v>0.80252986647926916</v>
      </c>
      <c r="AP43" s="44">
        <f>AQ43+AR43+AS43+AT43</f>
        <v>1</v>
      </c>
      <c r="AQ43" s="44">
        <v>0.25</v>
      </c>
      <c r="AR43" s="44">
        <v>0.25</v>
      </c>
      <c r="AS43" s="44">
        <v>0.25</v>
      </c>
      <c r="AT43" s="44">
        <v>0.25</v>
      </c>
      <c r="AU43" s="17">
        <f>376/376</f>
        <v>1</v>
      </c>
      <c r="AV43" s="44">
        <f>(AW43+AX43+AY43+AZ43)</f>
        <v>1</v>
      </c>
      <c r="AW43" s="44">
        <v>0.25</v>
      </c>
      <c r="AX43" s="44">
        <v>0.25</v>
      </c>
      <c r="AY43" s="44">
        <v>0.25</v>
      </c>
      <c r="AZ43" s="44">
        <v>0.25</v>
      </c>
      <c r="BA43" s="17"/>
      <c r="BB43" s="44"/>
      <c r="BC43" s="44"/>
      <c r="BD43" s="44"/>
      <c r="BE43" s="44"/>
      <c r="BF43" s="44"/>
      <c r="BG43" s="40"/>
      <c r="BH43" s="40"/>
      <c r="BI43" s="40"/>
      <c r="BJ43" s="40"/>
      <c r="BK43" s="40"/>
      <c r="BL43" s="40"/>
      <c r="BM43" s="17">
        <f>1142/1423</f>
        <v>0.80252986647926916</v>
      </c>
      <c r="BN43" s="11">
        <f>BO43+BP43+BQ43+BR43</f>
        <v>1</v>
      </c>
      <c r="BO43" s="44">
        <v>0.25</v>
      </c>
      <c r="BP43" s="44">
        <v>0.25</v>
      </c>
      <c r="BQ43" s="44">
        <v>0.25</v>
      </c>
      <c r="BR43" s="44">
        <v>0.25</v>
      </c>
      <c r="BS43" s="44">
        <f>376/376</f>
        <v>1</v>
      </c>
      <c r="BT43" s="11">
        <f>(BU43+BV43+BW43+BX43)</f>
        <v>1</v>
      </c>
      <c r="BU43" s="44">
        <v>0.25</v>
      </c>
      <c r="BV43" s="44">
        <v>0.25</v>
      </c>
      <c r="BW43" s="44">
        <v>0.25</v>
      </c>
      <c r="BX43" s="44">
        <v>0.25</v>
      </c>
      <c r="BY43" s="61"/>
      <c r="BZ43" s="11"/>
      <c r="CA43" s="44"/>
      <c r="CB43" s="44"/>
      <c r="CC43" s="44"/>
      <c r="CD43" s="44"/>
      <c r="CE43" s="40"/>
      <c r="CF43" s="40"/>
      <c r="CG43" s="40"/>
      <c r="CH43" s="40"/>
      <c r="CI43" s="40"/>
      <c r="CJ43" s="40"/>
      <c r="CK43" s="17">
        <f>(BM43+BS43)/2</f>
        <v>0.90126493323963452</v>
      </c>
      <c r="CL43" s="76">
        <f>+CK43/AG43</f>
        <v>0.90126493323963452</v>
      </c>
    </row>
    <row r="44" spans="1:90" ht="78" customHeight="1" x14ac:dyDescent="0.25">
      <c r="A44" s="150"/>
      <c r="B44" s="150"/>
      <c r="C44" s="150"/>
      <c r="D44" s="150"/>
      <c r="E44" s="150"/>
      <c r="F44" s="153"/>
      <c r="G44" s="40"/>
      <c r="H44" s="99"/>
      <c r="I44" s="152" t="s">
        <v>413</v>
      </c>
      <c r="J44" s="155" t="s">
        <v>69</v>
      </c>
      <c r="K44" s="35" t="s">
        <v>446</v>
      </c>
      <c r="L44" s="35" t="s">
        <v>117</v>
      </c>
      <c r="M44" s="139">
        <v>1</v>
      </c>
      <c r="N44" s="71" t="s">
        <v>267</v>
      </c>
      <c r="O44" s="61">
        <v>3.8399999999999997E-2</v>
      </c>
      <c r="P44" s="106" t="s">
        <v>268</v>
      </c>
      <c r="Q44" s="66">
        <v>3307500000</v>
      </c>
      <c r="R44" s="63" t="s">
        <v>269</v>
      </c>
      <c r="S44" s="48" t="s">
        <v>270</v>
      </c>
      <c r="T44" s="81" t="s">
        <v>75</v>
      </c>
      <c r="U44" s="48" t="s">
        <v>271</v>
      </c>
      <c r="V44" s="68" t="s">
        <v>77</v>
      </c>
      <c r="W44" s="68" t="s">
        <v>272</v>
      </c>
      <c r="X44" s="56" t="s">
        <v>79</v>
      </c>
      <c r="Y44" s="66">
        <v>3307500000</v>
      </c>
      <c r="Z44" s="63" t="s">
        <v>269</v>
      </c>
      <c r="AA44" s="56" t="s">
        <v>132</v>
      </c>
      <c r="AB44" s="36"/>
      <c r="AC44" s="36"/>
      <c r="AD44" s="93"/>
      <c r="AE44" s="93"/>
      <c r="AF44" s="93"/>
      <c r="AG44" s="93"/>
      <c r="AH44" s="93"/>
      <c r="AI44" s="93"/>
      <c r="AJ44" s="93"/>
      <c r="AK44" s="93"/>
      <c r="AL44" s="93"/>
      <c r="AM44" s="20">
        <v>1</v>
      </c>
      <c r="AN44" s="20">
        <v>1</v>
      </c>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35"/>
      <c r="CL44" s="44">
        <v>0</v>
      </c>
    </row>
    <row r="45" spans="1:90" ht="78" customHeight="1" x14ac:dyDescent="0.25">
      <c r="A45" s="150"/>
      <c r="B45" s="150"/>
      <c r="C45" s="150"/>
      <c r="D45" s="150"/>
      <c r="E45" s="150"/>
      <c r="F45" s="153"/>
      <c r="G45" s="40"/>
      <c r="H45" s="99"/>
      <c r="I45" s="153"/>
      <c r="J45" s="156"/>
      <c r="K45" s="35" t="s">
        <v>447</v>
      </c>
      <c r="L45" s="35" t="s">
        <v>117</v>
      </c>
      <c r="M45" s="140"/>
      <c r="N45" s="71" t="s">
        <v>312</v>
      </c>
      <c r="O45" s="61">
        <v>3.8399999999999997E-2</v>
      </c>
      <c r="P45" s="71" t="s">
        <v>416</v>
      </c>
      <c r="Q45" s="35" t="s">
        <v>73</v>
      </c>
      <c r="R45" s="35" t="s">
        <v>73</v>
      </c>
      <c r="S45" s="48" t="s">
        <v>417</v>
      </c>
      <c r="T45" s="81" t="s">
        <v>75</v>
      </c>
      <c r="U45" s="48" t="s">
        <v>418</v>
      </c>
      <c r="V45" s="68" t="s">
        <v>77</v>
      </c>
      <c r="W45" s="107" t="s">
        <v>316</v>
      </c>
      <c r="X45" s="56" t="s">
        <v>79</v>
      </c>
      <c r="Y45" s="56" t="s">
        <v>79</v>
      </c>
      <c r="Z45" s="56" t="s">
        <v>79</v>
      </c>
      <c r="AA45" s="56" t="s">
        <v>80</v>
      </c>
      <c r="AB45" s="36"/>
      <c r="AC45" s="36"/>
      <c r="AD45" s="37">
        <v>0.9</v>
      </c>
      <c r="AE45" s="93"/>
      <c r="AF45" s="93"/>
      <c r="AG45" s="37">
        <v>0.9</v>
      </c>
      <c r="AH45" s="93"/>
      <c r="AI45" s="93"/>
      <c r="AJ45" s="37">
        <v>0.9</v>
      </c>
      <c r="AK45" s="93"/>
      <c r="AL45" s="93"/>
      <c r="AM45" s="37">
        <v>0.9</v>
      </c>
      <c r="AN45" s="37">
        <v>0.9</v>
      </c>
      <c r="AO45" s="44">
        <f>46/50</f>
        <v>0.92</v>
      </c>
      <c r="AP45" s="44">
        <f>AQ45+AR45+AS45+AT45</f>
        <v>1</v>
      </c>
      <c r="AQ45" s="44">
        <v>0.25</v>
      </c>
      <c r="AR45" s="44">
        <v>0.25</v>
      </c>
      <c r="AS45" s="44">
        <v>0.25</v>
      </c>
      <c r="AT45" s="44">
        <v>0.25</v>
      </c>
      <c r="AU45" s="83">
        <f>21/25</f>
        <v>0.84</v>
      </c>
      <c r="AV45" s="44">
        <f>(AW45+AX45+AY45+AZ45)</f>
        <v>1</v>
      </c>
      <c r="AW45" s="11">
        <v>0.25</v>
      </c>
      <c r="AX45" s="11">
        <v>0.25</v>
      </c>
      <c r="AY45" s="11">
        <v>0.25</v>
      </c>
      <c r="AZ45" s="11">
        <v>0.25</v>
      </c>
      <c r="BA45" s="40"/>
      <c r="BB45" s="40"/>
      <c r="BC45" s="40"/>
      <c r="BD45" s="40"/>
      <c r="BE45" s="40"/>
      <c r="BF45" s="40"/>
      <c r="BG45" s="40"/>
      <c r="BH45" s="40"/>
      <c r="BI45" s="40"/>
      <c r="BJ45" s="40"/>
      <c r="BK45" s="40"/>
      <c r="BL45" s="40"/>
      <c r="BM45" s="44">
        <f>46/50</f>
        <v>0.92</v>
      </c>
      <c r="BN45" s="44">
        <f>BO45+BP45+BQ45+BR45</f>
        <v>1</v>
      </c>
      <c r="BO45" s="44">
        <v>0.25</v>
      </c>
      <c r="BP45" s="44">
        <v>0.25</v>
      </c>
      <c r="BQ45" s="44">
        <v>0.25</v>
      </c>
      <c r="BR45" s="44">
        <v>0.25</v>
      </c>
      <c r="BS45" s="47">
        <f>21/25</f>
        <v>0.84</v>
      </c>
      <c r="BT45" s="43">
        <f>(BU45+BV45+BW45+BX45)</f>
        <v>1</v>
      </c>
      <c r="BU45" s="44">
        <v>0.25</v>
      </c>
      <c r="BV45" s="44">
        <v>0.25</v>
      </c>
      <c r="BW45" s="44">
        <v>0.25</v>
      </c>
      <c r="BX45" s="44">
        <v>0.25</v>
      </c>
      <c r="BY45" s="40"/>
      <c r="BZ45" s="40"/>
      <c r="CA45" s="40"/>
      <c r="CB45" s="40"/>
      <c r="CC45" s="40"/>
      <c r="CD45" s="40"/>
      <c r="CE45" s="40"/>
      <c r="CF45" s="40"/>
      <c r="CG45" s="40"/>
      <c r="CH45" s="40"/>
      <c r="CI45" s="40"/>
      <c r="CJ45" s="40"/>
      <c r="CK45" s="47">
        <f>(BM45+BS45)/2</f>
        <v>0.88</v>
      </c>
      <c r="CL45" s="62">
        <f>+CK45/AG45</f>
        <v>0.97777777777777775</v>
      </c>
    </row>
    <row r="46" spans="1:90" ht="78" customHeight="1" x14ac:dyDescent="0.25">
      <c r="A46" s="150"/>
      <c r="B46" s="150"/>
      <c r="C46" s="150"/>
      <c r="D46" s="150"/>
      <c r="E46" s="150"/>
      <c r="F46" s="153"/>
      <c r="G46" s="40"/>
      <c r="H46" s="99"/>
      <c r="I46" s="153"/>
      <c r="J46" s="156"/>
      <c r="K46" s="35" t="s">
        <v>448</v>
      </c>
      <c r="L46" s="35" t="s">
        <v>117</v>
      </c>
      <c r="M46" s="140"/>
      <c r="N46" s="48" t="s">
        <v>273</v>
      </c>
      <c r="O46" s="61">
        <v>3.8399999999999997E-2</v>
      </c>
      <c r="P46" s="108" t="s">
        <v>274</v>
      </c>
      <c r="Q46" s="35" t="s">
        <v>73</v>
      </c>
      <c r="R46" s="35" t="s">
        <v>73</v>
      </c>
      <c r="S46" s="48" t="s">
        <v>275</v>
      </c>
      <c r="T46" s="81" t="s">
        <v>84</v>
      </c>
      <c r="U46" s="48" t="s">
        <v>276</v>
      </c>
      <c r="V46" s="69" t="s">
        <v>29</v>
      </c>
      <c r="W46" s="107" t="s">
        <v>131</v>
      </c>
      <c r="X46" s="56" t="s">
        <v>79</v>
      </c>
      <c r="Y46" s="35" t="s">
        <v>73</v>
      </c>
      <c r="Z46" s="35" t="s">
        <v>73</v>
      </c>
      <c r="AA46" s="59" t="s">
        <v>132</v>
      </c>
      <c r="AB46" s="36"/>
      <c r="AC46" s="36"/>
      <c r="AD46" s="37"/>
      <c r="AE46" s="37"/>
      <c r="AF46" s="36"/>
      <c r="AG46" s="37"/>
      <c r="AH46" s="36"/>
      <c r="AI46" s="93">
        <v>1</v>
      </c>
      <c r="AJ46" s="37"/>
      <c r="AK46" s="36"/>
      <c r="AL46" s="36"/>
      <c r="AM46" s="37"/>
      <c r="AN46" s="93">
        <v>1</v>
      </c>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35"/>
      <c r="CL46" s="44">
        <v>0</v>
      </c>
    </row>
    <row r="47" spans="1:90" ht="78" customHeight="1" x14ac:dyDescent="0.25">
      <c r="A47" s="150"/>
      <c r="B47" s="150"/>
      <c r="C47" s="150"/>
      <c r="D47" s="150"/>
      <c r="E47" s="150"/>
      <c r="F47" s="153"/>
      <c r="G47" s="40"/>
      <c r="H47" s="99"/>
      <c r="I47" s="153"/>
      <c r="J47" s="156"/>
      <c r="K47" s="35" t="s">
        <v>449</v>
      </c>
      <c r="L47" s="35" t="s">
        <v>117</v>
      </c>
      <c r="M47" s="140"/>
      <c r="N47" s="48" t="s">
        <v>277</v>
      </c>
      <c r="O47" s="61">
        <v>3.8399999999999997E-2</v>
      </c>
      <c r="P47" s="109" t="s">
        <v>278</v>
      </c>
      <c r="Q47" s="35" t="s">
        <v>73</v>
      </c>
      <c r="R47" s="35" t="s">
        <v>73</v>
      </c>
      <c r="S47" s="48" t="s">
        <v>279</v>
      </c>
      <c r="T47" s="101" t="s">
        <v>75</v>
      </c>
      <c r="U47" s="48" t="s">
        <v>280</v>
      </c>
      <c r="V47" s="68" t="s">
        <v>77</v>
      </c>
      <c r="W47" s="35" t="s">
        <v>205</v>
      </c>
      <c r="X47" s="56" t="s">
        <v>79</v>
      </c>
      <c r="Y47" s="35" t="s">
        <v>73</v>
      </c>
      <c r="Z47" s="35" t="s">
        <v>73</v>
      </c>
      <c r="AA47" s="59" t="s">
        <v>132</v>
      </c>
      <c r="AB47" s="35"/>
      <c r="AC47" s="35"/>
      <c r="AD47" s="44"/>
      <c r="AE47" s="35"/>
      <c r="AF47" s="35"/>
      <c r="AG47" s="44"/>
      <c r="AH47" s="35"/>
      <c r="AI47" s="35"/>
      <c r="AJ47" s="44"/>
      <c r="AK47" s="35"/>
      <c r="AL47" s="35"/>
      <c r="AM47" s="44">
        <v>0.8</v>
      </c>
      <c r="AN47" s="44">
        <v>0.8</v>
      </c>
      <c r="AO47" s="11"/>
      <c r="AP47" s="26"/>
      <c r="AQ47" s="18"/>
      <c r="AR47" s="26"/>
      <c r="AS47" s="26"/>
      <c r="AT47" s="26"/>
      <c r="AU47" s="17"/>
      <c r="AV47" s="26"/>
      <c r="AW47" s="18"/>
      <c r="AX47" s="26"/>
      <c r="AY47" s="26"/>
      <c r="AZ47" s="26"/>
      <c r="BA47" s="11"/>
      <c r="BB47" s="26"/>
      <c r="BC47" s="18"/>
      <c r="BD47" s="26"/>
      <c r="BE47" s="26"/>
      <c r="BF47" s="26"/>
      <c r="BG47" s="40"/>
      <c r="BH47" s="40"/>
      <c r="BI47" s="40"/>
      <c r="BJ47" s="40"/>
      <c r="BK47" s="40"/>
      <c r="BL47" s="40"/>
      <c r="BM47" s="26"/>
      <c r="BN47" s="11"/>
      <c r="BO47" s="44"/>
      <c r="BP47" s="44"/>
      <c r="BQ47" s="44"/>
      <c r="BR47" s="44"/>
      <c r="BS47" s="61"/>
      <c r="BT47" s="11"/>
      <c r="BU47" s="44"/>
      <c r="BV47" s="44"/>
      <c r="BW47" s="44"/>
      <c r="BX47" s="44"/>
      <c r="BY47" s="61"/>
      <c r="BZ47" s="11"/>
      <c r="CA47" s="44"/>
      <c r="CB47" s="44"/>
      <c r="CC47" s="44"/>
      <c r="CD47" s="44"/>
      <c r="CE47" s="40"/>
      <c r="CF47" s="40"/>
      <c r="CG47" s="40"/>
      <c r="CH47" s="40"/>
      <c r="CI47" s="40"/>
      <c r="CJ47" s="40"/>
      <c r="CK47" s="61"/>
      <c r="CL47" s="44">
        <v>0</v>
      </c>
    </row>
    <row r="48" spans="1:90" ht="78" customHeight="1" x14ac:dyDescent="0.25">
      <c r="A48" s="150"/>
      <c r="B48" s="150"/>
      <c r="C48" s="150"/>
      <c r="D48" s="150"/>
      <c r="E48" s="150"/>
      <c r="F48" s="153"/>
      <c r="G48" s="40"/>
      <c r="H48" s="99"/>
      <c r="I48" s="153"/>
      <c r="J48" s="156"/>
      <c r="K48" s="35" t="s">
        <v>449</v>
      </c>
      <c r="L48" s="35" t="s">
        <v>117</v>
      </c>
      <c r="M48" s="140"/>
      <c r="N48" s="48" t="s">
        <v>281</v>
      </c>
      <c r="O48" s="61">
        <v>3.8399999999999997E-2</v>
      </c>
      <c r="P48" s="109" t="s">
        <v>282</v>
      </c>
      <c r="Q48" s="35" t="s">
        <v>73</v>
      </c>
      <c r="R48" s="35" t="s">
        <v>73</v>
      </c>
      <c r="S48" s="48" t="s">
        <v>283</v>
      </c>
      <c r="T48" s="101" t="s">
        <v>75</v>
      </c>
      <c r="U48" s="48" t="s">
        <v>284</v>
      </c>
      <c r="V48" s="68" t="s">
        <v>77</v>
      </c>
      <c r="W48" s="35" t="s">
        <v>205</v>
      </c>
      <c r="X48" s="56" t="s">
        <v>79</v>
      </c>
      <c r="Y48" s="35" t="s">
        <v>73</v>
      </c>
      <c r="Z48" s="35" t="s">
        <v>73</v>
      </c>
      <c r="AA48" s="35" t="s">
        <v>132</v>
      </c>
      <c r="AB48" s="40"/>
      <c r="AC48" s="35"/>
      <c r="AD48" s="44"/>
      <c r="AE48" s="35"/>
      <c r="AF48" s="35"/>
      <c r="AG48" s="44"/>
      <c r="AH48" s="35"/>
      <c r="AI48" s="35"/>
      <c r="AJ48" s="44"/>
      <c r="AK48" s="35"/>
      <c r="AL48" s="35"/>
      <c r="AM48" s="44">
        <v>0.8</v>
      </c>
      <c r="AN48" s="44">
        <v>0.8</v>
      </c>
      <c r="AO48" s="11"/>
      <c r="AP48" s="26"/>
      <c r="AQ48" s="26"/>
      <c r="AR48" s="26"/>
      <c r="AS48" s="26"/>
      <c r="AT48" s="26"/>
      <c r="AU48" s="13"/>
      <c r="AV48" s="26"/>
      <c r="AW48" s="26"/>
      <c r="AX48" s="26"/>
      <c r="AY48" s="26"/>
      <c r="AZ48" s="26"/>
      <c r="BA48" s="13"/>
      <c r="BB48" s="26"/>
      <c r="BC48" s="18"/>
      <c r="BD48" s="26"/>
      <c r="BE48" s="26"/>
      <c r="BF48" s="26"/>
      <c r="BG48" s="40"/>
      <c r="BH48" s="40"/>
      <c r="BI48" s="40"/>
      <c r="BJ48" s="40"/>
      <c r="BK48" s="40"/>
      <c r="BL48" s="40"/>
      <c r="BM48" s="11"/>
      <c r="BN48" s="11"/>
      <c r="BO48" s="26"/>
      <c r="BP48" s="26"/>
      <c r="BQ48" s="26"/>
      <c r="BR48" s="26"/>
      <c r="BS48" s="11"/>
      <c r="BT48" s="11"/>
      <c r="BU48" s="44"/>
      <c r="BV48" s="44"/>
      <c r="BW48" s="44"/>
      <c r="BX48" s="44"/>
      <c r="BY48" s="44"/>
      <c r="BZ48" s="11"/>
      <c r="CA48" s="44"/>
      <c r="CB48" s="44"/>
      <c r="CC48" s="44"/>
      <c r="CD48" s="44"/>
      <c r="CE48" s="40"/>
      <c r="CF48" s="40"/>
      <c r="CG48" s="40"/>
      <c r="CH48" s="40"/>
      <c r="CI48" s="40"/>
      <c r="CJ48" s="40"/>
      <c r="CK48" s="11"/>
      <c r="CL48" s="44">
        <v>0</v>
      </c>
    </row>
    <row r="49" spans="1:90" ht="78" customHeight="1" x14ac:dyDescent="0.25">
      <c r="A49" s="150"/>
      <c r="B49" s="150"/>
      <c r="C49" s="150"/>
      <c r="D49" s="150"/>
      <c r="E49" s="150"/>
      <c r="F49" s="153"/>
      <c r="G49" s="40"/>
      <c r="H49" s="99"/>
      <c r="I49" s="153"/>
      <c r="J49" s="156"/>
      <c r="K49" s="35" t="s">
        <v>450</v>
      </c>
      <c r="L49" s="35" t="s">
        <v>117</v>
      </c>
      <c r="M49" s="140"/>
      <c r="N49" s="48" t="s">
        <v>285</v>
      </c>
      <c r="O49" s="61">
        <v>3.8399999999999997E-2</v>
      </c>
      <c r="P49" s="109" t="s">
        <v>286</v>
      </c>
      <c r="Q49" s="35" t="s">
        <v>73</v>
      </c>
      <c r="R49" s="35" t="s">
        <v>73</v>
      </c>
      <c r="S49" s="40" t="s">
        <v>287</v>
      </c>
      <c r="T49" s="101" t="s">
        <v>75</v>
      </c>
      <c r="U49" s="40" t="s">
        <v>288</v>
      </c>
      <c r="V49" s="69" t="s">
        <v>77</v>
      </c>
      <c r="W49" s="96" t="s">
        <v>137</v>
      </c>
      <c r="X49" s="56" t="s">
        <v>79</v>
      </c>
      <c r="Y49" s="35" t="s">
        <v>73</v>
      </c>
      <c r="Z49" s="35" t="s">
        <v>73</v>
      </c>
      <c r="AA49" s="35" t="s">
        <v>86</v>
      </c>
      <c r="AB49" s="40"/>
      <c r="AC49" s="40"/>
      <c r="AD49" s="44"/>
      <c r="AE49" s="40"/>
      <c r="AF49" s="40"/>
      <c r="AG49" s="44">
        <v>1</v>
      </c>
      <c r="AH49" s="40"/>
      <c r="AI49" s="40"/>
      <c r="AJ49" s="44"/>
      <c r="AK49" s="40"/>
      <c r="AL49" s="40"/>
      <c r="AM49" s="44">
        <v>1</v>
      </c>
      <c r="AN49" s="44">
        <v>1</v>
      </c>
      <c r="AO49" s="40"/>
      <c r="AP49" s="40"/>
      <c r="AQ49" s="40"/>
      <c r="AR49" s="40"/>
      <c r="AS49" s="40"/>
      <c r="AT49" s="40"/>
      <c r="AU49" s="44">
        <f>3/3</f>
        <v>1</v>
      </c>
      <c r="AV49" s="44">
        <f t="shared" ref="AV49:AV58" si="24">(AW49+AX49+AY49+AZ49)</f>
        <v>1</v>
      </c>
      <c r="AW49" s="44">
        <v>0.25</v>
      </c>
      <c r="AX49" s="44">
        <v>0.25</v>
      </c>
      <c r="AY49" s="44">
        <v>0.25</v>
      </c>
      <c r="AZ49" s="44">
        <v>0.25</v>
      </c>
      <c r="BA49" s="40"/>
      <c r="BB49" s="40"/>
      <c r="BC49" s="40"/>
      <c r="BD49" s="40"/>
      <c r="BE49" s="40"/>
      <c r="BF49" s="40"/>
      <c r="BG49" s="40"/>
      <c r="BH49" s="40"/>
      <c r="BI49" s="40"/>
      <c r="BJ49" s="40"/>
      <c r="BK49" s="40"/>
      <c r="BL49" s="40"/>
      <c r="BM49" s="40"/>
      <c r="BN49" s="40"/>
      <c r="BO49" s="40"/>
      <c r="BP49" s="40"/>
      <c r="BQ49" s="40"/>
      <c r="BR49" s="40"/>
      <c r="BS49" s="11">
        <f>3/3</f>
        <v>1</v>
      </c>
      <c r="BT49" s="11">
        <f t="shared" ref="BT49:BT58" si="25">(BU49+BV49+BW49+BX49)</f>
        <v>1</v>
      </c>
      <c r="BU49" s="44">
        <v>0.25</v>
      </c>
      <c r="BV49" s="44">
        <v>0.25</v>
      </c>
      <c r="BW49" s="44">
        <v>0.25</v>
      </c>
      <c r="BX49" s="44">
        <v>0.25</v>
      </c>
      <c r="BY49" s="35"/>
      <c r="BZ49" s="40"/>
      <c r="CA49" s="40"/>
      <c r="CB49" s="40"/>
      <c r="CC49" s="40"/>
      <c r="CD49" s="40"/>
      <c r="CE49" s="40"/>
      <c r="CF49" s="40"/>
      <c r="CG49" s="40"/>
      <c r="CH49" s="40"/>
      <c r="CI49" s="40"/>
      <c r="CJ49" s="40"/>
      <c r="CK49" s="11">
        <f>BS49</f>
        <v>1</v>
      </c>
      <c r="CL49" s="44">
        <f>+CK49/AG49</f>
        <v>1</v>
      </c>
    </row>
    <row r="50" spans="1:90" ht="78" customHeight="1" x14ac:dyDescent="0.25">
      <c r="A50" s="150"/>
      <c r="B50" s="150"/>
      <c r="C50" s="150"/>
      <c r="D50" s="150"/>
      <c r="E50" s="150"/>
      <c r="F50" s="153"/>
      <c r="G50" s="40"/>
      <c r="H50" s="99"/>
      <c r="I50" s="153"/>
      <c r="J50" s="156"/>
      <c r="K50" s="35" t="s">
        <v>449</v>
      </c>
      <c r="L50" s="35" t="s">
        <v>117</v>
      </c>
      <c r="M50" s="140"/>
      <c r="N50" s="71" t="s">
        <v>289</v>
      </c>
      <c r="O50" s="61">
        <v>3.8399999999999997E-2</v>
      </c>
      <c r="P50" s="40" t="s">
        <v>290</v>
      </c>
      <c r="Q50" s="35" t="s">
        <v>73</v>
      </c>
      <c r="R50" s="35" t="s">
        <v>73</v>
      </c>
      <c r="S50" s="40" t="s">
        <v>291</v>
      </c>
      <c r="T50" s="35" t="s">
        <v>75</v>
      </c>
      <c r="U50" s="71" t="s">
        <v>292</v>
      </c>
      <c r="V50" s="35" t="s">
        <v>77</v>
      </c>
      <c r="W50" s="35" t="s">
        <v>205</v>
      </c>
      <c r="X50" s="67" t="s">
        <v>293</v>
      </c>
      <c r="Y50" s="35" t="s">
        <v>73</v>
      </c>
      <c r="Z50" s="35" t="s">
        <v>73</v>
      </c>
      <c r="AA50" s="35" t="s">
        <v>80</v>
      </c>
      <c r="AB50" s="27"/>
      <c r="AC50" s="40"/>
      <c r="AD50" s="58">
        <v>0.2</v>
      </c>
      <c r="AE50" s="59"/>
      <c r="AF50" s="59"/>
      <c r="AG50" s="58">
        <v>0.2</v>
      </c>
      <c r="AH50" s="59"/>
      <c r="AI50" s="59"/>
      <c r="AJ50" s="58">
        <v>0.2</v>
      </c>
      <c r="AK50" s="59"/>
      <c r="AL50" s="59"/>
      <c r="AM50" s="58">
        <v>0.25</v>
      </c>
      <c r="AN50" s="58">
        <f>AD50+AG50+AJ50+AM50</f>
        <v>0.85000000000000009</v>
      </c>
      <c r="AO50" s="11">
        <v>0</v>
      </c>
      <c r="AP50" s="11">
        <f>AQ50+AR50+AS50+AT50</f>
        <v>0.75</v>
      </c>
      <c r="AQ50" s="44">
        <v>0.25</v>
      </c>
      <c r="AR50" s="44">
        <v>0.25</v>
      </c>
      <c r="AS50" s="44">
        <v>0</v>
      </c>
      <c r="AT50" s="44">
        <v>0.25</v>
      </c>
      <c r="AU50" s="13">
        <v>1</v>
      </c>
      <c r="AV50" s="44">
        <f t="shared" si="24"/>
        <v>1</v>
      </c>
      <c r="AW50" s="44">
        <v>0.25</v>
      </c>
      <c r="AX50" s="44">
        <v>0.25</v>
      </c>
      <c r="AY50" s="44">
        <v>0.25</v>
      </c>
      <c r="AZ50" s="44">
        <v>0.25</v>
      </c>
      <c r="BA50" s="13"/>
      <c r="BB50" s="26"/>
      <c r="BC50" s="18"/>
      <c r="BD50" s="26"/>
      <c r="BE50" s="26"/>
      <c r="BF50" s="26"/>
      <c r="BG50" s="40"/>
      <c r="BH50" s="40"/>
      <c r="BI50" s="40"/>
      <c r="BJ50" s="40"/>
      <c r="BK50" s="40"/>
      <c r="BL50" s="40"/>
      <c r="BM50" s="11">
        <v>0</v>
      </c>
      <c r="BN50" s="11">
        <f>BO50+BP50+BQ50+BR50</f>
        <v>0.75</v>
      </c>
      <c r="BO50" s="44">
        <v>0.25</v>
      </c>
      <c r="BP50" s="44">
        <v>0.25</v>
      </c>
      <c r="BQ50" s="44">
        <v>0</v>
      </c>
      <c r="BR50" s="44">
        <v>0.25</v>
      </c>
      <c r="BS50" s="11">
        <v>1</v>
      </c>
      <c r="BT50" s="11">
        <f t="shared" si="25"/>
        <v>1</v>
      </c>
      <c r="BU50" s="44">
        <v>0.25</v>
      </c>
      <c r="BV50" s="44">
        <v>0.25</v>
      </c>
      <c r="BW50" s="44">
        <v>0.25</v>
      </c>
      <c r="BX50" s="44">
        <v>0.25</v>
      </c>
      <c r="BY50" s="11"/>
      <c r="BZ50" s="11"/>
      <c r="CA50" s="44"/>
      <c r="CB50" s="44"/>
      <c r="CC50" s="44"/>
      <c r="CD50" s="44"/>
      <c r="CE50" s="40"/>
      <c r="CF50" s="40"/>
      <c r="CG50" s="40"/>
      <c r="CH50" s="40"/>
      <c r="CI50" s="40"/>
      <c r="CJ50" s="40"/>
      <c r="CK50" s="11">
        <f>(BM50+BS50)/2</f>
        <v>0.5</v>
      </c>
      <c r="CL50" s="44">
        <v>0.5</v>
      </c>
    </row>
    <row r="51" spans="1:90" ht="78" customHeight="1" x14ac:dyDescent="0.25">
      <c r="A51" s="150"/>
      <c r="B51" s="150"/>
      <c r="C51" s="150"/>
      <c r="D51" s="150"/>
      <c r="E51" s="150"/>
      <c r="F51" s="153"/>
      <c r="G51" s="40"/>
      <c r="H51" s="99"/>
      <c r="I51" s="153"/>
      <c r="J51" s="156"/>
      <c r="K51" s="35" t="s">
        <v>449</v>
      </c>
      <c r="L51" s="35" t="s">
        <v>117</v>
      </c>
      <c r="M51" s="140"/>
      <c r="N51" s="71" t="s">
        <v>294</v>
      </c>
      <c r="O51" s="61">
        <v>3.8399999999999997E-2</v>
      </c>
      <c r="P51" s="40" t="s">
        <v>295</v>
      </c>
      <c r="Q51" s="67" t="s">
        <v>73</v>
      </c>
      <c r="R51" s="67" t="s">
        <v>73</v>
      </c>
      <c r="S51" s="49" t="s">
        <v>296</v>
      </c>
      <c r="T51" s="35" t="s">
        <v>75</v>
      </c>
      <c r="U51" s="71" t="s">
        <v>297</v>
      </c>
      <c r="V51" s="35" t="s">
        <v>77</v>
      </c>
      <c r="W51" s="67" t="s">
        <v>205</v>
      </c>
      <c r="X51" s="67" t="s">
        <v>298</v>
      </c>
      <c r="Y51" s="67" t="s">
        <v>73</v>
      </c>
      <c r="Z51" s="67" t="s">
        <v>73</v>
      </c>
      <c r="AA51" s="35" t="s">
        <v>80</v>
      </c>
      <c r="AB51" s="110"/>
      <c r="AC51" s="110"/>
      <c r="AD51" s="58">
        <v>0.2</v>
      </c>
      <c r="AE51" s="59"/>
      <c r="AF51" s="59"/>
      <c r="AG51" s="58">
        <v>0.2</v>
      </c>
      <c r="AH51" s="59"/>
      <c r="AI51" s="59"/>
      <c r="AJ51" s="58">
        <v>0.2</v>
      </c>
      <c r="AK51" s="59"/>
      <c r="AL51" s="59"/>
      <c r="AM51" s="58">
        <v>0.25</v>
      </c>
      <c r="AN51" s="58">
        <f>AD51+AG51+AJ51+AM51</f>
        <v>0.85000000000000009</v>
      </c>
      <c r="AO51" s="11">
        <v>0</v>
      </c>
      <c r="AP51" s="11">
        <f>AQ51+AR51+AS51+AT51</f>
        <v>0.75</v>
      </c>
      <c r="AQ51" s="44">
        <v>0.25</v>
      </c>
      <c r="AR51" s="44">
        <v>0.25</v>
      </c>
      <c r="AS51" s="44">
        <v>0</v>
      </c>
      <c r="AT51" s="44">
        <v>0.25</v>
      </c>
      <c r="AU51" s="47">
        <f>1/1</f>
        <v>1</v>
      </c>
      <c r="AV51" s="44">
        <f t="shared" si="24"/>
        <v>1</v>
      </c>
      <c r="AW51" s="44">
        <v>0.25</v>
      </c>
      <c r="AX51" s="44">
        <v>0.25</v>
      </c>
      <c r="AY51" s="44">
        <v>0.25</v>
      </c>
      <c r="AZ51" s="44">
        <v>0.25</v>
      </c>
      <c r="BA51" s="11"/>
      <c r="BB51" s="26"/>
      <c r="BC51" s="18"/>
      <c r="BD51" s="26"/>
      <c r="BE51" s="26"/>
      <c r="BF51" s="26"/>
      <c r="BG51" s="40"/>
      <c r="BH51" s="40"/>
      <c r="BI51" s="40"/>
      <c r="BJ51" s="40"/>
      <c r="BK51" s="40"/>
      <c r="BL51" s="40"/>
      <c r="BM51" s="11">
        <v>0</v>
      </c>
      <c r="BN51" s="11">
        <f>BO51+BP51+BQ51+BR51</f>
        <v>0.75</v>
      </c>
      <c r="BO51" s="44">
        <v>0.25</v>
      </c>
      <c r="BP51" s="44">
        <v>0.25</v>
      </c>
      <c r="BQ51" s="44">
        <v>0</v>
      </c>
      <c r="BR51" s="44">
        <v>0.25</v>
      </c>
      <c r="BS51" s="47">
        <f>1/1</f>
        <v>1</v>
      </c>
      <c r="BT51" s="11">
        <f t="shared" si="25"/>
        <v>1</v>
      </c>
      <c r="BU51" s="44">
        <v>0.25</v>
      </c>
      <c r="BV51" s="44">
        <v>0.25</v>
      </c>
      <c r="BW51" s="44">
        <v>0.25</v>
      </c>
      <c r="BX51" s="44">
        <v>0.25</v>
      </c>
      <c r="BY51" s="11"/>
      <c r="BZ51" s="11"/>
      <c r="CA51" s="44"/>
      <c r="CB51" s="44"/>
      <c r="CC51" s="44"/>
      <c r="CD51" s="44"/>
      <c r="CE51" s="40"/>
      <c r="CF51" s="40"/>
      <c r="CG51" s="40"/>
      <c r="CH51" s="40"/>
      <c r="CI51" s="40"/>
      <c r="CJ51" s="40"/>
      <c r="CK51" s="11">
        <f>(BM51+BS51)/2</f>
        <v>0.5</v>
      </c>
      <c r="CL51" s="44">
        <v>0.5</v>
      </c>
    </row>
    <row r="52" spans="1:90" ht="78" customHeight="1" x14ac:dyDescent="0.25">
      <c r="A52" s="150"/>
      <c r="B52" s="150"/>
      <c r="C52" s="150"/>
      <c r="D52" s="150"/>
      <c r="E52" s="150"/>
      <c r="F52" s="153"/>
      <c r="G52" s="40"/>
      <c r="H52" s="99"/>
      <c r="I52" s="153"/>
      <c r="J52" s="156"/>
      <c r="K52" s="35" t="s">
        <v>446</v>
      </c>
      <c r="L52" s="35" t="s">
        <v>117</v>
      </c>
      <c r="M52" s="140"/>
      <c r="N52" s="48" t="s">
        <v>299</v>
      </c>
      <c r="O52" s="61">
        <v>3.8399999999999997E-2</v>
      </c>
      <c r="P52" s="111" t="s">
        <v>300</v>
      </c>
      <c r="Q52" s="66">
        <v>3307500000</v>
      </c>
      <c r="R52" s="63" t="s">
        <v>269</v>
      </c>
      <c r="S52" s="48" t="s">
        <v>301</v>
      </c>
      <c r="T52" s="81" t="s">
        <v>84</v>
      </c>
      <c r="U52" s="48" t="s">
        <v>302</v>
      </c>
      <c r="V52" s="68" t="s">
        <v>29</v>
      </c>
      <c r="W52" s="68" t="s">
        <v>272</v>
      </c>
      <c r="X52" s="68" t="s">
        <v>303</v>
      </c>
      <c r="Y52" s="66">
        <v>3307500000</v>
      </c>
      <c r="Z52" s="63" t="s">
        <v>269</v>
      </c>
      <c r="AA52" s="59" t="s">
        <v>80</v>
      </c>
      <c r="AB52" s="36"/>
      <c r="AC52" s="36"/>
      <c r="AD52" s="56">
        <v>1</v>
      </c>
      <c r="AE52" s="37"/>
      <c r="AF52" s="36"/>
      <c r="AG52" s="56">
        <v>1</v>
      </c>
      <c r="AH52" s="36"/>
      <c r="AI52" s="37"/>
      <c r="AJ52" s="56">
        <v>1</v>
      </c>
      <c r="AK52" s="36"/>
      <c r="AL52" s="36"/>
      <c r="AM52" s="56">
        <v>1</v>
      </c>
      <c r="AN52" s="94">
        <v>4</v>
      </c>
      <c r="AO52" s="35">
        <v>1</v>
      </c>
      <c r="AP52" s="11">
        <f>AQ52+AR52+AS52+AT52</f>
        <v>1</v>
      </c>
      <c r="AQ52" s="44">
        <v>0.25</v>
      </c>
      <c r="AR52" s="44">
        <v>0.25</v>
      </c>
      <c r="AS52" s="44">
        <v>0.25</v>
      </c>
      <c r="AT52" s="44">
        <v>0.25</v>
      </c>
      <c r="AU52" s="35">
        <v>1</v>
      </c>
      <c r="AV52" s="44">
        <f t="shared" si="24"/>
        <v>1</v>
      </c>
      <c r="AW52" s="44">
        <v>0.25</v>
      </c>
      <c r="AX52" s="44">
        <v>0.25</v>
      </c>
      <c r="AY52" s="44">
        <v>0.25</v>
      </c>
      <c r="AZ52" s="44">
        <v>0.25</v>
      </c>
      <c r="BA52" s="35"/>
      <c r="BB52" s="14"/>
      <c r="BC52" s="14"/>
      <c r="BD52" s="14"/>
      <c r="BE52" s="14"/>
      <c r="BF52" s="14"/>
      <c r="BG52" s="40"/>
      <c r="BH52" s="40"/>
      <c r="BI52" s="40"/>
      <c r="BJ52" s="40"/>
      <c r="BK52" s="40"/>
      <c r="BL52" s="40"/>
      <c r="BM52" s="35">
        <v>1</v>
      </c>
      <c r="BN52" s="11">
        <f>BO52+BP52+BQ52+BR52</f>
        <v>1</v>
      </c>
      <c r="BO52" s="44">
        <v>0.25</v>
      </c>
      <c r="BP52" s="44">
        <v>0.25</v>
      </c>
      <c r="BQ52" s="44">
        <v>0.25</v>
      </c>
      <c r="BR52" s="44">
        <v>0.25</v>
      </c>
      <c r="BS52" s="35">
        <v>1</v>
      </c>
      <c r="BT52" s="11">
        <f t="shared" si="25"/>
        <v>1</v>
      </c>
      <c r="BU52" s="44">
        <v>0.25</v>
      </c>
      <c r="BV52" s="44">
        <v>0.25</v>
      </c>
      <c r="BW52" s="44">
        <v>0.25</v>
      </c>
      <c r="BX52" s="44">
        <v>0.25</v>
      </c>
      <c r="BY52" s="35"/>
      <c r="BZ52" s="11"/>
      <c r="CA52" s="44"/>
      <c r="CB52" s="44"/>
      <c r="CC52" s="44"/>
      <c r="CD52" s="44"/>
      <c r="CE52" s="40"/>
      <c r="CF52" s="40"/>
      <c r="CG52" s="40"/>
      <c r="CH52" s="40"/>
      <c r="CI52" s="40"/>
      <c r="CJ52" s="40"/>
      <c r="CK52" s="52">
        <f>BM52+BS52</f>
        <v>2</v>
      </c>
      <c r="CL52" s="44">
        <f>2/4</f>
        <v>0.5</v>
      </c>
    </row>
    <row r="53" spans="1:90" ht="78" customHeight="1" x14ac:dyDescent="0.25">
      <c r="A53" s="150"/>
      <c r="B53" s="150"/>
      <c r="C53" s="150"/>
      <c r="D53" s="150"/>
      <c r="E53" s="150"/>
      <c r="F53" s="153"/>
      <c r="G53" s="40"/>
      <c r="H53" s="99"/>
      <c r="I53" s="153"/>
      <c r="J53" s="156"/>
      <c r="K53" s="35" t="s">
        <v>449</v>
      </c>
      <c r="L53" s="35" t="s">
        <v>117</v>
      </c>
      <c r="M53" s="140"/>
      <c r="N53" s="71" t="s">
        <v>304</v>
      </c>
      <c r="O53" s="61">
        <v>3.8399999999999997E-2</v>
      </c>
      <c r="P53" s="108" t="s">
        <v>305</v>
      </c>
      <c r="Q53" s="35" t="s">
        <v>73</v>
      </c>
      <c r="R53" s="35" t="s">
        <v>73</v>
      </c>
      <c r="S53" s="48" t="s">
        <v>456</v>
      </c>
      <c r="T53" s="101" t="s">
        <v>75</v>
      </c>
      <c r="U53" s="71" t="s">
        <v>306</v>
      </c>
      <c r="V53" s="35" t="s">
        <v>77</v>
      </c>
      <c r="W53" s="35" t="s">
        <v>205</v>
      </c>
      <c r="X53" s="35" t="s">
        <v>307</v>
      </c>
      <c r="Y53" s="35" t="s">
        <v>73</v>
      </c>
      <c r="Z53" s="35" t="s">
        <v>73</v>
      </c>
      <c r="AA53" s="59" t="s">
        <v>80</v>
      </c>
      <c r="AB53" s="36"/>
      <c r="AC53" s="28"/>
      <c r="AD53" s="58">
        <v>0.85</v>
      </c>
      <c r="AE53" s="59"/>
      <c r="AF53" s="59"/>
      <c r="AG53" s="58">
        <v>0.85</v>
      </c>
      <c r="AH53" s="59"/>
      <c r="AI53" s="59"/>
      <c r="AJ53" s="58">
        <v>0.85</v>
      </c>
      <c r="AK53" s="59"/>
      <c r="AL53" s="59"/>
      <c r="AM53" s="58">
        <v>0.85</v>
      </c>
      <c r="AN53" s="58">
        <v>0.85</v>
      </c>
      <c r="AO53" s="11">
        <v>0</v>
      </c>
      <c r="AP53" s="11">
        <f>AQ53+AR53+AS53+AT53</f>
        <v>0.75</v>
      </c>
      <c r="AQ53" s="44">
        <v>0.25</v>
      </c>
      <c r="AR53" s="44">
        <v>0.25</v>
      </c>
      <c r="AS53" s="44">
        <v>0</v>
      </c>
      <c r="AT53" s="44">
        <v>0.25</v>
      </c>
      <c r="AU53" s="72">
        <f>1/1</f>
        <v>1</v>
      </c>
      <c r="AV53" s="44">
        <f t="shared" si="24"/>
        <v>1</v>
      </c>
      <c r="AW53" s="44">
        <v>0.25</v>
      </c>
      <c r="AX53" s="44">
        <v>0.25</v>
      </c>
      <c r="AY53" s="44">
        <v>0.25</v>
      </c>
      <c r="AZ53" s="44">
        <v>0.25</v>
      </c>
      <c r="BA53" s="13"/>
      <c r="BB53" s="26"/>
      <c r="BC53" s="18"/>
      <c r="BD53" s="26"/>
      <c r="BE53" s="26"/>
      <c r="BF53" s="26"/>
      <c r="BG53" s="40"/>
      <c r="BH53" s="40"/>
      <c r="BI53" s="40"/>
      <c r="BJ53" s="40"/>
      <c r="BK53" s="40"/>
      <c r="BL53" s="40"/>
      <c r="BM53" s="11">
        <v>0</v>
      </c>
      <c r="BN53" s="11">
        <f>BO53+BP53+BQ53+BR53</f>
        <v>0.75</v>
      </c>
      <c r="BO53" s="44">
        <v>0.25</v>
      </c>
      <c r="BP53" s="44">
        <v>0.25</v>
      </c>
      <c r="BQ53" s="44">
        <v>0</v>
      </c>
      <c r="BR53" s="44">
        <v>0.25</v>
      </c>
      <c r="BS53" s="47">
        <f>1/1</f>
        <v>1</v>
      </c>
      <c r="BT53" s="11">
        <f t="shared" si="25"/>
        <v>1</v>
      </c>
      <c r="BU53" s="44">
        <v>0.25</v>
      </c>
      <c r="BV53" s="44">
        <v>0.25</v>
      </c>
      <c r="BW53" s="44">
        <v>0.25</v>
      </c>
      <c r="BX53" s="44">
        <v>0.25</v>
      </c>
      <c r="BY53" s="11"/>
      <c r="BZ53" s="11"/>
      <c r="CA53" s="44"/>
      <c r="CB53" s="44"/>
      <c r="CC53" s="44"/>
      <c r="CD53" s="44"/>
      <c r="CE53" s="40"/>
      <c r="CF53" s="40"/>
      <c r="CG53" s="40"/>
      <c r="CH53" s="40"/>
      <c r="CI53" s="40"/>
      <c r="CJ53" s="40"/>
      <c r="CK53" s="11">
        <f>(BM53+BS53)/2</f>
        <v>0.5</v>
      </c>
      <c r="CL53" s="61">
        <f>+CK53/AG53</f>
        <v>0.58823529411764708</v>
      </c>
    </row>
    <row r="54" spans="1:90" ht="78" customHeight="1" x14ac:dyDescent="0.25">
      <c r="A54" s="150"/>
      <c r="B54" s="150"/>
      <c r="C54" s="150"/>
      <c r="D54" s="150"/>
      <c r="E54" s="150"/>
      <c r="F54" s="153"/>
      <c r="G54" s="40"/>
      <c r="H54" s="99"/>
      <c r="I54" s="153"/>
      <c r="J54" s="156"/>
      <c r="K54" s="35" t="s">
        <v>449</v>
      </c>
      <c r="L54" s="35" t="s">
        <v>117</v>
      </c>
      <c r="M54" s="140"/>
      <c r="N54" s="71" t="s">
        <v>308</v>
      </c>
      <c r="O54" s="61">
        <v>3.8399999999999997E-2</v>
      </c>
      <c r="P54" s="71" t="s">
        <v>309</v>
      </c>
      <c r="Q54" s="35" t="s">
        <v>73</v>
      </c>
      <c r="R54" s="35" t="s">
        <v>73</v>
      </c>
      <c r="S54" s="48" t="s">
        <v>310</v>
      </c>
      <c r="T54" s="69" t="s">
        <v>75</v>
      </c>
      <c r="U54" s="71" t="s">
        <v>311</v>
      </c>
      <c r="V54" s="35" t="s">
        <v>77</v>
      </c>
      <c r="W54" s="35" t="s">
        <v>205</v>
      </c>
      <c r="X54" s="56" t="s">
        <v>79</v>
      </c>
      <c r="Y54" s="35" t="s">
        <v>73</v>
      </c>
      <c r="Z54" s="35" t="s">
        <v>73</v>
      </c>
      <c r="AA54" s="35" t="s">
        <v>86</v>
      </c>
      <c r="AB54" s="40"/>
      <c r="AC54" s="40"/>
      <c r="AD54" s="40"/>
      <c r="AE54" s="40"/>
      <c r="AF54" s="40"/>
      <c r="AG54" s="44">
        <v>0.4</v>
      </c>
      <c r="AH54" s="40"/>
      <c r="AI54" s="40"/>
      <c r="AJ54" s="40"/>
      <c r="AK54" s="40"/>
      <c r="AL54" s="40"/>
      <c r="AM54" s="44">
        <v>0.45</v>
      </c>
      <c r="AN54" s="44">
        <v>0.85</v>
      </c>
      <c r="AO54" s="27"/>
      <c r="AP54" s="40"/>
      <c r="AQ54" s="40"/>
      <c r="AR54" s="40"/>
      <c r="AS54" s="40"/>
      <c r="AT54" s="40"/>
      <c r="AU54" s="17">
        <f>5/7</f>
        <v>0.7142857142857143</v>
      </c>
      <c r="AV54" s="44">
        <f t="shared" si="24"/>
        <v>1</v>
      </c>
      <c r="AW54" s="44">
        <v>0.25</v>
      </c>
      <c r="AX54" s="44">
        <v>0.25</v>
      </c>
      <c r="AY54" s="44">
        <v>0.25</v>
      </c>
      <c r="AZ54" s="44">
        <v>0.25</v>
      </c>
      <c r="BA54" s="40"/>
      <c r="BB54" s="40"/>
      <c r="BC54" s="40"/>
      <c r="BD54" s="40"/>
      <c r="BE54" s="40"/>
      <c r="BF54" s="40"/>
      <c r="BG54" s="40"/>
      <c r="BH54" s="40"/>
      <c r="BI54" s="40"/>
      <c r="BJ54" s="40"/>
      <c r="BK54" s="40"/>
      <c r="BL54" s="40"/>
      <c r="BM54" s="40"/>
      <c r="BN54" s="40"/>
      <c r="BO54" s="40"/>
      <c r="BP54" s="40"/>
      <c r="BQ54" s="40"/>
      <c r="BR54" s="40"/>
      <c r="BS54" s="17">
        <f>5/7</f>
        <v>0.7142857142857143</v>
      </c>
      <c r="BT54" s="11">
        <f t="shared" si="25"/>
        <v>1</v>
      </c>
      <c r="BU54" s="44">
        <v>0.25</v>
      </c>
      <c r="BV54" s="44">
        <v>0.25</v>
      </c>
      <c r="BW54" s="44">
        <v>0.25</v>
      </c>
      <c r="BX54" s="44">
        <v>0.25</v>
      </c>
      <c r="BY54" s="40"/>
      <c r="BZ54" s="40"/>
      <c r="CA54" s="40"/>
      <c r="CB54" s="40"/>
      <c r="CC54" s="40"/>
      <c r="CD54" s="40"/>
      <c r="CE54" s="40"/>
      <c r="CF54" s="40"/>
      <c r="CG54" s="40"/>
      <c r="CH54" s="40"/>
      <c r="CI54" s="40"/>
      <c r="CJ54" s="40"/>
      <c r="CK54" s="61">
        <f>BS54</f>
        <v>0.7142857142857143</v>
      </c>
      <c r="CL54" s="44">
        <f>+CK54/AG54</f>
        <v>1.7857142857142856</v>
      </c>
    </row>
    <row r="55" spans="1:90" ht="78" customHeight="1" x14ac:dyDescent="0.25">
      <c r="A55" s="150"/>
      <c r="B55" s="150"/>
      <c r="C55" s="150"/>
      <c r="D55" s="150"/>
      <c r="E55" s="150"/>
      <c r="F55" s="153"/>
      <c r="G55" s="40"/>
      <c r="H55" s="99"/>
      <c r="I55" s="153"/>
      <c r="J55" s="156"/>
      <c r="K55" s="35" t="s">
        <v>447</v>
      </c>
      <c r="L55" s="35" t="s">
        <v>117</v>
      </c>
      <c r="M55" s="140"/>
      <c r="N55" s="71" t="s">
        <v>312</v>
      </c>
      <c r="O55" s="61">
        <v>3.8399999999999997E-2</v>
      </c>
      <c r="P55" s="108" t="s">
        <v>313</v>
      </c>
      <c r="Q55" s="35" t="s">
        <v>73</v>
      </c>
      <c r="R55" s="35" t="s">
        <v>73</v>
      </c>
      <c r="S55" s="48" t="s">
        <v>314</v>
      </c>
      <c r="T55" s="101" t="s">
        <v>75</v>
      </c>
      <c r="U55" s="48" t="s">
        <v>315</v>
      </c>
      <c r="V55" s="69" t="s">
        <v>77</v>
      </c>
      <c r="W55" s="35" t="s">
        <v>316</v>
      </c>
      <c r="X55" s="56" t="s">
        <v>79</v>
      </c>
      <c r="Y55" s="35" t="s">
        <v>73</v>
      </c>
      <c r="Z55" s="35" t="s">
        <v>73</v>
      </c>
      <c r="AA55" s="35" t="s">
        <v>80</v>
      </c>
      <c r="AB55" s="40"/>
      <c r="AC55" s="40"/>
      <c r="AD55" s="44">
        <v>0.85</v>
      </c>
      <c r="AE55" s="40"/>
      <c r="AF55" s="40"/>
      <c r="AG55" s="44">
        <v>0.85</v>
      </c>
      <c r="AH55" s="40"/>
      <c r="AI55" s="40"/>
      <c r="AJ55" s="44">
        <v>0.85</v>
      </c>
      <c r="AK55" s="40"/>
      <c r="AL55" s="40"/>
      <c r="AM55" s="44">
        <v>0.85</v>
      </c>
      <c r="AN55" s="44">
        <v>0.85</v>
      </c>
      <c r="AO55" s="44">
        <f>163/163</f>
        <v>1</v>
      </c>
      <c r="AP55" s="44">
        <f>AQ55+AR55+AS55+AT55</f>
        <v>1</v>
      </c>
      <c r="AQ55" s="44">
        <v>0.25</v>
      </c>
      <c r="AR55" s="44">
        <v>0.25</v>
      </c>
      <c r="AS55" s="44">
        <v>0.25</v>
      </c>
      <c r="AT55" s="44">
        <v>0.25</v>
      </c>
      <c r="AU55" s="11">
        <f>69/69</f>
        <v>1</v>
      </c>
      <c r="AV55" s="44">
        <f t="shared" si="24"/>
        <v>1</v>
      </c>
      <c r="AW55" s="11">
        <v>0.25</v>
      </c>
      <c r="AX55" s="11">
        <v>0.25</v>
      </c>
      <c r="AY55" s="11">
        <v>0.25</v>
      </c>
      <c r="AZ55" s="11">
        <v>0.25</v>
      </c>
      <c r="BA55" s="11"/>
      <c r="BB55" s="44"/>
      <c r="BC55" s="11"/>
      <c r="BD55" s="11"/>
      <c r="BE55" s="11"/>
      <c r="BF55" s="11"/>
      <c r="BG55" s="40"/>
      <c r="BH55" s="40"/>
      <c r="BI55" s="40"/>
      <c r="BJ55" s="40"/>
      <c r="BK55" s="40"/>
      <c r="BL55" s="40"/>
      <c r="BM55" s="44">
        <f>163/163</f>
        <v>1</v>
      </c>
      <c r="BN55" s="44">
        <f>BO55+BP55+BQ55+BR55</f>
        <v>1</v>
      </c>
      <c r="BO55" s="44">
        <v>0.25</v>
      </c>
      <c r="BP55" s="44">
        <v>0.25</v>
      </c>
      <c r="BQ55" s="44">
        <v>0.25</v>
      </c>
      <c r="BR55" s="44">
        <v>0.25</v>
      </c>
      <c r="BS55" s="11">
        <f>69/69</f>
        <v>1</v>
      </c>
      <c r="BT55" s="11">
        <f t="shared" si="25"/>
        <v>1</v>
      </c>
      <c r="BU55" s="44">
        <v>0.25</v>
      </c>
      <c r="BV55" s="44">
        <v>0.25</v>
      </c>
      <c r="BW55" s="44">
        <v>0.25</v>
      </c>
      <c r="BX55" s="44">
        <v>0.25</v>
      </c>
      <c r="BY55" s="11"/>
      <c r="BZ55" s="11"/>
      <c r="CA55" s="44"/>
      <c r="CB55" s="44"/>
      <c r="CC55" s="44"/>
      <c r="CD55" s="44"/>
      <c r="CE55" s="40"/>
      <c r="CF55" s="40"/>
      <c r="CG55" s="40"/>
      <c r="CH55" s="40"/>
      <c r="CI55" s="40"/>
      <c r="CJ55" s="40"/>
      <c r="CK55" s="47">
        <f>(BM55+BS55)/2</f>
        <v>1</v>
      </c>
      <c r="CL55" s="44">
        <f>+CK55/AG55</f>
        <v>1.1764705882352942</v>
      </c>
    </row>
    <row r="56" spans="1:90" ht="78" customHeight="1" x14ac:dyDescent="0.25">
      <c r="A56" s="150"/>
      <c r="B56" s="150"/>
      <c r="C56" s="150"/>
      <c r="D56" s="150"/>
      <c r="E56" s="150"/>
      <c r="F56" s="153"/>
      <c r="G56" s="40"/>
      <c r="H56" s="99"/>
      <c r="I56" s="153"/>
      <c r="J56" s="156"/>
      <c r="K56" s="35" t="s">
        <v>447</v>
      </c>
      <c r="L56" s="35" t="s">
        <v>117</v>
      </c>
      <c r="M56" s="140"/>
      <c r="N56" s="71" t="s">
        <v>317</v>
      </c>
      <c r="O56" s="61">
        <v>3.8399999999999997E-2</v>
      </c>
      <c r="P56" s="108" t="s">
        <v>318</v>
      </c>
      <c r="Q56" s="35" t="s">
        <v>73</v>
      </c>
      <c r="R56" s="35" t="s">
        <v>73</v>
      </c>
      <c r="S56" s="48" t="s">
        <v>319</v>
      </c>
      <c r="T56" s="101" t="s">
        <v>75</v>
      </c>
      <c r="U56" s="48" t="s">
        <v>320</v>
      </c>
      <c r="V56" s="69" t="s">
        <v>77</v>
      </c>
      <c r="W56" s="35" t="s">
        <v>316</v>
      </c>
      <c r="X56" s="56" t="s">
        <v>79</v>
      </c>
      <c r="Y56" s="35" t="s">
        <v>73</v>
      </c>
      <c r="Z56" s="35" t="s">
        <v>73</v>
      </c>
      <c r="AA56" s="35" t="s">
        <v>80</v>
      </c>
      <c r="AB56" s="40"/>
      <c r="AC56" s="40"/>
      <c r="AD56" s="44">
        <v>1</v>
      </c>
      <c r="AE56" s="40"/>
      <c r="AF56" s="40"/>
      <c r="AG56" s="44">
        <v>1</v>
      </c>
      <c r="AH56" s="40"/>
      <c r="AI56" s="40"/>
      <c r="AJ56" s="44">
        <v>1</v>
      </c>
      <c r="AK56" s="40"/>
      <c r="AL56" s="40"/>
      <c r="AM56" s="44">
        <v>1</v>
      </c>
      <c r="AN56" s="44">
        <v>1</v>
      </c>
      <c r="AO56" s="44">
        <f>150/150</f>
        <v>1</v>
      </c>
      <c r="AP56" s="44">
        <f>AQ56+AR56+AS56+AT56</f>
        <v>1</v>
      </c>
      <c r="AQ56" s="44">
        <v>0.25</v>
      </c>
      <c r="AR56" s="44">
        <v>0.25</v>
      </c>
      <c r="AS56" s="44">
        <v>0.25</v>
      </c>
      <c r="AT56" s="44">
        <v>0.25</v>
      </c>
      <c r="AU56" s="44">
        <f>66/100</f>
        <v>0.66</v>
      </c>
      <c r="AV56" s="44">
        <f t="shared" si="24"/>
        <v>1</v>
      </c>
      <c r="AW56" s="11">
        <v>0.25</v>
      </c>
      <c r="AX56" s="11">
        <v>0.25</v>
      </c>
      <c r="AY56" s="11">
        <v>0.25</v>
      </c>
      <c r="AZ56" s="11">
        <v>0.25</v>
      </c>
      <c r="BA56" s="44"/>
      <c r="BB56" s="44"/>
      <c r="BC56" s="44"/>
      <c r="BD56" s="44"/>
      <c r="BE56" s="44"/>
      <c r="BF56" s="44"/>
      <c r="BG56" s="40"/>
      <c r="BH56" s="40"/>
      <c r="BI56" s="40"/>
      <c r="BJ56" s="40"/>
      <c r="BK56" s="40"/>
      <c r="BL56" s="40"/>
      <c r="BM56" s="44">
        <f>150/150</f>
        <v>1</v>
      </c>
      <c r="BN56" s="44">
        <f>BO56+BP56+BQ56+BR56</f>
        <v>1</v>
      </c>
      <c r="BO56" s="44">
        <v>0.25</v>
      </c>
      <c r="BP56" s="44">
        <v>0.25</v>
      </c>
      <c r="BQ56" s="44">
        <v>0.25</v>
      </c>
      <c r="BR56" s="44">
        <v>0.25</v>
      </c>
      <c r="BS56" s="44">
        <f>66/100</f>
        <v>0.66</v>
      </c>
      <c r="BT56" s="11">
        <f t="shared" si="25"/>
        <v>1</v>
      </c>
      <c r="BU56" s="44">
        <v>0.25</v>
      </c>
      <c r="BV56" s="44">
        <v>0.25</v>
      </c>
      <c r="BW56" s="44">
        <v>0.25</v>
      </c>
      <c r="BX56" s="44">
        <v>0.25</v>
      </c>
      <c r="BY56" s="11"/>
      <c r="BZ56" s="11"/>
      <c r="CA56" s="44"/>
      <c r="CB56" s="44"/>
      <c r="CC56" s="44"/>
      <c r="CD56" s="44"/>
      <c r="CE56" s="40"/>
      <c r="CF56" s="40"/>
      <c r="CG56" s="40"/>
      <c r="CH56" s="40"/>
      <c r="CI56" s="40"/>
      <c r="CJ56" s="40"/>
      <c r="CK56" s="47">
        <f>(BM56+BS56)/2</f>
        <v>0.83000000000000007</v>
      </c>
      <c r="CL56" s="44">
        <f>+CK56/AG56</f>
        <v>0.83000000000000007</v>
      </c>
    </row>
    <row r="57" spans="1:90" ht="78" customHeight="1" x14ac:dyDescent="0.25">
      <c r="A57" s="150"/>
      <c r="B57" s="150"/>
      <c r="C57" s="150"/>
      <c r="D57" s="150"/>
      <c r="E57" s="150"/>
      <c r="F57" s="153"/>
      <c r="G57" s="40"/>
      <c r="H57" s="99"/>
      <c r="I57" s="153"/>
      <c r="J57" s="156"/>
      <c r="K57" s="35" t="s">
        <v>447</v>
      </c>
      <c r="L57" s="35" t="s">
        <v>117</v>
      </c>
      <c r="M57" s="140"/>
      <c r="N57" s="71" t="s">
        <v>321</v>
      </c>
      <c r="O57" s="61">
        <v>3.8399999999999997E-2</v>
      </c>
      <c r="P57" s="108" t="s">
        <v>322</v>
      </c>
      <c r="Q57" s="35" t="s">
        <v>73</v>
      </c>
      <c r="R57" s="35" t="s">
        <v>73</v>
      </c>
      <c r="S57" s="48" t="s">
        <v>323</v>
      </c>
      <c r="T57" s="101" t="s">
        <v>75</v>
      </c>
      <c r="U57" s="48" t="s">
        <v>324</v>
      </c>
      <c r="V57" s="69" t="s">
        <v>77</v>
      </c>
      <c r="W57" s="35" t="s">
        <v>316</v>
      </c>
      <c r="X57" s="56" t="s">
        <v>79</v>
      </c>
      <c r="Y57" s="35" t="s">
        <v>73</v>
      </c>
      <c r="Z57" s="35" t="s">
        <v>73</v>
      </c>
      <c r="AA57" s="35" t="s">
        <v>80</v>
      </c>
      <c r="AB57" s="40"/>
      <c r="AC57" s="40"/>
      <c r="AD57" s="44">
        <v>1</v>
      </c>
      <c r="AE57" s="40"/>
      <c r="AF57" s="40"/>
      <c r="AG57" s="44">
        <v>1</v>
      </c>
      <c r="AH57" s="40"/>
      <c r="AI57" s="40"/>
      <c r="AJ57" s="44">
        <v>1</v>
      </c>
      <c r="AK57" s="40"/>
      <c r="AL57" s="40"/>
      <c r="AM57" s="44">
        <v>1</v>
      </c>
      <c r="AN57" s="44">
        <v>1</v>
      </c>
      <c r="AO57" s="44">
        <f>37/37</f>
        <v>1</v>
      </c>
      <c r="AP57" s="44">
        <f>AQ57+AR57+AS57+AT57</f>
        <v>1</v>
      </c>
      <c r="AQ57" s="44">
        <v>0.25</v>
      </c>
      <c r="AR57" s="44">
        <v>0.25</v>
      </c>
      <c r="AS57" s="44">
        <v>0.25</v>
      </c>
      <c r="AT57" s="44">
        <v>0.25</v>
      </c>
      <c r="AU57" s="44">
        <f>31/31</f>
        <v>1</v>
      </c>
      <c r="AV57" s="44">
        <f t="shared" si="24"/>
        <v>1</v>
      </c>
      <c r="AW57" s="11">
        <v>0.25</v>
      </c>
      <c r="AX57" s="11">
        <v>0.25</v>
      </c>
      <c r="AY57" s="11">
        <v>0.25</v>
      </c>
      <c r="AZ57" s="11">
        <v>0.25</v>
      </c>
      <c r="BA57" s="44"/>
      <c r="BB57" s="44"/>
      <c r="BC57" s="44"/>
      <c r="BD57" s="44"/>
      <c r="BE57" s="44"/>
      <c r="BF57" s="44"/>
      <c r="BG57" s="40"/>
      <c r="BH57" s="40"/>
      <c r="BI57" s="40"/>
      <c r="BJ57" s="40"/>
      <c r="BK57" s="40"/>
      <c r="BL57" s="40"/>
      <c r="BM57" s="44">
        <f>37/37</f>
        <v>1</v>
      </c>
      <c r="BN57" s="44">
        <f>BO57+BP57+BQ57+BR57</f>
        <v>1</v>
      </c>
      <c r="BO57" s="44">
        <v>0.25</v>
      </c>
      <c r="BP57" s="44">
        <v>0.25</v>
      </c>
      <c r="BQ57" s="44">
        <v>0.25</v>
      </c>
      <c r="BR57" s="44">
        <v>0.25</v>
      </c>
      <c r="BS57" s="11">
        <f>31/31</f>
        <v>1</v>
      </c>
      <c r="BT57" s="11">
        <f t="shared" si="25"/>
        <v>1</v>
      </c>
      <c r="BU57" s="44">
        <v>0.25</v>
      </c>
      <c r="BV57" s="44">
        <v>0.25</v>
      </c>
      <c r="BW57" s="44">
        <v>0.25</v>
      </c>
      <c r="BX57" s="44">
        <v>0.25</v>
      </c>
      <c r="BY57" s="44"/>
      <c r="BZ57" s="11"/>
      <c r="CA57" s="44"/>
      <c r="CB57" s="44"/>
      <c r="CC57" s="44"/>
      <c r="CD57" s="44"/>
      <c r="CE57" s="40"/>
      <c r="CF57" s="40"/>
      <c r="CG57" s="40"/>
      <c r="CH57" s="40"/>
      <c r="CI57" s="40"/>
      <c r="CJ57" s="40"/>
      <c r="CK57" s="47">
        <f>(BM57+BS57)/2</f>
        <v>1</v>
      </c>
      <c r="CL57" s="44">
        <f>+BS57/AG57</f>
        <v>1</v>
      </c>
    </row>
    <row r="58" spans="1:90" ht="78" customHeight="1" x14ac:dyDescent="0.25">
      <c r="A58" s="150"/>
      <c r="B58" s="150"/>
      <c r="C58" s="150"/>
      <c r="D58" s="150"/>
      <c r="E58" s="150"/>
      <c r="F58" s="153"/>
      <c r="G58" s="40"/>
      <c r="H58" s="99"/>
      <c r="I58" s="153"/>
      <c r="J58" s="156"/>
      <c r="K58" s="35" t="s">
        <v>447</v>
      </c>
      <c r="L58" s="35" t="s">
        <v>117</v>
      </c>
      <c r="M58" s="140"/>
      <c r="N58" s="71" t="s">
        <v>325</v>
      </c>
      <c r="O58" s="61">
        <v>3.8399999999999997E-2</v>
      </c>
      <c r="P58" s="108" t="s">
        <v>326</v>
      </c>
      <c r="Q58" s="35" t="s">
        <v>73</v>
      </c>
      <c r="R58" s="35" t="s">
        <v>73</v>
      </c>
      <c r="S58" s="48" t="s">
        <v>327</v>
      </c>
      <c r="T58" s="101" t="s">
        <v>75</v>
      </c>
      <c r="U58" s="48" t="s">
        <v>328</v>
      </c>
      <c r="V58" s="69" t="s">
        <v>77</v>
      </c>
      <c r="W58" s="35" t="s">
        <v>316</v>
      </c>
      <c r="X58" s="56" t="s">
        <v>79</v>
      </c>
      <c r="Y58" s="35" t="s">
        <v>73</v>
      </c>
      <c r="Z58" s="35" t="s">
        <v>73</v>
      </c>
      <c r="AA58" s="59" t="s">
        <v>80</v>
      </c>
      <c r="AB58" s="36"/>
      <c r="AC58" s="36"/>
      <c r="AD58" s="37">
        <v>1</v>
      </c>
      <c r="AE58" s="37"/>
      <c r="AF58" s="36"/>
      <c r="AG58" s="37">
        <v>1</v>
      </c>
      <c r="AH58" s="36"/>
      <c r="AI58" s="37"/>
      <c r="AJ58" s="37">
        <v>1</v>
      </c>
      <c r="AK58" s="36"/>
      <c r="AL58" s="36"/>
      <c r="AM58" s="37">
        <v>1</v>
      </c>
      <c r="AN58" s="37">
        <v>1</v>
      </c>
      <c r="AO58" s="61">
        <f>538/564</f>
        <v>0.95390070921985815</v>
      </c>
      <c r="AP58" s="44">
        <f>AQ58+AR58+AS58+AT58</f>
        <v>1</v>
      </c>
      <c r="AQ58" s="44">
        <v>0.25</v>
      </c>
      <c r="AR58" s="44">
        <v>0.25</v>
      </c>
      <c r="AS58" s="44">
        <v>0.25</v>
      </c>
      <c r="AT58" s="44">
        <v>0.25</v>
      </c>
      <c r="AU58" s="44">
        <f>420/451</f>
        <v>0.9312638580931264</v>
      </c>
      <c r="AV58" s="44">
        <f t="shared" si="24"/>
        <v>1</v>
      </c>
      <c r="AW58" s="11">
        <v>0.25</v>
      </c>
      <c r="AX58" s="11">
        <v>0.25</v>
      </c>
      <c r="AY58" s="11">
        <v>0.25</v>
      </c>
      <c r="AZ58" s="11">
        <v>0.25</v>
      </c>
      <c r="BA58" s="61"/>
      <c r="BB58" s="44"/>
      <c r="BC58" s="44"/>
      <c r="BD58" s="44"/>
      <c r="BE58" s="44"/>
      <c r="BF58" s="44"/>
      <c r="BG58" s="40"/>
      <c r="BH58" s="40"/>
      <c r="BI58" s="40"/>
      <c r="BJ58" s="40"/>
      <c r="BK58" s="40"/>
      <c r="BL58" s="40"/>
      <c r="BM58" s="61">
        <f>538/564</f>
        <v>0.95390070921985815</v>
      </c>
      <c r="BN58" s="44">
        <f>BO58+BP58+BQ58+BR58</f>
        <v>1</v>
      </c>
      <c r="BO58" s="44">
        <v>0.25</v>
      </c>
      <c r="BP58" s="44">
        <v>0.25</v>
      </c>
      <c r="BQ58" s="44">
        <v>0.25</v>
      </c>
      <c r="BR58" s="44">
        <v>0.25</v>
      </c>
      <c r="BS58" s="17">
        <f>420/451</f>
        <v>0.9312638580931264</v>
      </c>
      <c r="BT58" s="11">
        <f t="shared" si="25"/>
        <v>1</v>
      </c>
      <c r="BU58" s="44">
        <v>0.25</v>
      </c>
      <c r="BV58" s="44">
        <v>0.25</v>
      </c>
      <c r="BW58" s="44">
        <v>0.25</v>
      </c>
      <c r="BX58" s="44">
        <v>0.25</v>
      </c>
      <c r="BY58" s="61"/>
      <c r="BZ58" s="11"/>
      <c r="CA58" s="44"/>
      <c r="CB58" s="44"/>
      <c r="CC58" s="44"/>
      <c r="CD58" s="44"/>
      <c r="CE58" s="40"/>
      <c r="CF58" s="40"/>
      <c r="CG58" s="40"/>
      <c r="CH58" s="40"/>
      <c r="CI58" s="40"/>
      <c r="CJ58" s="40"/>
      <c r="CK58" s="17">
        <f>(BM58+BS58)/2</f>
        <v>0.94258228365649233</v>
      </c>
      <c r="CL58" s="61">
        <f>+CK58/AG58</f>
        <v>0.94258228365649233</v>
      </c>
    </row>
    <row r="59" spans="1:90" ht="78" customHeight="1" x14ac:dyDescent="0.25">
      <c r="A59" s="150"/>
      <c r="B59" s="150"/>
      <c r="C59" s="150"/>
      <c r="D59" s="150"/>
      <c r="E59" s="150"/>
      <c r="F59" s="153"/>
      <c r="G59" s="40"/>
      <c r="H59" s="99"/>
      <c r="I59" s="153"/>
      <c r="J59" s="156"/>
      <c r="K59" s="35" t="s">
        <v>448</v>
      </c>
      <c r="L59" s="35" t="s">
        <v>117</v>
      </c>
      <c r="M59" s="140"/>
      <c r="N59" s="71" t="s">
        <v>329</v>
      </c>
      <c r="O59" s="61">
        <v>3.8399999999999997E-2</v>
      </c>
      <c r="P59" s="108" t="s">
        <v>330</v>
      </c>
      <c r="Q59" s="35" t="s">
        <v>73</v>
      </c>
      <c r="R59" s="35" t="s">
        <v>73</v>
      </c>
      <c r="S59" s="48" t="s">
        <v>331</v>
      </c>
      <c r="T59" s="101" t="s">
        <v>84</v>
      </c>
      <c r="U59" s="48" t="s">
        <v>331</v>
      </c>
      <c r="V59" s="69" t="s">
        <v>29</v>
      </c>
      <c r="W59" s="35" t="s">
        <v>332</v>
      </c>
      <c r="X59" s="35" t="s">
        <v>333</v>
      </c>
      <c r="Y59" s="35" t="s">
        <v>73</v>
      </c>
      <c r="Z59" s="35" t="s">
        <v>73</v>
      </c>
      <c r="AA59" s="59" t="s">
        <v>86</v>
      </c>
      <c r="AB59" s="36"/>
      <c r="AC59" s="36"/>
      <c r="AD59" s="37"/>
      <c r="AE59" s="93"/>
      <c r="AF59" s="36"/>
      <c r="AG59" s="93">
        <v>1</v>
      </c>
      <c r="AH59" s="36"/>
      <c r="AI59" s="93"/>
      <c r="AJ59" s="37"/>
      <c r="AK59" s="36"/>
      <c r="AL59" s="36"/>
      <c r="AM59" s="93">
        <v>2</v>
      </c>
      <c r="AN59" s="93">
        <v>3</v>
      </c>
      <c r="AO59" s="40"/>
      <c r="AP59" s="40"/>
      <c r="AQ59" s="40"/>
      <c r="AR59" s="40"/>
      <c r="AS59" s="40"/>
      <c r="AT59" s="40"/>
      <c r="AU59" s="35"/>
      <c r="AV59" s="44"/>
      <c r="AW59" s="44"/>
      <c r="AX59" s="44"/>
      <c r="AY59" s="44"/>
      <c r="AZ59" s="44"/>
      <c r="BA59" s="40"/>
      <c r="BB59" s="40"/>
      <c r="BC59" s="40"/>
      <c r="BD59" s="40"/>
      <c r="BE59" s="40"/>
      <c r="BF59" s="40"/>
      <c r="BG59" s="40"/>
      <c r="BH59" s="40"/>
      <c r="BI59" s="40"/>
      <c r="BJ59" s="40"/>
      <c r="BK59" s="40"/>
      <c r="BL59" s="40"/>
      <c r="BM59" s="40"/>
      <c r="BN59" s="40"/>
      <c r="BO59" s="40"/>
      <c r="BP59" s="40"/>
      <c r="BQ59" s="40"/>
      <c r="BR59" s="40"/>
      <c r="BS59" s="35">
        <v>1</v>
      </c>
      <c r="BT59" s="11">
        <v>1</v>
      </c>
      <c r="BU59" s="44">
        <v>0.25</v>
      </c>
      <c r="BV59" s="44">
        <v>0.25</v>
      </c>
      <c r="BW59" s="44">
        <v>0.25</v>
      </c>
      <c r="BX59" s="44">
        <v>0.25</v>
      </c>
      <c r="BY59" s="40"/>
      <c r="BZ59" s="40"/>
      <c r="CA59" s="40"/>
      <c r="CB59" s="40"/>
      <c r="CC59" s="40"/>
      <c r="CD59" s="40"/>
      <c r="CE59" s="40"/>
      <c r="CF59" s="40"/>
      <c r="CG59" s="40"/>
      <c r="CH59" s="40"/>
      <c r="CI59" s="40"/>
      <c r="CJ59" s="40"/>
      <c r="CK59" s="52">
        <v>1</v>
      </c>
      <c r="CL59" s="44">
        <v>0.5</v>
      </c>
    </row>
    <row r="60" spans="1:90" ht="78" customHeight="1" x14ac:dyDescent="0.25">
      <c r="A60" s="150"/>
      <c r="B60" s="150"/>
      <c r="C60" s="150"/>
      <c r="D60" s="150"/>
      <c r="E60" s="150"/>
      <c r="F60" s="153"/>
      <c r="G60" s="40"/>
      <c r="H60" s="99"/>
      <c r="I60" s="153"/>
      <c r="J60" s="156"/>
      <c r="K60" s="35" t="s">
        <v>448</v>
      </c>
      <c r="L60" s="35" t="s">
        <v>117</v>
      </c>
      <c r="M60" s="140"/>
      <c r="N60" s="71" t="s">
        <v>334</v>
      </c>
      <c r="O60" s="61">
        <v>3.8399999999999997E-2</v>
      </c>
      <c r="P60" s="108" t="s">
        <v>335</v>
      </c>
      <c r="Q60" s="35" t="s">
        <v>73</v>
      </c>
      <c r="R60" s="35" t="s">
        <v>73</v>
      </c>
      <c r="S60" s="48" t="s">
        <v>336</v>
      </c>
      <c r="T60" s="101" t="s">
        <v>84</v>
      </c>
      <c r="U60" s="48" t="s">
        <v>336</v>
      </c>
      <c r="V60" s="69" t="s">
        <v>29</v>
      </c>
      <c r="W60" s="35" t="s">
        <v>332</v>
      </c>
      <c r="X60" s="56" t="s">
        <v>79</v>
      </c>
      <c r="Y60" s="35" t="s">
        <v>73</v>
      </c>
      <c r="Z60" s="35" t="s">
        <v>73</v>
      </c>
      <c r="AA60" s="59" t="s">
        <v>80</v>
      </c>
      <c r="AB60" s="36"/>
      <c r="AC60" s="36"/>
      <c r="AD60" s="93">
        <v>1</v>
      </c>
      <c r="AE60" s="37"/>
      <c r="AF60" s="36"/>
      <c r="AG60" s="93">
        <v>1</v>
      </c>
      <c r="AH60" s="36"/>
      <c r="AI60" s="37"/>
      <c r="AJ60" s="93">
        <v>1</v>
      </c>
      <c r="AK60" s="36"/>
      <c r="AL60" s="36"/>
      <c r="AM60" s="93">
        <v>1</v>
      </c>
      <c r="AN60" s="93">
        <v>4</v>
      </c>
      <c r="AO60" s="37">
        <f>1/1</f>
        <v>1</v>
      </c>
      <c r="AP60" s="37">
        <f>AQ60+AR60+AS60+AT60</f>
        <v>0.75</v>
      </c>
      <c r="AQ60" s="37">
        <v>0.25</v>
      </c>
      <c r="AR60" s="37">
        <v>0.25</v>
      </c>
      <c r="AS60" s="37">
        <v>0</v>
      </c>
      <c r="AT60" s="37">
        <v>0.25</v>
      </c>
      <c r="AU60" s="47">
        <f>1/1</f>
        <v>1</v>
      </c>
      <c r="AV60" s="44">
        <f t="shared" ref="AV60:AV68" si="26">(AW60+AX60+AY60+AZ60)</f>
        <v>1</v>
      </c>
      <c r="AW60" s="44">
        <v>0.25</v>
      </c>
      <c r="AX60" s="44">
        <v>0.25</v>
      </c>
      <c r="AY60" s="44">
        <v>0.25</v>
      </c>
      <c r="AZ60" s="44">
        <v>0.25</v>
      </c>
      <c r="BA60" s="35"/>
      <c r="BB60" s="44"/>
      <c r="BC60" s="44"/>
      <c r="BD60" s="44"/>
      <c r="BE60" s="44"/>
      <c r="BF60" s="44"/>
      <c r="BG60" s="40"/>
      <c r="BH60" s="40"/>
      <c r="BI60" s="40"/>
      <c r="BJ60" s="40"/>
      <c r="BK60" s="40"/>
      <c r="BL60" s="40"/>
      <c r="BM60" s="93">
        <v>1</v>
      </c>
      <c r="BN60" s="11">
        <f>BO60+BP60+BQ60+BR60</f>
        <v>0.75</v>
      </c>
      <c r="BO60" s="37">
        <v>0.25</v>
      </c>
      <c r="BP60" s="37">
        <v>0.25</v>
      </c>
      <c r="BQ60" s="37">
        <v>0</v>
      </c>
      <c r="BR60" s="37">
        <v>0.25</v>
      </c>
      <c r="BS60" s="35">
        <v>1</v>
      </c>
      <c r="BT60" s="11">
        <f t="shared" ref="BT60:BT68" si="27">(BU60+BV60+BW60+BX60)</f>
        <v>1</v>
      </c>
      <c r="BU60" s="44">
        <v>0.25</v>
      </c>
      <c r="BV60" s="44">
        <v>0.25</v>
      </c>
      <c r="BW60" s="44">
        <v>0.25</v>
      </c>
      <c r="BX60" s="44">
        <v>0.25</v>
      </c>
      <c r="BY60" s="35"/>
      <c r="BZ60" s="11"/>
      <c r="CA60" s="44"/>
      <c r="CB60" s="44"/>
      <c r="CC60" s="44"/>
      <c r="CD60" s="44"/>
      <c r="CE60" s="40"/>
      <c r="CF60" s="40"/>
      <c r="CG60" s="40"/>
      <c r="CH60" s="40"/>
      <c r="CI60" s="40"/>
      <c r="CJ60" s="40"/>
      <c r="CK60" s="52">
        <f>BM60+BS60</f>
        <v>2</v>
      </c>
      <c r="CL60" s="44">
        <f>CK60/4</f>
        <v>0.5</v>
      </c>
    </row>
    <row r="61" spans="1:90" ht="78" customHeight="1" x14ac:dyDescent="0.25">
      <c r="A61" s="150"/>
      <c r="B61" s="150"/>
      <c r="C61" s="150"/>
      <c r="D61" s="150"/>
      <c r="E61" s="150"/>
      <c r="F61" s="153"/>
      <c r="G61" s="40"/>
      <c r="H61" s="99"/>
      <c r="I61" s="153"/>
      <c r="J61" s="156"/>
      <c r="K61" s="35" t="s">
        <v>451</v>
      </c>
      <c r="L61" s="35" t="s">
        <v>117</v>
      </c>
      <c r="M61" s="140"/>
      <c r="N61" s="71" t="s">
        <v>337</v>
      </c>
      <c r="O61" s="61">
        <v>3.8399999999999997E-2</v>
      </c>
      <c r="P61" s="108" t="s">
        <v>338</v>
      </c>
      <c r="Q61" s="35" t="s">
        <v>73</v>
      </c>
      <c r="R61" s="35" t="s">
        <v>73</v>
      </c>
      <c r="S61" s="48" t="s">
        <v>339</v>
      </c>
      <c r="T61" s="101" t="s">
        <v>75</v>
      </c>
      <c r="U61" s="48" t="s">
        <v>340</v>
      </c>
      <c r="V61" s="69" t="s">
        <v>147</v>
      </c>
      <c r="W61" s="35" t="s">
        <v>266</v>
      </c>
      <c r="X61" s="35" t="s">
        <v>341</v>
      </c>
      <c r="Y61" s="35" t="s">
        <v>73</v>
      </c>
      <c r="Z61" s="35" t="s">
        <v>73</v>
      </c>
      <c r="AA61" s="59" t="s">
        <v>80</v>
      </c>
      <c r="AB61" s="36"/>
      <c r="AC61" s="36"/>
      <c r="AD61" s="37">
        <v>1</v>
      </c>
      <c r="AE61" s="37"/>
      <c r="AF61" s="36"/>
      <c r="AG61" s="37">
        <v>1</v>
      </c>
      <c r="AH61" s="36"/>
      <c r="AI61" s="37"/>
      <c r="AJ61" s="37">
        <v>1</v>
      </c>
      <c r="AK61" s="36"/>
      <c r="AL61" s="36"/>
      <c r="AM61" s="37">
        <v>1</v>
      </c>
      <c r="AN61" s="37">
        <v>1</v>
      </c>
      <c r="AO61" s="47">
        <f>6/6</f>
        <v>1</v>
      </c>
      <c r="AP61" s="44">
        <f>AQ61+AR61+AS61+AT61</f>
        <v>1</v>
      </c>
      <c r="AQ61" s="44">
        <v>0.25</v>
      </c>
      <c r="AR61" s="44">
        <v>0.25</v>
      </c>
      <c r="AS61" s="44">
        <v>0.25</v>
      </c>
      <c r="AT61" s="44">
        <v>0.25</v>
      </c>
      <c r="AU61" s="11">
        <f>7/7</f>
        <v>1</v>
      </c>
      <c r="AV61" s="44">
        <f t="shared" si="26"/>
        <v>1</v>
      </c>
      <c r="AW61" s="44">
        <v>0.25</v>
      </c>
      <c r="AX61" s="44">
        <v>0.25</v>
      </c>
      <c r="AY61" s="44">
        <v>0.25</v>
      </c>
      <c r="AZ61" s="44">
        <v>0.25</v>
      </c>
      <c r="BA61" s="11"/>
      <c r="BB61" s="44"/>
      <c r="BC61" s="44"/>
      <c r="BD61" s="44"/>
      <c r="BE61" s="44"/>
      <c r="BF61" s="44"/>
      <c r="BG61" s="40"/>
      <c r="BH61" s="40"/>
      <c r="BI61" s="40"/>
      <c r="BJ61" s="40"/>
      <c r="BK61" s="40"/>
      <c r="BL61" s="40"/>
      <c r="BM61" s="47">
        <f>6/6</f>
        <v>1</v>
      </c>
      <c r="BN61" s="11">
        <f>BO61+BP61+BQ61+BR61</f>
        <v>1</v>
      </c>
      <c r="BO61" s="44">
        <v>0.25</v>
      </c>
      <c r="BP61" s="44">
        <v>0.25</v>
      </c>
      <c r="BQ61" s="44">
        <v>0.25</v>
      </c>
      <c r="BR61" s="44">
        <v>0.25</v>
      </c>
      <c r="BS61" s="11">
        <f>7/7</f>
        <v>1</v>
      </c>
      <c r="BT61" s="11">
        <f t="shared" si="27"/>
        <v>1</v>
      </c>
      <c r="BU61" s="44">
        <v>0.25</v>
      </c>
      <c r="BV61" s="44">
        <v>0.25</v>
      </c>
      <c r="BW61" s="44">
        <v>0.25</v>
      </c>
      <c r="BX61" s="44">
        <v>0.25</v>
      </c>
      <c r="BY61" s="11"/>
      <c r="BZ61" s="11"/>
      <c r="CA61" s="44"/>
      <c r="CB61" s="44"/>
      <c r="CC61" s="44"/>
      <c r="CD61" s="44"/>
      <c r="CE61" s="40"/>
      <c r="CF61" s="40"/>
      <c r="CG61" s="40"/>
      <c r="CH61" s="40"/>
      <c r="CI61" s="40"/>
      <c r="CJ61" s="40"/>
      <c r="CK61" s="11">
        <f>(BM61+BS61)/2</f>
        <v>1</v>
      </c>
      <c r="CL61" s="44">
        <f>+BS61/AG61</f>
        <v>1</v>
      </c>
    </row>
    <row r="62" spans="1:90" ht="78" customHeight="1" x14ac:dyDescent="0.25">
      <c r="A62" s="150"/>
      <c r="B62" s="150"/>
      <c r="C62" s="150"/>
      <c r="D62" s="150"/>
      <c r="E62" s="150"/>
      <c r="F62" s="153"/>
      <c r="G62" s="40"/>
      <c r="H62" s="99"/>
      <c r="I62" s="153"/>
      <c r="J62" s="156"/>
      <c r="K62" s="35" t="s">
        <v>452</v>
      </c>
      <c r="L62" s="35" t="s">
        <v>117</v>
      </c>
      <c r="M62" s="140"/>
      <c r="N62" s="71" t="s">
        <v>342</v>
      </c>
      <c r="O62" s="61">
        <v>3.8399999999999997E-2</v>
      </c>
      <c r="P62" s="108" t="s">
        <v>343</v>
      </c>
      <c r="Q62" s="35" t="s">
        <v>73</v>
      </c>
      <c r="R62" s="35" t="s">
        <v>73</v>
      </c>
      <c r="S62" s="48" t="s">
        <v>344</v>
      </c>
      <c r="T62" s="101" t="s">
        <v>75</v>
      </c>
      <c r="U62" s="48" t="s">
        <v>345</v>
      </c>
      <c r="V62" s="69" t="s">
        <v>77</v>
      </c>
      <c r="W62" s="35" t="s">
        <v>346</v>
      </c>
      <c r="X62" s="35" t="s">
        <v>347</v>
      </c>
      <c r="Y62" s="35" t="s">
        <v>73</v>
      </c>
      <c r="Z62" s="35" t="s">
        <v>73</v>
      </c>
      <c r="AA62" s="59" t="s">
        <v>80</v>
      </c>
      <c r="AB62" s="36"/>
      <c r="AC62" s="36"/>
      <c r="AD62" s="37">
        <v>0.9</v>
      </c>
      <c r="AE62" s="37"/>
      <c r="AF62" s="36"/>
      <c r="AG62" s="37">
        <v>0.9</v>
      </c>
      <c r="AH62" s="36"/>
      <c r="AI62" s="37"/>
      <c r="AJ62" s="37">
        <v>0.9</v>
      </c>
      <c r="AK62" s="36"/>
      <c r="AL62" s="36"/>
      <c r="AM62" s="37">
        <v>0.9</v>
      </c>
      <c r="AN62" s="37">
        <v>0.9</v>
      </c>
      <c r="AO62" s="47">
        <f>20/20</f>
        <v>1</v>
      </c>
      <c r="AP62" s="11">
        <f>AQ62+AR62+AS62+AT62</f>
        <v>1</v>
      </c>
      <c r="AQ62" s="44">
        <v>0.25</v>
      </c>
      <c r="AR62" s="44">
        <v>0.25</v>
      </c>
      <c r="AS62" s="44">
        <v>0.25</v>
      </c>
      <c r="AT62" s="44">
        <v>0.25</v>
      </c>
      <c r="AU62" s="44">
        <f>23/25</f>
        <v>0.92</v>
      </c>
      <c r="AV62" s="44">
        <f t="shared" si="26"/>
        <v>1</v>
      </c>
      <c r="AW62" s="44">
        <v>0.25</v>
      </c>
      <c r="AX62" s="44">
        <v>0.25</v>
      </c>
      <c r="AY62" s="44">
        <v>0.25</v>
      </c>
      <c r="AZ62" s="44">
        <v>0.25</v>
      </c>
      <c r="BA62" s="44"/>
      <c r="BB62" s="44"/>
      <c r="BC62" s="44"/>
      <c r="BD62" s="44"/>
      <c r="BE62" s="44"/>
      <c r="BF62" s="44"/>
      <c r="BG62" s="11"/>
      <c r="BH62" s="44"/>
      <c r="BI62" s="44"/>
      <c r="BJ62" s="44"/>
      <c r="BK62" s="44"/>
      <c r="BL62" s="44"/>
      <c r="BM62" s="47">
        <f>20/20</f>
        <v>1</v>
      </c>
      <c r="BN62" s="11">
        <f>BO62+BP62+BQ62+BR62</f>
        <v>1</v>
      </c>
      <c r="BO62" s="44">
        <v>0.25</v>
      </c>
      <c r="BP62" s="44">
        <v>0.25</v>
      </c>
      <c r="BQ62" s="44">
        <v>0.25</v>
      </c>
      <c r="BR62" s="44">
        <v>0.25</v>
      </c>
      <c r="BS62" s="47">
        <f>23/25</f>
        <v>0.92</v>
      </c>
      <c r="BT62" s="11">
        <f t="shared" si="27"/>
        <v>1</v>
      </c>
      <c r="BU62" s="44">
        <v>0.25</v>
      </c>
      <c r="BV62" s="44">
        <v>0.25</v>
      </c>
      <c r="BW62" s="44">
        <v>0.25</v>
      </c>
      <c r="BX62" s="44">
        <v>0.25</v>
      </c>
      <c r="BY62" s="11"/>
      <c r="BZ62" s="11"/>
      <c r="CA62" s="44"/>
      <c r="CB62" s="44"/>
      <c r="CC62" s="44"/>
      <c r="CD62" s="44"/>
      <c r="CE62" s="11"/>
      <c r="CF62" s="44"/>
      <c r="CG62" s="44"/>
      <c r="CH62" s="44"/>
      <c r="CI62" s="44"/>
      <c r="CJ62" s="44"/>
      <c r="CK62" s="11">
        <f>(BM62+BS62)/2</f>
        <v>0.96</v>
      </c>
      <c r="CL62" s="44">
        <f>+CK62/AG62</f>
        <v>1.0666666666666667</v>
      </c>
    </row>
    <row r="63" spans="1:90" ht="78" customHeight="1" x14ac:dyDescent="0.25">
      <c r="A63" s="150"/>
      <c r="B63" s="150"/>
      <c r="C63" s="150"/>
      <c r="D63" s="150"/>
      <c r="E63" s="150"/>
      <c r="F63" s="153"/>
      <c r="G63" s="40"/>
      <c r="H63" s="99"/>
      <c r="I63" s="153"/>
      <c r="J63" s="156"/>
      <c r="K63" s="35" t="s">
        <v>452</v>
      </c>
      <c r="L63" s="35" t="s">
        <v>117</v>
      </c>
      <c r="M63" s="140"/>
      <c r="N63" s="49" t="s">
        <v>348</v>
      </c>
      <c r="O63" s="61">
        <v>3.8399999999999997E-2</v>
      </c>
      <c r="P63" s="112" t="s">
        <v>349</v>
      </c>
      <c r="Q63" s="68" t="s">
        <v>73</v>
      </c>
      <c r="R63" s="69" t="s">
        <v>73</v>
      </c>
      <c r="S63" s="49" t="s">
        <v>350</v>
      </c>
      <c r="T63" s="68" t="s">
        <v>75</v>
      </c>
      <c r="U63" s="113" t="s">
        <v>351</v>
      </c>
      <c r="V63" s="68" t="s">
        <v>77</v>
      </c>
      <c r="W63" s="69" t="s">
        <v>346</v>
      </c>
      <c r="X63" s="35" t="s">
        <v>352</v>
      </c>
      <c r="Y63" s="35" t="s">
        <v>73</v>
      </c>
      <c r="Z63" s="35" t="s">
        <v>73</v>
      </c>
      <c r="AA63" s="59" t="s">
        <v>86</v>
      </c>
      <c r="AB63" s="36"/>
      <c r="AC63" s="36"/>
      <c r="AD63" s="37"/>
      <c r="AE63" s="37"/>
      <c r="AF63" s="36"/>
      <c r="AG63" s="37">
        <v>0.45</v>
      </c>
      <c r="AH63" s="36"/>
      <c r="AI63" s="37"/>
      <c r="AJ63" s="37"/>
      <c r="AK63" s="36"/>
      <c r="AL63" s="36"/>
      <c r="AM63" s="37">
        <v>0.45</v>
      </c>
      <c r="AN63" s="44">
        <v>0.9</v>
      </c>
      <c r="AO63" s="40"/>
      <c r="AP63" s="40"/>
      <c r="AQ63" s="40"/>
      <c r="AR63" s="40"/>
      <c r="AS63" s="40"/>
      <c r="AT63" s="40"/>
      <c r="AU63" s="11">
        <f>4/4</f>
        <v>1</v>
      </c>
      <c r="AV63" s="44">
        <f t="shared" si="26"/>
        <v>1</v>
      </c>
      <c r="AW63" s="44">
        <v>0.25</v>
      </c>
      <c r="AX63" s="44">
        <v>0.25</v>
      </c>
      <c r="AY63" s="44">
        <v>0.25</v>
      </c>
      <c r="AZ63" s="44">
        <v>0.25</v>
      </c>
      <c r="BA63" s="40"/>
      <c r="BB63" s="40"/>
      <c r="BC63" s="40"/>
      <c r="BD63" s="40"/>
      <c r="BE63" s="40"/>
      <c r="BF63" s="40"/>
      <c r="BG63" s="11"/>
      <c r="BH63" s="11"/>
      <c r="BI63" s="11"/>
      <c r="BJ63" s="11"/>
      <c r="BK63" s="11"/>
      <c r="BL63" s="11"/>
      <c r="BM63" s="40"/>
      <c r="BN63" s="40"/>
      <c r="BO63" s="40"/>
      <c r="BP63" s="40"/>
      <c r="BQ63" s="40"/>
      <c r="BR63" s="40"/>
      <c r="BS63" s="11">
        <f>4/4</f>
        <v>1</v>
      </c>
      <c r="BT63" s="11">
        <f t="shared" si="27"/>
        <v>1</v>
      </c>
      <c r="BU63" s="44">
        <v>0.25</v>
      </c>
      <c r="BV63" s="44">
        <v>0.25</v>
      </c>
      <c r="BW63" s="44">
        <v>0.25</v>
      </c>
      <c r="BX63" s="44">
        <v>0.25</v>
      </c>
      <c r="BY63" s="40"/>
      <c r="BZ63" s="40"/>
      <c r="CA63" s="40"/>
      <c r="CB63" s="40"/>
      <c r="CC63" s="40"/>
      <c r="CD63" s="40"/>
      <c r="CE63" s="11"/>
      <c r="CF63" s="11"/>
      <c r="CG63" s="44"/>
      <c r="CH63" s="44"/>
      <c r="CI63" s="44"/>
      <c r="CJ63" s="44"/>
      <c r="CK63" s="11">
        <f>BS63</f>
        <v>1</v>
      </c>
      <c r="CL63" s="44">
        <v>1</v>
      </c>
    </row>
    <row r="64" spans="1:90" ht="78" customHeight="1" x14ac:dyDescent="0.25">
      <c r="A64" s="150"/>
      <c r="B64" s="150"/>
      <c r="C64" s="150"/>
      <c r="D64" s="150"/>
      <c r="E64" s="150"/>
      <c r="F64" s="153"/>
      <c r="G64" s="40"/>
      <c r="H64" s="99"/>
      <c r="I64" s="153"/>
      <c r="J64" s="156"/>
      <c r="K64" s="35" t="s">
        <v>452</v>
      </c>
      <c r="L64" s="35" t="s">
        <v>117</v>
      </c>
      <c r="M64" s="140"/>
      <c r="N64" s="71" t="s">
        <v>353</v>
      </c>
      <c r="O64" s="61">
        <v>3.8399999999999997E-2</v>
      </c>
      <c r="P64" s="112" t="s">
        <v>354</v>
      </c>
      <c r="Q64" s="35" t="s">
        <v>73</v>
      </c>
      <c r="R64" s="35" t="s">
        <v>73</v>
      </c>
      <c r="S64" s="40" t="s">
        <v>355</v>
      </c>
      <c r="T64" s="69" t="s">
        <v>75</v>
      </c>
      <c r="U64" s="113" t="s">
        <v>356</v>
      </c>
      <c r="V64" s="69" t="s">
        <v>77</v>
      </c>
      <c r="W64" s="35" t="s">
        <v>346</v>
      </c>
      <c r="X64" s="35" t="s">
        <v>357</v>
      </c>
      <c r="Y64" s="35" t="s">
        <v>73</v>
      </c>
      <c r="Z64" s="35" t="s">
        <v>73</v>
      </c>
      <c r="AA64" s="59" t="s">
        <v>80</v>
      </c>
      <c r="AB64" s="36"/>
      <c r="AC64" s="36"/>
      <c r="AD64" s="37">
        <v>0.9</v>
      </c>
      <c r="AE64" s="37"/>
      <c r="AF64" s="36"/>
      <c r="AG64" s="37">
        <v>0.9</v>
      </c>
      <c r="AH64" s="36"/>
      <c r="AI64" s="37"/>
      <c r="AJ64" s="37">
        <v>0.9</v>
      </c>
      <c r="AK64" s="36"/>
      <c r="AL64" s="36"/>
      <c r="AM64" s="37">
        <v>0.9</v>
      </c>
      <c r="AN64" s="44">
        <v>0.9</v>
      </c>
      <c r="AO64" s="47">
        <f>46/46</f>
        <v>1</v>
      </c>
      <c r="AP64" s="11">
        <f>AQ64+AR64+AS64+AT64</f>
        <v>1</v>
      </c>
      <c r="AQ64" s="44">
        <v>0.25</v>
      </c>
      <c r="AR64" s="44">
        <v>0.25</v>
      </c>
      <c r="AS64" s="44">
        <v>0.25</v>
      </c>
      <c r="AT64" s="44">
        <v>0.25</v>
      </c>
      <c r="AU64" s="44">
        <f>82/82</f>
        <v>1</v>
      </c>
      <c r="AV64" s="44">
        <f t="shared" si="26"/>
        <v>1</v>
      </c>
      <c r="AW64" s="44">
        <v>0.25</v>
      </c>
      <c r="AX64" s="44">
        <v>0.25</v>
      </c>
      <c r="AY64" s="44">
        <v>0.25</v>
      </c>
      <c r="AZ64" s="44">
        <v>0.25</v>
      </c>
      <c r="BA64" s="17"/>
      <c r="BB64" s="44"/>
      <c r="BC64" s="44"/>
      <c r="BD64" s="44"/>
      <c r="BE64" s="44"/>
      <c r="BF64" s="44"/>
      <c r="BG64" s="11"/>
      <c r="BH64" s="44"/>
      <c r="BI64" s="44"/>
      <c r="BJ64" s="44"/>
      <c r="BK64" s="44"/>
      <c r="BL64" s="44"/>
      <c r="BM64" s="47">
        <f>46/46</f>
        <v>1</v>
      </c>
      <c r="BN64" s="11">
        <f>BO64+BP64+BQ64+BR64</f>
        <v>1</v>
      </c>
      <c r="BO64" s="44">
        <v>0.25</v>
      </c>
      <c r="BP64" s="44">
        <v>0.25</v>
      </c>
      <c r="BQ64" s="44">
        <v>0.25</v>
      </c>
      <c r="BR64" s="44">
        <v>0.25</v>
      </c>
      <c r="BS64" s="47">
        <f>82/82</f>
        <v>1</v>
      </c>
      <c r="BT64" s="11">
        <f t="shared" si="27"/>
        <v>1</v>
      </c>
      <c r="BU64" s="44">
        <v>0.25</v>
      </c>
      <c r="BV64" s="44">
        <v>0.25</v>
      </c>
      <c r="BW64" s="44">
        <v>0.25</v>
      </c>
      <c r="BX64" s="44">
        <v>0.25</v>
      </c>
      <c r="BY64" s="17"/>
      <c r="BZ64" s="11"/>
      <c r="CA64" s="44"/>
      <c r="CB64" s="44"/>
      <c r="CC64" s="44"/>
      <c r="CD64" s="44"/>
      <c r="CE64" s="17"/>
      <c r="CF64" s="44"/>
      <c r="CG64" s="44"/>
      <c r="CH64" s="44"/>
      <c r="CI64" s="44"/>
      <c r="CJ64" s="44"/>
      <c r="CK64" s="11">
        <f>(BM64+BS64)/2</f>
        <v>1</v>
      </c>
      <c r="CL64" s="44">
        <f>+CK64/AG64</f>
        <v>1.1111111111111112</v>
      </c>
    </row>
    <row r="65" spans="1:90" ht="78" customHeight="1" x14ac:dyDescent="0.25">
      <c r="A65" s="150"/>
      <c r="B65" s="150"/>
      <c r="C65" s="150"/>
      <c r="D65" s="150"/>
      <c r="E65" s="150"/>
      <c r="F65" s="153"/>
      <c r="G65" s="40"/>
      <c r="H65" s="99"/>
      <c r="I65" s="153"/>
      <c r="J65" s="156"/>
      <c r="K65" s="35" t="s">
        <v>452</v>
      </c>
      <c r="L65" s="35" t="s">
        <v>117</v>
      </c>
      <c r="M65" s="140"/>
      <c r="N65" s="71" t="s">
        <v>358</v>
      </c>
      <c r="O65" s="61">
        <v>3.8399999999999997E-2</v>
      </c>
      <c r="P65" s="112" t="s">
        <v>359</v>
      </c>
      <c r="Q65" s="35" t="s">
        <v>73</v>
      </c>
      <c r="R65" s="35" t="s">
        <v>73</v>
      </c>
      <c r="S65" s="40" t="s">
        <v>360</v>
      </c>
      <c r="T65" s="69" t="s">
        <v>75</v>
      </c>
      <c r="U65" s="113" t="s">
        <v>361</v>
      </c>
      <c r="V65" s="69" t="s">
        <v>77</v>
      </c>
      <c r="W65" s="35" t="s">
        <v>346</v>
      </c>
      <c r="X65" s="35" t="s">
        <v>362</v>
      </c>
      <c r="Y65" s="35" t="s">
        <v>73</v>
      </c>
      <c r="Z65" s="35" t="s">
        <v>73</v>
      </c>
      <c r="AA65" s="59" t="s">
        <v>80</v>
      </c>
      <c r="AB65" s="36"/>
      <c r="AC65" s="36"/>
      <c r="AD65" s="37">
        <v>0.8</v>
      </c>
      <c r="AE65" s="37"/>
      <c r="AF65" s="36"/>
      <c r="AG65" s="37">
        <v>0.8</v>
      </c>
      <c r="AH65" s="36"/>
      <c r="AI65" s="37"/>
      <c r="AJ65" s="37">
        <v>0.8</v>
      </c>
      <c r="AK65" s="36"/>
      <c r="AL65" s="36"/>
      <c r="AM65" s="37">
        <v>0.8</v>
      </c>
      <c r="AN65" s="44">
        <v>0.8</v>
      </c>
      <c r="AO65" s="47">
        <f>12/12</f>
        <v>1</v>
      </c>
      <c r="AP65" s="11">
        <f>AQ65+AR65+AS65+AT65</f>
        <v>1</v>
      </c>
      <c r="AQ65" s="44">
        <v>0.25</v>
      </c>
      <c r="AR65" s="44">
        <v>0.25</v>
      </c>
      <c r="AS65" s="44">
        <v>0.25</v>
      </c>
      <c r="AT65" s="44">
        <v>0.25</v>
      </c>
      <c r="AU65" s="44">
        <f>36/37</f>
        <v>0.97297297297297303</v>
      </c>
      <c r="AV65" s="44">
        <f t="shared" si="26"/>
        <v>1</v>
      </c>
      <c r="AW65" s="44">
        <v>0.25</v>
      </c>
      <c r="AX65" s="44">
        <v>0.25</v>
      </c>
      <c r="AY65" s="44">
        <v>0.25</v>
      </c>
      <c r="AZ65" s="44">
        <v>0.25</v>
      </c>
      <c r="BA65" s="40"/>
      <c r="BB65" s="40"/>
      <c r="BC65" s="40"/>
      <c r="BD65" s="40"/>
      <c r="BE65" s="40"/>
      <c r="BF65" s="40"/>
      <c r="BG65" s="17"/>
      <c r="BH65" s="44"/>
      <c r="BI65" s="44"/>
      <c r="BJ65" s="44"/>
      <c r="BK65" s="44"/>
      <c r="BL65" s="44"/>
      <c r="BM65" s="47">
        <f>12/12</f>
        <v>1</v>
      </c>
      <c r="BN65" s="11">
        <f>BO65+BP65+BQ65+BR65</f>
        <v>1</v>
      </c>
      <c r="BO65" s="44">
        <v>0.25</v>
      </c>
      <c r="BP65" s="44">
        <v>0.25</v>
      </c>
      <c r="BQ65" s="44">
        <v>0.25</v>
      </c>
      <c r="BR65" s="44">
        <v>0.25</v>
      </c>
      <c r="BS65" s="17">
        <f>36/37</f>
        <v>0.97297297297297303</v>
      </c>
      <c r="BT65" s="11">
        <f t="shared" si="27"/>
        <v>1</v>
      </c>
      <c r="BU65" s="44">
        <v>0.25</v>
      </c>
      <c r="BV65" s="44">
        <v>0.25</v>
      </c>
      <c r="BW65" s="44">
        <v>0.25</v>
      </c>
      <c r="BX65" s="44">
        <v>0.25</v>
      </c>
      <c r="BY65" s="11"/>
      <c r="BZ65" s="11"/>
      <c r="CA65" s="44"/>
      <c r="CB65" s="44"/>
      <c r="CC65" s="44"/>
      <c r="CD65" s="44"/>
      <c r="CE65" s="17"/>
      <c r="CF65" s="11"/>
      <c r="CG65" s="44"/>
      <c r="CH65" s="44"/>
      <c r="CI65" s="44"/>
      <c r="CJ65" s="44"/>
      <c r="CK65" s="17">
        <f>(BM65+BS65)/2</f>
        <v>0.98648648648648651</v>
      </c>
      <c r="CL65" s="44">
        <f>+BS65/AG65</f>
        <v>1.2162162162162162</v>
      </c>
    </row>
    <row r="66" spans="1:90" ht="78" customHeight="1" x14ac:dyDescent="0.25">
      <c r="A66" s="150"/>
      <c r="B66" s="150"/>
      <c r="C66" s="150"/>
      <c r="D66" s="150"/>
      <c r="E66" s="150"/>
      <c r="F66" s="153"/>
      <c r="G66" s="40"/>
      <c r="H66" s="99"/>
      <c r="I66" s="153"/>
      <c r="J66" s="156"/>
      <c r="K66" s="35" t="s">
        <v>452</v>
      </c>
      <c r="L66" s="35" t="s">
        <v>117</v>
      </c>
      <c r="M66" s="140"/>
      <c r="N66" s="71" t="s">
        <v>363</v>
      </c>
      <c r="O66" s="61">
        <v>3.8399999999999997E-2</v>
      </c>
      <c r="P66" s="109" t="s">
        <v>364</v>
      </c>
      <c r="Q66" s="35" t="s">
        <v>73</v>
      </c>
      <c r="R66" s="35" t="s">
        <v>73</v>
      </c>
      <c r="S66" s="40" t="s">
        <v>365</v>
      </c>
      <c r="T66" s="69" t="s">
        <v>75</v>
      </c>
      <c r="U66" s="113" t="s">
        <v>361</v>
      </c>
      <c r="V66" s="69" t="s">
        <v>77</v>
      </c>
      <c r="W66" s="35" t="s">
        <v>346</v>
      </c>
      <c r="X66" s="35" t="s">
        <v>366</v>
      </c>
      <c r="Y66" s="35" t="s">
        <v>73</v>
      </c>
      <c r="Z66" s="35" t="s">
        <v>73</v>
      </c>
      <c r="AA66" s="59" t="s">
        <v>80</v>
      </c>
      <c r="AB66" s="40"/>
      <c r="AC66" s="40"/>
      <c r="AD66" s="37">
        <v>0.9</v>
      </c>
      <c r="AE66" s="37"/>
      <c r="AF66" s="36"/>
      <c r="AG66" s="37">
        <v>0.9</v>
      </c>
      <c r="AH66" s="36"/>
      <c r="AI66" s="37"/>
      <c r="AJ66" s="37">
        <v>0.9</v>
      </c>
      <c r="AK66" s="36"/>
      <c r="AL66" s="36"/>
      <c r="AM66" s="37">
        <v>0.9</v>
      </c>
      <c r="AN66" s="44">
        <v>0.9</v>
      </c>
      <c r="AO66" s="47">
        <f>145/145</f>
        <v>1</v>
      </c>
      <c r="AP66" s="11">
        <f>AQ66+AR66+AS66+AT66</f>
        <v>1</v>
      </c>
      <c r="AQ66" s="44">
        <v>0.25</v>
      </c>
      <c r="AR66" s="44">
        <v>0.25</v>
      </c>
      <c r="AS66" s="44">
        <v>0.25</v>
      </c>
      <c r="AT66" s="44">
        <v>0.25</v>
      </c>
      <c r="AU66" s="44">
        <f>220/220</f>
        <v>1</v>
      </c>
      <c r="AV66" s="44">
        <f t="shared" si="26"/>
        <v>1</v>
      </c>
      <c r="AW66" s="44">
        <v>0.25</v>
      </c>
      <c r="AX66" s="44">
        <v>0.25</v>
      </c>
      <c r="AY66" s="44">
        <v>0.25</v>
      </c>
      <c r="AZ66" s="44">
        <v>0.25</v>
      </c>
      <c r="BA66" s="44"/>
      <c r="BB66" s="44"/>
      <c r="BC66" s="44"/>
      <c r="BD66" s="44"/>
      <c r="BE66" s="44"/>
      <c r="BF66" s="44"/>
      <c r="BG66" s="11"/>
      <c r="BH66" s="44"/>
      <c r="BI66" s="44"/>
      <c r="BJ66" s="44"/>
      <c r="BK66" s="44"/>
      <c r="BL66" s="44"/>
      <c r="BM66" s="47">
        <f>145/145</f>
        <v>1</v>
      </c>
      <c r="BN66" s="11">
        <f>BO66+BP66+BQ66+BR66</f>
        <v>1</v>
      </c>
      <c r="BO66" s="44">
        <v>0.25</v>
      </c>
      <c r="BP66" s="44">
        <v>0.25</v>
      </c>
      <c r="BQ66" s="44">
        <v>0.25</v>
      </c>
      <c r="BR66" s="44">
        <v>0.25</v>
      </c>
      <c r="BS66" s="11">
        <f>220/220</f>
        <v>1</v>
      </c>
      <c r="BT66" s="11">
        <f t="shared" si="27"/>
        <v>1</v>
      </c>
      <c r="BU66" s="44">
        <v>0.25</v>
      </c>
      <c r="BV66" s="44">
        <v>0.25</v>
      </c>
      <c r="BW66" s="44">
        <v>0.25</v>
      </c>
      <c r="BX66" s="44">
        <v>0.25</v>
      </c>
      <c r="BY66" s="17"/>
      <c r="BZ66" s="11"/>
      <c r="CA66" s="44"/>
      <c r="CB66" s="44"/>
      <c r="CC66" s="44"/>
      <c r="CD66" s="44"/>
      <c r="CE66" s="11"/>
      <c r="CF66" s="44"/>
      <c r="CG66" s="44"/>
      <c r="CH66" s="44"/>
      <c r="CI66" s="44"/>
      <c r="CJ66" s="44"/>
      <c r="CK66" s="11">
        <f>(BM66+BS66)/2</f>
        <v>1</v>
      </c>
      <c r="CL66" s="44">
        <f>CK66/AN66</f>
        <v>1.1111111111111112</v>
      </c>
    </row>
    <row r="67" spans="1:90" ht="78" customHeight="1" x14ac:dyDescent="0.25">
      <c r="A67" s="150"/>
      <c r="B67" s="150"/>
      <c r="C67" s="150"/>
      <c r="D67" s="150"/>
      <c r="E67" s="150"/>
      <c r="F67" s="153"/>
      <c r="G67" s="40"/>
      <c r="H67" s="99"/>
      <c r="I67" s="153"/>
      <c r="J67" s="156"/>
      <c r="K67" s="35" t="s">
        <v>452</v>
      </c>
      <c r="L67" s="35" t="s">
        <v>117</v>
      </c>
      <c r="M67" s="140"/>
      <c r="N67" s="71" t="s">
        <v>367</v>
      </c>
      <c r="O67" s="61">
        <v>3.8399999999999997E-2</v>
      </c>
      <c r="P67" s="109" t="s">
        <v>368</v>
      </c>
      <c r="Q67" s="35" t="s">
        <v>73</v>
      </c>
      <c r="R67" s="35" t="s">
        <v>73</v>
      </c>
      <c r="S67" s="40" t="s">
        <v>369</v>
      </c>
      <c r="T67" s="69" t="s">
        <v>75</v>
      </c>
      <c r="U67" s="113" t="s">
        <v>370</v>
      </c>
      <c r="V67" s="69" t="s">
        <v>77</v>
      </c>
      <c r="W67" s="35" t="s">
        <v>346</v>
      </c>
      <c r="X67" s="35" t="s">
        <v>371</v>
      </c>
      <c r="Y67" s="35" t="s">
        <v>73</v>
      </c>
      <c r="Z67" s="35" t="s">
        <v>73</v>
      </c>
      <c r="AA67" s="59" t="s">
        <v>80</v>
      </c>
      <c r="AB67" s="40"/>
      <c r="AC67" s="40"/>
      <c r="AD67" s="44">
        <v>0.2</v>
      </c>
      <c r="AE67" s="35"/>
      <c r="AF67" s="35"/>
      <c r="AG67" s="44">
        <v>0.2</v>
      </c>
      <c r="AH67" s="35"/>
      <c r="AI67" s="35"/>
      <c r="AJ67" s="44">
        <v>0.2</v>
      </c>
      <c r="AK67" s="35"/>
      <c r="AL67" s="35"/>
      <c r="AM67" s="44">
        <v>0.2</v>
      </c>
      <c r="AN67" s="44">
        <v>0.2</v>
      </c>
      <c r="AO67" s="17">
        <f>9/71</f>
        <v>0.12676056338028169</v>
      </c>
      <c r="AP67" s="11">
        <f>AQ67+AR67+AS67+AT67</f>
        <v>1</v>
      </c>
      <c r="AQ67" s="44">
        <v>0.25</v>
      </c>
      <c r="AR67" s="44">
        <v>0.25</v>
      </c>
      <c r="AS67" s="44">
        <v>0.25</v>
      </c>
      <c r="AT67" s="44">
        <v>0.25</v>
      </c>
      <c r="AU67" s="44">
        <f>11/84</f>
        <v>0.13095238095238096</v>
      </c>
      <c r="AV67" s="44">
        <f t="shared" si="26"/>
        <v>1</v>
      </c>
      <c r="AW67" s="44">
        <v>0.25</v>
      </c>
      <c r="AX67" s="44">
        <v>0.25</v>
      </c>
      <c r="AY67" s="44">
        <v>0.25</v>
      </c>
      <c r="AZ67" s="44">
        <v>0.25</v>
      </c>
      <c r="BA67" s="17"/>
      <c r="BB67" s="44"/>
      <c r="BC67" s="44"/>
      <c r="BD67" s="44"/>
      <c r="BE67" s="44"/>
      <c r="BF67" s="44"/>
      <c r="BG67" s="17"/>
      <c r="BH67" s="44"/>
      <c r="BI67" s="44"/>
      <c r="BJ67" s="44"/>
      <c r="BK67" s="44"/>
      <c r="BL67" s="44"/>
      <c r="BM67" s="17">
        <f>9/71</f>
        <v>0.12676056338028169</v>
      </c>
      <c r="BN67" s="11">
        <f>BO67+BP67+BQ67+BR67</f>
        <v>1</v>
      </c>
      <c r="BO67" s="44">
        <v>0.25</v>
      </c>
      <c r="BP67" s="44">
        <v>0.25</v>
      </c>
      <c r="BQ67" s="44">
        <v>0.25</v>
      </c>
      <c r="BR67" s="44">
        <v>0.25</v>
      </c>
      <c r="BS67" s="17">
        <f>11/84</f>
        <v>0.13095238095238096</v>
      </c>
      <c r="BT67" s="11">
        <f t="shared" si="27"/>
        <v>1</v>
      </c>
      <c r="BU67" s="44">
        <v>0.25</v>
      </c>
      <c r="BV67" s="44">
        <v>0.25</v>
      </c>
      <c r="BW67" s="44">
        <v>0.25</v>
      </c>
      <c r="BX67" s="44">
        <v>0.25</v>
      </c>
      <c r="BY67" s="17"/>
      <c r="BZ67" s="11"/>
      <c r="CA67" s="44"/>
      <c r="CB67" s="44"/>
      <c r="CC67" s="44"/>
      <c r="CD67" s="44"/>
      <c r="CE67" s="17"/>
      <c r="CF67" s="11"/>
      <c r="CG67" s="44"/>
      <c r="CH67" s="44"/>
      <c r="CI67" s="44"/>
      <c r="CJ67" s="44"/>
      <c r="CK67" s="17">
        <f>(BM67+BS67)/2</f>
        <v>0.12885647216633134</v>
      </c>
      <c r="CL67" s="61">
        <f>+BS67/AG67</f>
        <v>0.65476190476190477</v>
      </c>
    </row>
    <row r="68" spans="1:90" ht="78" customHeight="1" x14ac:dyDescent="0.25">
      <c r="A68" s="150"/>
      <c r="B68" s="150"/>
      <c r="C68" s="150"/>
      <c r="D68" s="150"/>
      <c r="E68" s="150"/>
      <c r="F68" s="153"/>
      <c r="G68" s="40"/>
      <c r="H68" s="99"/>
      <c r="I68" s="153"/>
      <c r="J68" s="156"/>
      <c r="K68" s="35" t="s">
        <v>449</v>
      </c>
      <c r="L68" s="35" t="s">
        <v>117</v>
      </c>
      <c r="M68" s="140"/>
      <c r="N68" s="71" t="s">
        <v>372</v>
      </c>
      <c r="O68" s="61">
        <v>3.8399999999999997E-2</v>
      </c>
      <c r="P68" s="108" t="s">
        <v>373</v>
      </c>
      <c r="Q68" s="35" t="s">
        <v>73</v>
      </c>
      <c r="R68" s="35" t="s">
        <v>73</v>
      </c>
      <c r="S68" s="48" t="s">
        <v>374</v>
      </c>
      <c r="T68" s="69" t="s">
        <v>75</v>
      </c>
      <c r="U68" s="48" t="s">
        <v>375</v>
      </c>
      <c r="V68" s="69" t="s">
        <v>77</v>
      </c>
      <c r="W68" s="35" t="s">
        <v>205</v>
      </c>
      <c r="X68" s="56" t="s">
        <v>79</v>
      </c>
      <c r="Y68" s="35" t="s">
        <v>73</v>
      </c>
      <c r="Z68" s="35" t="s">
        <v>73</v>
      </c>
      <c r="AA68" s="35" t="s">
        <v>86</v>
      </c>
      <c r="AB68" s="35"/>
      <c r="AC68" s="35"/>
      <c r="AD68" s="35"/>
      <c r="AE68" s="44"/>
      <c r="AF68" s="35"/>
      <c r="AG68" s="44">
        <v>0.4</v>
      </c>
      <c r="AH68" s="35"/>
      <c r="AI68" s="44"/>
      <c r="AJ68" s="35"/>
      <c r="AK68" s="35"/>
      <c r="AL68" s="35"/>
      <c r="AM68" s="44">
        <v>0.4</v>
      </c>
      <c r="AN68" s="44">
        <f>AM68+AG68</f>
        <v>0.8</v>
      </c>
      <c r="AO68" s="40"/>
      <c r="AP68" s="40"/>
      <c r="AQ68" s="40"/>
      <c r="AR68" s="40"/>
      <c r="AS68" s="40"/>
      <c r="AT68" s="40"/>
      <c r="AU68" s="44">
        <f>71/100</f>
        <v>0.71</v>
      </c>
      <c r="AV68" s="44">
        <f t="shared" si="26"/>
        <v>1</v>
      </c>
      <c r="AW68" s="44">
        <v>0.25</v>
      </c>
      <c r="AX68" s="44">
        <v>0.25</v>
      </c>
      <c r="AY68" s="44">
        <v>0.25</v>
      </c>
      <c r="AZ68" s="44">
        <v>0.25</v>
      </c>
      <c r="BA68" s="17"/>
      <c r="BB68" s="44"/>
      <c r="BC68" s="26"/>
      <c r="BD68" s="26"/>
      <c r="BE68" s="26"/>
      <c r="BF68" s="26"/>
      <c r="BG68" s="40"/>
      <c r="BH68" s="40"/>
      <c r="BI68" s="40"/>
      <c r="BJ68" s="40"/>
      <c r="BK68" s="40"/>
      <c r="BL68" s="40"/>
      <c r="BM68" s="40"/>
      <c r="BN68" s="40"/>
      <c r="BO68" s="40"/>
      <c r="BP68" s="40"/>
      <c r="BQ68" s="40"/>
      <c r="BR68" s="40"/>
      <c r="BS68" s="47">
        <f>71/100</f>
        <v>0.71</v>
      </c>
      <c r="BT68" s="44">
        <f t="shared" si="27"/>
        <v>1</v>
      </c>
      <c r="BU68" s="44">
        <v>0.25</v>
      </c>
      <c r="BV68" s="44">
        <v>0.25</v>
      </c>
      <c r="BW68" s="44">
        <v>0.25</v>
      </c>
      <c r="BX68" s="44">
        <v>0.25</v>
      </c>
      <c r="BY68" s="17"/>
      <c r="BZ68" s="44"/>
      <c r="CA68" s="44"/>
      <c r="CB68" s="44"/>
      <c r="CC68" s="44"/>
      <c r="CD68" s="44"/>
      <c r="CE68" s="40"/>
      <c r="CF68" s="40"/>
      <c r="CG68" s="40"/>
      <c r="CH68" s="40"/>
      <c r="CI68" s="40"/>
      <c r="CJ68" s="40"/>
      <c r="CK68" s="47">
        <f>BS68</f>
        <v>0.71</v>
      </c>
      <c r="CL68" s="44">
        <f>CK68/AG68</f>
        <v>1.7749999999999999</v>
      </c>
    </row>
    <row r="69" spans="1:90" ht="78" customHeight="1" x14ac:dyDescent="0.25">
      <c r="A69" s="150"/>
      <c r="B69" s="150"/>
      <c r="C69" s="150"/>
      <c r="D69" s="150"/>
      <c r="E69" s="150"/>
      <c r="F69" s="153"/>
      <c r="G69" s="40"/>
      <c r="H69" s="99"/>
      <c r="I69" s="154"/>
      <c r="J69" s="157"/>
      <c r="K69" s="35" t="s">
        <v>453</v>
      </c>
      <c r="L69" s="35" t="s">
        <v>117</v>
      </c>
      <c r="M69" s="141"/>
      <c r="N69" s="71" t="s">
        <v>376</v>
      </c>
      <c r="O69" s="61">
        <v>3.8399999999999997E-2</v>
      </c>
      <c r="P69" s="108" t="s">
        <v>377</v>
      </c>
      <c r="Q69" s="35" t="s">
        <v>73</v>
      </c>
      <c r="R69" s="35" t="s">
        <v>73</v>
      </c>
      <c r="S69" s="48" t="s">
        <v>378</v>
      </c>
      <c r="T69" s="101" t="s">
        <v>75</v>
      </c>
      <c r="U69" s="48" t="s">
        <v>379</v>
      </c>
      <c r="V69" s="69" t="s">
        <v>147</v>
      </c>
      <c r="W69" s="35" t="s">
        <v>380</v>
      </c>
      <c r="X69" s="56" t="s">
        <v>79</v>
      </c>
      <c r="Y69" s="35" t="s">
        <v>73</v>
      </c>
      <c r="Z69" s="35" t="s">
        <v>73</v>
      </c>
      <c r="AA69" s="35" t="s">
        <v>80</v>
      </c>
      <c r="AB69" s="36"/>
      <c r="AC69" s="36"/>
      <c r="AD69" s="37">
        <v>0.38</v>
      </c>
      <c r="AE69" s="37"/>
      <c r="AF69" s="37"/>
      <c r="AG69" s="37">
        <v>0.3</v>
      </c>
      <c r="AH69" s="37"/>
      <c r="AI69" s="37"/>
      <c r="AJ69" s="37">
        <v>0.23</v>
      </c>
      <c r="AK69" s="37"/>
      <c r="AL69" s="37"/>
      <c r="AM69" s="37">
        <v>0.09</v>
      </c>
      <c r="AN69" s="37">
        <f>AD69+AG69+AJ69+AM69</f>
        <v>0.99999999999999989</v>
      </c>
      <c r="AO69" s="47">
        <f>30/30</f>
        <v>1</v>
      </c>
      <c r="AP69" s="44">
        <v>1</v>
      </c>
      <c r="AQ69" s="44">
        <v>0.25</v>
      </c>
      <c r="AR69" s="44">
        <v>0.25</v>
      </c>
      <c r="AS69" s="44">
        <v>0</v>
      </c>
      <c r="AT69" s="44">
        <v>0.25</v>
      </c>
      <c r="AU69" s="58"/>
      <c r="AV69" s="14"/>
      <c r="AW69" s="14"/>
      <c r="AX69" s="14"/>
      <c r="AY69" s="14"/>
      <c r="AZ69" s="14"/>
      <c r="BA69" s="58"/>
      <c r="BB69" s="14"/>
      <c r="BC69" s="14"/>
      <c r="BD69" s="14"/>
      <c r="BE69" s="14"/>
      <c r="BF69" s="14"/>
      <c r="BG69" s="102"/>
      <c r="BH69" s="14"/>
      <c r="BI69" s="14"/>
      <c r="BJ69" s="14"/>
      <c r="BK69" s="14"/>
      <c r="BL69" s="14"/>
      <c r="BM69" s="47">
        <f>30/30</f>
        <v>1</v>
      </c>
      <c r="BN69" s="44">
        <f>BO69+BP69+BR69</f>
        <v>0.75</v>
      </c>
      <c r="BO69" s="44">
        <v>0.25</v>
      </c>
      <c r="BP69" s="44">
        <v>0.25</v>
      </c>
      <c r="BQ69" s="44">
        <v>0</v>
      </c>
      <c r="BR69" s="44">
        <v>0.25</v>
      </c>
      <c r="BS69" s="11">
        <f>30/30</f>
        <v>1</v>
      </c>
      <c r="BT69" s="11">
        <f>(BU69+BV69+BW69+BX69)</f>
        <v>1</v>
      </c>
      <c r="BU69" s="44">
        <v>0.25</v>
      </c>
      <c r="BV69" s="44">
        <v>0.25</v>
      </c>
      <c r="BW69" s="44">
        <v>0.25</v>
      </c>
      <c r="BX69" s="44">
        <v>0.25</v>
      </c>
      <c r="BY69" s="17"/>
      <c r="BZ69" s="11"/>
      <c r="CA69" s="44"/>
      <c r="CB69" s="44"/>
      <c r="CC69" s="44"/>
      <c r="CD69" s="44"/>
      <c r="CE69" s="102"/>
      <c r="CF69" s="14"/>
      <c r="CG69" s="44"/>
      <c r="CH69" s="44"/>
      <c r="CI69" s="44"/>
      <c r="CJ69" s="44"/>
      <c r="CK69" s="11">
        <f>(BM69+BS69)/2</f>
        <v>1</v>
      </c>
      <c r="CL69" s="44">
        <f>CK69/(AD69+AG69)</f>
        <v>1.4705882352941178</v>
      </c>
    </row>
    <row r="70" spans="1:90" ht="78" customHeight="1" x14ac:dyDescent="0.25">
      <c r="A70" s="150"/>
      <c r="B70" s="150"/>
      <c r="C70" s="150"/>
      <c r="D70" s="150"/>
      <c r="E70" s="150"/>
      <c r="F70" s="153"/>
      <c r="G70" s="40"/>
      <c r="H70" s="99"/>
      <c r="I70" s="46" t="s">
        <v>414</v>
      </c>
      <c r="J70" s="67" t="s">
        <v>69</v>
      </c>
      <c r="K70" s="35" t="s">
        <v>454</v>
      </c>
      <c r="L70" s="68" t="s">
        <v>70</v>
      </c>
      <c r="M70" s="44">
        <v>1</v>
      </c>
      <c r="N70" s="71" t="s">
        <v>381</v>
      </c>
      <c r="O70" s="44">
        <v>1</v>
      </c>
      <c r="P70" s="48" t="s">
        <v>382</v>
      </c>
      <c r="Q70" s="35" t="s">
        <v>73</v>
      </c>
      <c r="R70" s="35" t="s">
        <v>73</v>
      </c>
      <c r="S70" s="48" t="s">
        <v>383</v>
      </c>
      <c r="T70" s="69" t="s">
        <v>75</v>
      </c>
      <c r="U70" s="48" t="s">
        <v>384</v>
      </c>
      <c r="V70" s="68" t="s">
        <v>77</v>
      </c>
      <c r="W70" s="35" t="s">
        <v>201</v>
      </c>
      <c r="X70" s="56" t="s">
        <v>79</v>
      </c>
      <c r="Y70" s="35" t="s">
        <v>73</v>
      </c>
      <c r="Z70" s="35" t="s">
        <v>73</v>
      </c>
      <c r="AA70" s="59" t="s">
        <v>86</v>
      </c>
      <c r="AB70" s="56"/>
      <c r="AC70" s="56"/>
      <c r="AD70" s="93"/>
      <c r="AE70" s="56"/>
      <c r="AF70" s="56"/>
      <c r="AG70" s="13">
        <v>1</v>
      </c>
      <c r="AH70" s="13"/>
      <c r="AI70" s="13"/>
      <c r="AJ70" s="13"/>
      <c r="AK70" s="13"/>
      <c r="AL70" s="13"/>
      <c r="AM70" s="13">
        <v>1</v>
      </c>
      <c r="AN70" s="20">
        <v>1</v>
      </c>
      <c r="AO70" s="40"/>
      <c r="AP70" s="40"/>
      <c r="AQ70" s="40"/>
      <c r="AR70" s="40"/>
      <c r="AS70" s="40"/>
      <c r="AT70" s="40"/>
      <c r="AU70" s="11">
        <v>1</v>
      </c>
      <c r="AV70" s="44">
        <f>SUBTOTAL(9,AW70:AZ70)</f>
        <v>1</v>
      </c>
      <c r="AW70" s="16">
        <f>(25%+25%+25%)/3</f>
        <v>0.25</v>
      </c>
      <c r="AX70" s="16">
        <f>(25%+25%+25%)/3</f>
        <v>0.25</v>
      </c>
      <c r="AY70" s="16">
        <f>(25%+25%+25%)/3</f>
        <v>0.25</v>
      </c>
      <c r="AZ70" s="16">
        <f>(25%+25%+25%)/3</f>
        <v>0.25</v>
      </c>
      <c r="BA70" s="40"/>
      <c r="BB70" s="40"/>
      <c r="BC70" s="40"/>
      <c r="BD70" s="40"/>
      <c r="BE70" s="40"/>
      <c r="BF70" s="40"/>
      <c r="BG70" s="40"/>
      <c r="BH70" s="40"/>
      <c r="BI70" s="40"/>
      <c r="BJ70" s="40"/>
      <c r="BK70" s="40"/>
      <c r="BL70" s="40"/>
      <c r="BM70" s="40"/>
      <c r="BN70" s="40"/>
      <c r="BO70" s="40"/>
      <c r="BP70" s="40"/>
      <c r="BQ70" s="40"/>
      <c r="BR70" s="40"/>
      <c r="BS70" s="11">
        <v>1</v>
      </c>
      <c r="BT70" s="44">
        <f>(BU70+BV70+BW70+BX70)</f>
        <v>1</v>
      </c>
      <c r="BU70" s="16">
        <f>(25%+25%+25%)/3</f>
        <v>0.25</v>
      </c>
      <c r="BV70" s="16">
        <f>(25%+25%+25%)/3</f>
        <v>0.25</v>
      </c>
      <c r="BW70" s="16">
        <f>(25%+25%+25%)/3</f>
        <v>0.25</v>
      </c>
      <c r="BX70" s="16">
        <f>(25%+25%+25%)/3</f>
        <v>0.25</v>
      </c>
      <c r="BY70" s="35"/>
      <c r="BZ70" s="40"/>
      <c r="CA70" s="40"/>
      <c r="CB70" s="40"/>
      <c r="CC70" s="40"/>
      <c r="CD70" s="40"/>
      <c r="CE70" s="40"/>
      <c r="CF70" s="40"/>
      <c r="CG70" s="40"/>
      <c r="CH70" s="40"/>
      <c r="CI70" s="40"/>
      <c r="CJ70" s="40"/>
      <c r="CK70" s="11">
        <f>BS70</f>
        <v>1</v>
      </c>
      <c r="CL70" s="44">
        <f>+CK70/AG70</f>
        <v>1</v>
      </c>
    </row>
    <row r="71" spans="1:90" ht="78" customHeight="1" x14ac:dyDescent="0.25">
      <c r="A71" s="151"/>
      <c r="B71" s="151"/>
      <c r="C71" s="151"/>
      <c r="D71" s="151"/>
      <c r="E71" s="151"/>
      <c r="F71" s="154"/>
      <c r="G71" s="40"/>
      <c r="H71" s="114"/>
      <c r="I71" s="46" t="s">
        <v>415</v>
      </c>
      <c r="J71" s="67" t="s">
        <v>69</v>
      </c>
      <c r="K71" s="35" t="s">
        <v>455</v>
      </c>
      <c r="L71" s="68" t="s">
        <v>117</v>
      </c>
      <c r="M71" s="87">
        <v>1</v>
      </c>
      <c r="N71" s="48" t="s">
        <v>385</v>
      </c>
      <c r="O71" s="44">
        <v>1</v>
      </c>
      <c r="P71" s="48" t="s">
        <v>386</v>
      </c>
      <c r="Q71" s="35" t="s">
        <v>73</v>
      </c>
      <c r="R71" s="35" t="s">
        <v>73</v>
      </c>
      <c r="S71" s="48" t="s">
        <v>387</v>
      </c>
      <c r="T71" s="81" t="s">
        <v>84</v>
      </c>
      <c r="U71" s="48" t="s">
        <v>388</v>
      </c>
      <c r="V71" s="68" t="s">
        <v>29</v>
      </c>
      <c r="W71" s="68" t="s">
        <v>266</v>
      </c>
      <c r="X71" s="56" t="s">
        <v>79</v>
      </c>
      <c r="Y71" s="35" t="s">
        <v>73</v>
      </c>
      <c r="Z71" s="35" t="s">
        <v>73</v>
      </c>
      <c r="AA71" s="56" t="s">
        <v>132</v>
      </c>
      <c r="AB71" s="56"/>
      <c r="AC71" s="56"/>
      <c r="AD71" s="37"/>
      <c r="AE71" s="56"/>
      <c r="AF71" s="56"/>
      <c r="AG71" s="56">
        <v>1</v>
      </c>
      <c r="AH71" s="56"/>
      <c r="AI71" s="56"/>
      <c r="AJ71" s="37"/>
      <c r="AK71" s="56"/>
      <c r="AL71" s="56"/>
      <c r="AM71" s="115"/>
      <c r="AN71" s="56">
        <v>1</v>
      </c>
      <c r="AO71" s="40"/>
      <c r="AP71" s="40"/>
      <c r="AQ71" s="40"/>
      <c r="AR71" s="40"/>
      <c r="AS71" s="40"/>
      <c r="AT71" s="40"/>
      <c r="AU71" s="40"/>
      <c r="AV71" s="40"/>
      <c r="AW71" s="40"/>
      <c r="AX71" s="40"/>
      <c r="AY71" s="40"/>
      <c r="AZ71" s="40"/>
      <c r="BA71" s="35"/>
      <c r="BB71" s="44"/>
      <c r="BC71" s="44"/>
      <c r="BD71" s="44"/>
      <c r="BE71" s="44"/>
      <c r="BF71" s="44"/>
      <c r="BG71" s="40"/>
      <c r="BH71" s="40"/>
      <c r="BI71" s="40"/>
      <c r="BJ71" s="40"/>
      <c r="BK71" s="40"/>
      <c r="BL71" s="40"/>
      <c r="BM71" s="35"/>
      <c r="BN71" s="40"/>
      <c r="BO71" s="40"/>
      <c r="BP71" s="40"/>
      <c r="BQ71" s="40"/>
      <c r="BR71" s="40"/>
      <c r="BS71" s="44">
        <v>0</v>
      </c>
      <c r="BT71" s="44">
        <f>(BU71+BV71+BW71+BX71)</f>
        <v>0</v>
      </c>
      <c r="BU71" s="44">
        <v>0</v>
      </c>
      <c r="BV71" s="44">
        <v>0</v>
      </c>
      <c r="BW71" s="44">
        <v>0</v>
      </c>
      <c r="BX71" s="44">
        <v>0</v>
      </c>
      <c r="BY71" s="35"/>
      <c r="BZ71" s="11"/>
      <c r="CA71" s="44"/>
      <c r="CB71" s="44"/>
      <c r="CC71" s="44"/>
      <c r="CD71" s="44"/>
      <c r="CE71" s="40"/>
      <c r="CF71" s="40"/>
      <c r="CG71" s="40"/>
      <c r="CH71" s="40"/>
      <c r="CI71" s="40"/>
      <c r="CJ71" s="40"/>
      <c r="CK71" s="11">
        <f>BS71</f>
        <v>0</v>
      </c>
      <c r="CL71" s="44">
        <f>+BS71/AG71</f>
        <v>0</v>
      </c>
    </row>
    <row r="72" spans="1:90" ht="15.75" x14ac:dyDescent="0.25">
      <c r="A72" s="142" t="s">
        <v>389</v>
      </c>
      <c r="B72" s="142"/>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row>
    <row r="73" spans="1:90" x14ac:dyDescent="0.25">
      <c r="A73" s="143" t="s">
        <v>390</v>
      </c>
      <c r="B73" s="143"/>
      <c r="C73" s="143"/>
      <c r="D73" s="143"/>
      <c r="E73" s="143"/>
      <c r="F73" s="143"/>
      <c r="G73" s="143"/>
      <c r="H73" s="143"/>
      <c r="I73" s="143"/>
      <c r="J73" s="143"/>
      <c r="K73" s="143"/>
      <c r="L73" s="143"/>
      <c r="M73" s="143"/>
      <c r="N73" s="144" t="s">
        <v>391</v>
      </c>
      <c r="O73" s="144"/>
      <c r="P73" s="144"/>
      <c r="Q73" s="144"/>
      <c r="R73" s="144"/>
      <c r="S73" s="144"/>
      <c r="T73" s="144"/>
      <c r="U73" s="144"/>
      <c r="V73" s="144"/>
      <c r="W73" s="144"/>
      <c r="X73" s="145" t="s">
        <v>392</v>
      </c>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row>
    <row r="74" spans="1:90" x14ac:dyDescent="0.25">
      <c r="A74" s="147" t="s">
        <v>393</v>
      </c>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8"/>
      <c r="BQ74" s="148"/>
      <c r="BR74" s="148"/>
      <c r="BS74" s="148"/>
      <c r="BT74" s="148"/>
      <c r="BU74" s="148"/>
      <c r="BV74" s="148"/>
      <c r="BW74" s="148"/>
      <c r="BX74" s="148"/>
      <c r="BY74" s="148"/>
      <c r="BZ74" s="148"/>
      <c r="CA74" s="148"/>
      <c r="CB74" s="148"/>
      <c r="CC74" s="148"/>
      <c r="CD74" s="148"/>
      <c r="CE74" s="148"/>
      <c r="CF74" s="148"/>
      <c r="CG74" s="148"/>
      <c r="CH74" s="148"/>
      <c r="CI74" s="148"/>
      <c r="CJ74" s="148"/>
      <c r="CK74" s="148"/>
      <c r="CL74" s="148"/>
    </row>
    <row r="75" spans="1:90" x14ac:dyDescent="0.25">
      <c r="A75" s="134" t="s">
        <v>394</v>
      </c>
      <c r="B75" s="135"/>
      <c r="C75" s="135"/>
      <c r="D75" s="135"/>
      <c r="E75" s="135"/>
      <c r="F75" s="135"/>
      <c r="G75" s="135"/>
      <c r="H75" s="135"/>
      <c r="I75" s="135"/>
      <c r="J75" s="135"/>
      <c r="K75" s="135"/>
      <c r="L75" s="135"/>
      <c r="M75" s="136"/>
      <c r="N75" s="137" t="s">
        <v>395</v>
      </c>
      <c r="O75" s="137"/>
      <c r="P75" s="137"/>
      <c r="Q75" s="137"/>
      <c r="R75" s="137"/>
      <c r="S75" s="137"/>
      <c r="T75" s="137"/>
      <c r="U75" s="137"/>
      <c r="V75" s="138" t="s">
        <v>396</v>
      </c>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7" t="s">
        <v>397</v>
      </c>
      <c r="BD75" s="137"/>
      <c r="BE75" s="137"/>
      <c r="BF75" s="137"/>
      <c r="BG75" s="137"/>
      <c r="BH75" s="137"/>
      <c r="BI75" s="137"/>
      <c r="BJ75" s="137"/>
      <c r="BK75" s="137"/>
      <c r="BL75" s="137"/>
      <c r="BM75" s="137"/>
      <c r="BN75" s="137"/>
      <c r="BO75" s="137"/>
      <c r="BP75" s="137"/>
      <c r="BQ75" s="137"/>
      <c r="BR75" s="137"/>
      <c r="BS75" s="137"/>
      <c r="BT75" s="137"/>
      <c r="BU75" s="137"/>
      <c r="BV75" s="137"/>
      <c r="BW75" s="137"/>
      <c r="BX75" s="137"/>
      <c r="BY75" s="137"/>
      <c r="BZ75" s="137"/>
      <c r="CA75" s="137"/>
      <c r="CB75" s="137"/>
      <c r="CC75" s="137"/>
      <c r="CD75" s="137"/>
      <c r="CE75" s="137"/>
      <c r="CF75" s="137"/>
      <c r="CG75" s="137"/>
      <c r="CH75" s="137"/>
      <c r="CI75" s="137"/>
      <c r="CJ75" s="137"/>
      <c r="CK75" s="137"/>
      <c r="CL75" s="137"/>
    </row>
    <row r="76" spans="1:90" x14ac:dyDescent="0.25">
      <c r="A76" s="130">
        <v>9</v>
      </c>
      <c r="B76" s="131"/>
      <c r="C76" s="131"/>
      <c r="D76" s="131"/>
      <c r="E76" s="131"/>
      <c r="F76" s="131"/>
      <c r="G76" s="131"/>
      <c r="H76" s="131"/>
      <c r="I76" s="131"/>
      <c r="J76" s="131"/>
      <c r="K76" s="131"/>
      <c r="L76" s="131"/>
      <c r="M76" s="132"/>
      <c r="N76" s="133" t="s">
        <v>398</v>
      </c>
      <c r="O76" s="133"/>
      <c r="P76" s="133"/>
      <c r="Q76" s="133"/>
      <c r="R76" s="133"/>
      <c r="S76" s="133"/>
      <c r="T76" s="133"/>
      <c r="U76" s="133"/>
      <c r="V76" s="122" t="s">
        <v>399</v>
      </c>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4">
        <v>10</v>
      </c>
      <c r="BD76" s="124"/>
      <c r="BE76" s="124"/>
      <c r="BF76" s="124"/>
      <c r="BG76" s="124"/>
      <c r="BH76" s="124"/>
      <c r="BI76" s="124"/>
      <c r="BJ76" s="124"/>
      <c r="BK76" s="124"/>
      <c r="BL76" s="124"/>
      <c r="BM76" s="124"/>
      <c r="BN76" s="124"/>
      <c r="BO76" s="124"/>
      <c r="BP76" s="124"/>
      <c r="BQ76" s="124"/>
      <c r="BR76" s="124"/>
      <c r="BS76" s="124"/>
      <c r="BT76" s="124"/>
      <c r="BU76" s="124"/>
      <c r="BV76" s="124"/>
      <c r="BW76" s="124"/>
      <c r="BX76" s="124"/>
      <c r="BY76" s="124"/>
      <c r="BZ76" s="124"/>
      <c r="CA76" s="124"/>
      <c r="CB76" s="124"/>
      <c r="CC76" s="124"/>
      <c r="CD76" s="124"/>
      <c r="CE76" s="124"/>
      <c r="CF76" s="124"/>
      <c r="CG76" s="124"/>
      <c r="CH76" s="124"/>
      <c r="CI76" s="124"/>
      <c r="CJ76" s="124"/>
      <c r="CK76" s="124"/>
      <c r="CL76" s="124"/>
    </row>
    <row r="77" spans="1:90" x14ac:dyDescent="0.25">
      <c r="A77" s="130">
        <v>10</v>
      </c>
      <c r="B77" s="131"/>
      <c r="C77" s="131"/>
      <c r="D77" s="131"/>
      <c r="E77" s="131"/>
      <c r="F77" s="131"/>
      <c r="G77" s="131"/>
      <c r="H77" s="131"/>
      <c r="I77" s="131"/>
      <c r="J77" s="131"/>
      <c r="K77" s="131"/>
      <c r="L77" s="131"/>
      <c r="M77" s="132"/>
      <c r="N77" s="133" t="s">
        <v>400</v>
      </c>
      <c r="O77" s="133"/>
      <c r="P77" s="133"/>
      <c r="Q77" s="133"/>
      <c r="R77" s="133"/>
      <c r="S77" s="133"/>
      <c r="T77" s="133"/>
      <c r="U77" s="133"/>
      <c r="V77" s="122" t="s">
        <v>401</v>
      </c>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4">
        <v>11</v>
      </c>
      <c r="BD77" s="124"/>
      <c r="BE77" s="124"/>
      <c r="BF77" s="124"/>
      <c r="BG77" s="124"/>
      <c r="BH77" s="124"/>
      <c r="BI77" s="124"/>
      <c r="BJ77" s="124"/>
      <c r="BK77" s="124"/>
      <c r="BL77" s="124"/>
      <c r="BM77" s="124"/>
      <c r="BN77" s="124"/>
      <c r="BO77" s="124"/>
      <c r="BP77" s="124"/>
      <c r="BQ77" s="124"/>
      <c r="BR77" s="124"/>
      <c r="BS77" s="124"/>
      <c r="BT77" s="124"/>
      <c r="BU77" s="124"/>
      <c r="BV77" s="124"/>
      <c r="BW77" s="124"/>
      <c r="BX77" s="124"/>
      <c r="BY77" s="124"/>
      <c r="BZ77" s="124"/>
      <c r="CA77" s="124"/>
      <c r="CB77" s="124"/>
      <c r="CC77" s="124"/>
      <c r="CD77" s="124"/>
      <c r="CE77" s="124"/>
      <c r="CF77" s="124"/>
      <c r="CG77" s="124"/>
      <c r="CH77" s="124"/>
      <c r="CI77" s="124"/>
      <c r="CJ77" s="124"/>
      <c r="CK77" s="124"/>
      <c r="CL77" s="124"/>
    </row>
    <row r="78" spans="1:90" x14ac:dyDescent="0.25">
      <c r="A78" s="116">
        <v>11</v>
      </c>
      <c r="B78" s="117"/>
      <c r="C78" s="117"/>
      <c r="D78" s="117"/>
      <c r="E78" s="117"/>
      <c r="F78" s="117"/>
      <c r="G78" s="117"/>
      <c r="H78" s="117"/>
      <c r="I78" s="117"/>
      <c r="J78" s="117"/>
      <c r="K78" s="117"/>
      <c r="L78" s="117"/>
      <c r="M78" s="118"/>
      <c r="N78" s="119" t="s">
        <v>402</v>
      </c>
      <c r="O78" s="120"/>
      <c r="P78" s="120"/>
      <c r="Q78" s="120"/>
      <c r="R78" s="120"/>
      <c r="S78" s="120"/>
      <c r="T78" s="120"/>
      <c r="U78" s="121"/>
      <c r="V78" s="122">
        <v>44023</v>
      </c>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4">
        <v>12</v>
      </c>
      <c r="BD78" s="124"/>
      <c r="BE78" s="124"/>
      <c r="BF78" s="124"/>
      <c r="BG78" s="124"/>
      <c r="BH78" s="124"/>
      <c r="BI78" s="124"/>
      <c r="BJ78" s="124"/>
      <c r="BK78" s="124"/>
      <c r="BL78" s="124"/>
      <c r="BM78" s="124"/>
      <c r="BN78" s="124"/>
      <c r="BO78" s="124"/>
      <c r="BP78" s="124"/>
      <c r="BQ78" s="124"/>
      <c r="BR78" s="124"/>
      <c r="BS78" s="124"/>
      <c r="BT78" s="124"/>
      <c r="BU78" s="124"/>
      <c r="BV78" s="124"/>
      <c r="BW78" s="124"/>
      <c r="BX78" s="124"/>
      <c r="BY78" s="124"/>
      <c r="BZ78" s="124"/>
      <c r="CA78" s="124"/>
      <c r="CB78" s="124"/>
      <c r="CC78" s="124"/>
      <c r="CD78" s="124"/>
      <c r="CE78" s="124"/>
      <c r="CF78" s="124"/>
      <c r="CG78" s="124"/>
      <c r="CH78" s="124"/>
      <c r="CI78" s="124"/>
      <c r="CJ78" s="124"/>
      <c r="CK78" s="124"/>
      <c r="CL78" s="124"/>
    </row>
    <row r="79" spans="1:90" x14ac:dyDescent="0.25">
      <c r="A79" s="116">
        <v>12</v>
      </c>
      <c r="B79" s="117"/>
      <c r="C79" s="117"/>
      <c r="D79" s="117"/>
      <c r="E79" s="117"/>
      <c r="F79" s="117"/>
      <c r="G79" s="117"/>
      <c r="H79" s="117"/>
      <c r="I79" s="117"/>
      <c r="J79" s="117"/>
      <c r="K79" s="117"/>
      <c r="L79" s="117"/>
      <c r="M79" s="118"/>
      <c r="N79" s="119" t="s">
        <v>403</v>
      </c>
      <c r="O79" s="120"/>
      <c r="P79" s="120"/>
      <c r="Q79" s="120"/>
      <c r="R79" s="120"/>
      <c r="S79" s="120"/>
      <c r="T79" s="120"/>
      <c r="U79" s="121"/>
      <c r="V79" s="122">
        <v>44215</v>
      </c>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4">
        <v>13</v>
      </c>
      <c r="BD79" s="124"/>
      <c r="BE79" s="124"/>
      <c r="BF79" s="124"/>
      <c r="BG79" s="124"/>
      <c r="BH79" s="124"/>
      <c r="BI79" s="124"/>
      <c r="BJ79" s="124"/>
      <c r="BK79" s="124"/>
      <c r="BL79" s="124"/>
      <c r="BM79" s="124"/>
      <c r="BN79" s="124"/>
      <c r="BO79" s="124"/>
      <c r="BP79" s="124"/>
      <c r="BQ79" s="124"/>
      <c r="BR79" s="124"/>
      <c r="BS79" s="124"/>
      <c r="BT79" s="124"/>
      <c r="BU79" s="124"/>
      <c r="BV79" s="124"/>
      <c r="BW79" s="124"/>
      <c r="BX79" s="124"/>
      <c r="BY79" s="124"/>
      <c r="BZ79" s="124"/>
      <c r="CA79" s="124"/>
      <c r="CB79" s="124"/>
      <c r="CC79" s="124"/>
      <c r="CD79" s="124"/>
      <c r="CE79" s="124"/>
      <c r="CF79" s="124"/>
      <c r="CG79" s="124"/>
      <c r="CH79" s="124"/>
      <c r="CI79" s="124"/>
      <c r="CJ79" s="124"/>
      <c r="CK79" s="124"/>
      <c r="CL79" s="124"/>
    </row>
    <row r="80" spans="1:90" x14ac:dyDescent="0.25">
      <c r="A80" s="116">
        <v>13</v>
      </c>
      <c r="B80" s="117"/>
      <c r="C80" s="117"/>
      <c r="D80" s="117"/>
      <c r="E80" s="117"/>
      <c r="F80" s="117"/>
      <c r="G80" s="117"/>
      <c r="H80" s="117"/>
      <c r="I80" s="117"/>
      <c r="J80" s="117"/>
      <c r="K80" s="117"/>
      <c r="L80" s="117"/>
      <c r="M80" s="118"/>
      <c r="N80" s="125" t="s">
        <v>404</v>
      </c>
      <c r="O80" s="126"/>
      <c r="P80" s="126"/>
      <c r="Q80" s="126"/>
      <c r="R80" s="126"/>
      <c r="S80" s="126"/>
      <c r="T80" s="126"/>
      <c r="U80" s="127"/>
      <c r="V80" s="122">
        <v>44281</v>
      </c>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8">
        <v>14</v>
      </c>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129"/>
      <c r="CE80" s="129"/>
      <c r="CF80" s="129"/>
      <c r="CG80" s="129"/>
      <c r="CH80" s="129"/>
      <c r="CI80" s="129"/>
      <c r="CJ80" s="129"/>
      <c r="CK80" s="129"/>
      <c r="CL80" s="129"/>
    </row>
    <row r="81" spans="1:90" x14ac:dyDescent="0.25">
      <c r="A81" s="29"/>
      <c r="B81" s="29"/>
      <c r="C81" s="29"/>
      <c r="D81" s="29"/>
      <c r="E81" s="29"/>
      <c r="F81" s="30"/>
      <c r="G81" s="30"/>
      <c r="H81" s="30"/>
      <c r="I81" s="29"/>
      <c r="J81" s="38"/>
      <c r="K81" s="31"/>
      <c r="L81" s="31"/>
      <c r="M81" s="31"/>
      <c r="N81" s="29"/>
      <c r="O81" s="32"/>
      <c r="P81" s="29"/>
      <c r="Q81" s="33"/>
      <c r="R81" s="33"/>
      <c r="S81" s="30"/>
      <c r="T81" s="33"/>
      <c r="U81" s="30"/>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29"/>
      <c r="BH81" s="29"/>
      <c r="BI81" s="29"/>
      <c r="BJ81" s="29"/>
      <c r="BK81" s="29"/>
      <c r="BL81" s="29"/>
      <c r="BM81" s="33"/>
      <c r="BN81" s="33"/>
      <c r="BO81" s="33"/>
      <c r="BP81" s="33"/>
      <c r="BQ81" s="33"/>
      <c r="BR81" s="33"/>
      <c r="BS81" s="53"/>
      <c r="BT81" s="33"/>
      <c r="BU81" s="33"/>
      <c r="BV81" s="33"/>
      <c r="BW81" s="33"/>
      <c r="BX81" s="33"/>
      <c r="BY81" s="33"/>
      <c r="BZ81" s="33"/>
      <c r="CA81" s="33"/>
      <c r="CB81" s="33"/>
      <c r="CC81" s="33"/>
      <c r="CD81" s="33"/>
      <c r="CE81" s="29"/>
      <c r="CF81" s="29"/>
      <c r="CG81" s="33"/>
      <c r="CH81" s="33"/>
      <c r="CI81" s="33"/>
      <c r="CJ81" s="33"/>
      <c r="CK81" s="29"/>
      <c r="CL81" s="29"/>
    </row>
    <row r="82" spans="1:90" x14ac:dyDescent="0.25">
      <c r="A82" s="29"/>
      <c r="B82" s="29"/>
      <c r="C82" s="29"/>
      <c r="D82" s="29"/>
      <c r="E82" s="29"/>
      <c r="F82" s="30"/>
      <c r="G82" s="30"/>
      <c r="H82" s="30"/>
      <c r="I82" s="29"/>
      <c r="J82" s="38"/>
      <c r="K82" s="31"/>
      <c r="L82" s="31"/>
      <c r="M82" s="31"/>
      <c r="N82" s="29"/>
      <c r="O82" s="32"/>
      <c r="P82" s="29"/>
      <c r="Q82" s="33"/>
      <c r="R82" s="33"/>
      <c r="S82" s="30"/>
      <c r="T82" s="33"/>
      <c r="U82" s="30"/>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29"/>
      <c r="BH82" s="29"/>
      <c r="BI82" s="29"/>
      <c r="BJ82" s="29"/>
      <c r="BK82" s="29"/>
      <c r="BL82" s="29"/>
      <c r="BM82" s="33"/>
      <c r="BN82" s="33"/>
      <c r="BO82" s="33"/>
      <c r="BP82" s="33"/>
      <c r="BQ82" s="33"/>
      <c r="BR82" s="33"/>
      <c r="BS82" s="53"/>
      <c r="BT82" s="33"/>
      <c r="BU82" s="33"/>
      <c r="BV82" s="33"/>
      <c r="BW82" s="33"/>
      <c r="BX82" s="33"/>
      <c r="BY82" s="33"/>
      <c r="BZ82" s="33"/>
      <c r="CA82" s="33"/>
      <c r="CB82" s="33"/>
      <c r="CC82" s="33"/>
      <c r="CD82" s="33"/>
      <c r="CE82" s="29"/>
      <c r="CF82" s="29"/>
      <c r="CG82" s="33"/>
      <c r="CH82" s="33"/>
      <c r="CI82" s="33"/>
      <c r="CJ82" s="33"/>
      <c r="CK82" s="29"/>
      <c r="CL82" s="29"/>
    </row>
  </sheetData>
  <autoFilter ref="A5:CL80" xr:uid="{AEF1271E-3664-41D5-869A-EDFCD1E9CC45}"/>
  <mergeCells count="102">
    <mergeCell ref="Z4:Z5"/>
    <mergeCell ref="AA4:AA5"/>
    <mergeCell ref="AB4:AM4"/>
    <mergeCell ref="AN4:AN5"/>
    <mergeCell ref="AO4:BL4"/>
    <mergeCell ref="BM4:CL4"/>
    <mergeCell ref="A1:B3"/>
    <mergeCell ref="C1:BL1"/>
    <mergeCell ref="BM1:CL3"/>
    <mergeCell ref="C2:BL2"/>
    <mergeCell ref="C3:BL3"/>
    <mergeCell ref="A4:D4"/>
    <mergeCell ref="F4:M4"/>
    <mergeCell ref="W4:W5"/>
    <mergeCell ref="X4:X5"/>
    <mergeCell ref="Y4:Y5"/>
    <mergeCell ref="J10:J12"/>
    <mergeCell ref="M10:M12"/>
    <mergeCell ref="G14:G15"/>
    <mergeCell ref="I14:I15"/>
    <mergeCell ref="J14:J15"/>
    <mergeCell ref="M14:M15"/>
    <mergeCell ref="G6:G9"/>
    <mergeCell ref="H6:H9"/>
    <mergeCell ref="I6:I9"/>
    <mergeCell ref="J6:J9"/>
    <mergeCell ref="M6:M9"/>
    <mergeCell ref="G10:G12"/>
    <mergeCell ref="H10:H16"/>
    <mergeCell ref="I10:I12"/>
    <mergeCell ref="B10:B16"/>
    <mergeCell ref="C10:C16"/>
    <mergeCell ref="D10:D16"/>
    <mergeCell ref="E10:E16"/>
    <mergeCell ref="F10:F16"/>
    <mergeCell ref="A6:A16"/>
    <mergeCell ref="B6:B9"/>
    <mergeCell ref="C6:C9"/>
    <mergeCell ref="D6:D9"/>
    <mergeCell ref="E6:E9"/>
    <mergeCell ref="F6:F9"/>
    <mergeCell ref="A35:A38"/>
    <mergeCell ref="B35:B38"/>
    <mergeCell ref="C35:C38"/>
    <mergeCell ref="D35:D38"/>
    <mergeCell ref="E35:E71"/>
    <mergeCell ref="F35:F38"/>
    <mergeCell ref="J17:J22"/>
    <mergeCell ref="M17:M22"/>
    <mergeCell ref="G23:G34"/>
    <mergeCell ref="I23:I34"/>
    <mergeCell ref="J23:J34"/>
    <mergeCell ref="M23:M34"/>
    <mergeCell ref="I36:I38"/>
    <mergeCell ref="J36:J38"/>
    <mergeCell ref="M36:M38"/>
    <mergeCell ref="A17:A34"/>
    <mergeCell ref="B17:B34"/>
    <mergeCell ref="C17:C34"/>
    <mergeCell ref="D17:D34"/>
    <mergeCell ref="E17:E34"/>
    <mergeCell ref="F17:F34"/>
    <mergeCell ref="G17:G22"/>
    <mergeCell ref="H17:H34"/>
    <mergeCell ref="I17:I22"/>
    <mergeCell ref="A75:M75"/>
    <mergeCell ref="N75:U75"/>
    <mergeCell ref="V75:BB75"/>
    <mergeCell ref="BC75:CL75"/>
    <mergeCell ref="A76:M76"/>
    <mergeCell ref="N76:U76"/>
    <mergeCell ref="V76:BB76"/>
    <mergeCell ref="BC76:CL76"/>
    <mergeCell ref="M44:M69"/>
    <mergeCell ref="A72:CL72"/>
    <mergeCell ref="A73:M73"/>
    <mergeCell ref="N73:W73"/>
    <mergeCell ref="X73:CL73"/>
    <mergeCell ref="A74:CL74"/>
    <mergeCell ref="A39:A71"/>
    <mergeCell ref="B39:B71"/>
    <mergeCell ref="C39:C71"/>
    <mergeCell ref="D39:D71"/>
    <mergeCell ref="F39:F71"/>
    <mergeCell ref="I44:I69"/>
    <mergeCell ref="J44:J69"/>
    <mergeCell ref="A79:M79"/>
    <mergeCell ref="N79:U79"/>
    <mergeCell ref="V79:BB79"/>
    <mergeCell ref="BC79:CL79"/>
    <mergeCell ref="A80:M80"/>
    <mergeCell ref="N80:U80"/>
    <mergeCell ref="V80:BB80"/>
    <mergeCell ref="BC80:CL80"/>
    <mergeCell ref="A77:M77"/>
    <mergeCell ref="N77:U77"/>
    <mergeCell ref="V77:BB77"/>
    <mergeCell ref="BC77:CL77"/>
    <mergeCell ref="A78:M78"/>
    <mergeCell ref="N78:U78"/>
    <mergeCell ref="V78:BB78"/>
    <mergeCell ref="BC78:CL78"/>
  </mergeCells>
  <dataValidations count="37">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257D3D95-CE61-41DF-A51D-5935CA9316E8}"/>
    <dataValidation allowBlank="1" showInputMessage="1" showErrorMessage="1" prompt="Diligenciar el proyecto de Inversión asociado a los planes de Decreto 612 de 2018_x000a_Nota: Para en caso no tener proyecto indicar con la abreviación N/A" sqref="Y4:Y5" xr:uid="{19459AD6-ECD1-4413-9970-A053C9AEC93A}"/>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8B7DAABE-37BF-4F46-9E91-2B89A0713735}"/>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2F4571D1-59B4-4A3F-A114-D9A3C40459EB}"/>
    <dataValidation allowBlank="1" showInputMessage="1" showErrorMessage="1" prompt="Escribir el Monto a un proyecto de inversión asignado del indicador del PAI_x000a_Nota: Para en caso no tener presupuestoasigado diligenciar, indicar con la abreviación N/A" sqref="Q5" xr:uid="{4FD16ED7-5E18-4F84-BAF3-13D547284A60}"/>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7002E7BA-2276-4D26-A569-23D80B218BEF}"/>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529A62DF-C03C-44AC-9773-0784F2CC1605}"/>
    <dataValidation allowBlank="1" showInputMessage="1" showErrorMessage="1" prompt="Establece el mes en el cual se debe hacer el reporte teniendo en cuenta la periocidad definida del indicador." sqref="AB4:AM4" xr:uid="{4257AF0A-0CBC-42FD-8FFB-E8587D869206}"/>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A153205D-B674-466F-8285-E0292E8F730D}"/>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CD350B07-7357-4354-B30F-FCF36E271C47}"/>
    <dataValidation allowBlank="1" showInputMessage="1" showErrorMessage="1" prompt="Es el porcentaje de cada estrategia con el nivel de importancia que tiene respecto al objetivo estratégico. La sumatoria de las estrategias deben ser el 100%" sqref="G5" xr:uid="{B0DF1293-3F3E-431C-B8D4-B1F512CF286B}"/>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C31D75CF-1B15-455A-966D-92C7E8C51A5A}"/>
    <dataValidation allowBlank="1" showInputMessage="1" showErrorMessage="1" prompt="Seguimiento realizado por los responsables de los planes, programas y proyectos" sqref="AO4:BL4" xr:uid="{12AD0FFC-6452-41B9-BC12-0CFC257468EB}"/>
    <dataValidation allowBlank="1" showInputMessage="1" showErrorMessage="1" prompt="Es la ponderación porcentual de cada estrategia del Plan referente a la actividad que tiene asociada, debe dar un 100%" sqref="M5" xr:uid="{3CAE76DE-B359-4A06-97EC-5A51FA95C893}"/>
    <dataValidation allowBlank="1" showInputMessage="1" showErrorMessage="1" prompt="Definición clara del propósito fundamental y el contexto dentro del cual se desarrollan las actividades de la Unidad. Debe iniciar con un verbo en infinitivo. " sqref="F5" xr:uid="{79DE48A2-608C-41C8-9BD2-57A8FB946708}"/>
    <dataValidation allowBlank="1" showInputMessage="1" showErrorMessage="1" prompt="Describe el número al cual se encuentra asociada la actividad y aporta al objetivo estrategico y a la estrategia institucional." sqref="K5" xr:uid="{B4325AB2-A928-4BAF-852C-F9E20BF74201}"/>
    <dataValidation allowBlank="1" showInputMessage="1" showErrorMessage="1" prompt="Diligenciar el Nombre del  proceso" sqref="W4" xr:uid="{FC926249-8811-425A-BFFC-CA0D15F9FBF3}"/>
    <dataValidation allowBlank="1" showInputMessage="1" showErrorMessage="1" prompt="Describe la actividad que va hacer medida con el indicador. Debe iniciar con un verbo en infinitivo, ser cuantificable y clara" sqref="N5" xr:uid="{DAAE2B3C-64EF-4F0D-9ECE-8B0CDD01AC5B}"/>
    <dataValidation allowBlank="1" showInputMessage="1" showErrorMessage="1" prompt="Es el entregable de la actividad definida" sqref="P5" xr:uid="{B692370A-6C9A-4D2F-97FF-E981A3B474D7}"/>
    <dataValidation allowBlank="1" showInputMessage="1" showErrorMessage="1" prompt="Corresponde a la ecuación, la cual indica la forma en que se calcula el indicador" sqref="U5" xr:uid="{D301E1A6-E755-474F-9782-67650D425C2D}"/>
    <dataValidation allowBlank="1" showInputMessage="1" showErrorMessage="1" prompt="Pueden ser de eficiencia, eficacia, efectividad y de producto." sqref="V5" xr:uid="{D689C4D3-909E-4DF5-90A6-EAE3C3A153ED}"/>
    <dataValidation allowBlank="1" showInputMessage="1" showErrorMessage="1" prompt="Establece la periocidad en que se debe realizar el reporte del indicador." sqref="AA4:AA5" xr:uid="{9BAD4129-0F10-4C1F-B127-249FA34CDBA7}"/>
    <dataValidation allowBlank="1" showInputMessage="1" showErrorMessage="1" prompt="Indica el nombre de la estrategia estipulada dentro del PND. " sqref="D5" xr:uid="{7A85C314-1083-4049-99B1-CFBAB477DA49}"/>
    <dataValidation allowBlank="1" showInputMessage="1" showErrorMessage="1" prompt="Indica el nombre de la línea estratégica estipulada dentro del PND. " sqref="B5" xr:uid="{EBEBFAE0-261F-4325-9CB3-CA2E9434F4E7}"/>
    <dataValidation allowBlank="1" showInputMessage="1" showErrorMessage="1" prompt="Indica el nombre del Pacto estipulado dentro del PND._x000a_" sqref="A5" xr:uid="{16B245A5-9656-4FA2-84E1-8E14E16EC708}"/>
    <dataValidation allowBlank="1" showInputMessage="1" showErrorMessage="1" prompt="Define los cursos de acción que muestran los medios, recursos y esfuerzos para el cumplimiento de los objetivos estratégicos." sqref="I5" xr:uid="{1F3B304F-9B1A-46F4-BE55-DC29FCFC9DE0}"/>
    <dataValidation allowBlank="1" showInputMessage="1" showErrorMessage="1" prompt="Nombre del indicador relacionado directamente con la Estrategia Institucional" sqref="J5" xr:uid="{4EE5D54E-3EA0-4C82-BC35-CF224561277B}"/>
    <dataValidation allowBlank="1" showInputMessage="1" showErrorMessage="1" prompt="Definición clara del propósito fundamental y el contexto dentro del cual se desarrollan las actividades de la Unidad. Debe iniciar con un verbo en infinitivo." sqref="H5" xr:uid="{DC3E8B50-82DC-43E2-82EF-53F27CAB26B9}"/>
    <dataValidation allowBlank="1" showInputMessage="1" showErrorMessage="1" prompt="Diligenciar las perspectivas del cuadro de Mando Integral( Perspectivas Usuuario/Beneficiario, Perspectiva  procesos Internos, Perspectiva  Financiera, Perspectiva Aprendizaje y Desarrollo) " sqref="L5" xr:uid="{6B3F9393-A250-4793-A56D-8E049F9251FA}"/>
    <dataValidation allowBlank="1" showInputMessage="1" showErrorMessage="1" prompt="Diligencair el Plan Institucional Asociado" sqref="X4:X5" xr:uid="{39F55D75-8F3C-49E1-9C9D-DD0A5673E6B2}"/>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B9A85DF4-8984-44AE-961A-FDC23DEF7371}"/>
    <dataValidation allowBlank="1" showInputMessage="1" showErrorMessage="1" prompt="Diligenciar el Avance Obtenido en reporte del Indicador (PAI)" sqref="AO5 AU5 BA5 BG5 BM5 BS5 BY5 CE5" xr:uid="{3479D2CC-AB1B-4B4A-966C-85F9C05C14F4}"/>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T5 BZ5 CF5" xr:uid="{106437B6-AF20-460F-AD99-1839651E655E}"/>
    <dataValidation allowBlank="1" showInputMessage="1" showErrorMessage="1" prompt="Diligenciar la calificación entre 0% o 25% de acuerdo a los criterios Recopilación de datos y evidencia( PIN-MA-04) " sqref="AQ5:AT5 AW5:AZ5 BC5:BF5 BI5:BL5 BU5:BX5 CG5:CJ5 BO5:BR5 CA5:CD5" xr:uid="{BB2269DA-47AD-41A1-8D56-901A8E7E777D}"/>
    <dataValidation allowBlank="1" showInputMessage="1" showErrorMessage="1" prompt="Diligenciar el avance del reporte del indicador dependiendo la frecuencia" sqref="CK5" xr:uid="{1EF383FB-DD0A-45D7-A315-20A25BBCEE41}"/>
    <dataValidation allowBlank="1" showInputMessage="1" showErrorMessage="1" prompt="Diligenciar el cumplimiento del reporte Total al Indicador al PAI" sqref="CL5" xr:uid="{46B04543-A026-411C-8D16-CAAF27D77CE4}"/>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L4" xr:uid="{F5D6F823-0647-4FD4-8A1E-717CE03FDF8C}"/>
  </dataValidations>
  <pageMargins left="0.7" right="0.7" top="0.75" bottom="0.75" header="0.3" footer="0.3"/>
  <pageSetup orientation="portrait" r:id="rId1"/>
  <ignoredErrors>
    <ignoredError sqref="CK10 CL8 CK15:CL15 CK19 CK24:CL24 CK32:CK33 CK40:CL40 CK52 CK54 CL57 CK63 CL66 CK68:CK69"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DEP-FT-36 final(sin observ publ</vt:lpstr>
    </vt:vector>
  </TitlesOfParts>
  <Company>Unidad Nacional de Proteccion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Margarita Diaz Lobo</dc:creator>
  <cp:lastModifiedBy>David Antonio Giraldo Vargas</cp:lastModifiedBy>
  <dcterms:created xsi:type="dcterms:W3CDTF">2023-04-11T14:00:09Z</dcterms:created>
  <dcterms:modified xsi:type="dcterms:W3CDTF">2023-08-22T19:22:42Z</dcterms:modified>
</cp:coreProperties>
</file>