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nproteccion-my.sharepoint.com/personal/gina_diaz_unp_gov_co/Documents/Escritorio/backup compu yivana/DOCUMENTOS/PEI Y PAI 2023/SEGUIMIENTO PAI 2023/III TRIMESTRE/"/>
    </mc:Choice>
  </mc:AlternateContent>
  <xr:revisionPtr revIDLastSave="0" documentId="8_{76E4071F-4EB4-4630-B58D-CD9D6FF341EC}" xr6:coauthVersionLast="47" xr6:coauthVersionMax="47" xr10:uidLastSave="{00000000-0000-0000-0000-000000000000}"/>
  <bookViews>
    <workbookView xWindow="-120" yWindow="-120" windowWidth="20730" windowHeight="11160" xr2:uid="{BAB67D04-F95C-4275-BAAD-BFD40B7ADB9C}"/>
  </bookViews>
  <sheets>
    <sheet name="DEP-FT-36 final III T" sheetId="2" r:id="rId1"/>
  </sheets>
  <definedNames>
    <definedName name="_xlnm._FilterDatabase" localSheetId="0" hidden="1">'DEP-FT-36 final III T'!$A$5:$CL$80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6" i="2" l="1"/>
  <c r="AV6" i="2"/>
  <c r="BS6" i="2"/>
  <c r="BT6" i="2"/>
  <c r="AV7" i="2"/>
  <c r="BT7" i="2"/>
  <c r="CL7" i="2"/>
  <c r="AP8" i="2"/>
  <c r="AV8" i="2"/>
  <c r="BB8" i="2"/>
  <c r="BN8" i="2"/>
  <c r="BS8" i="2"/>
  <c r="CK8" i="2" s="1"/>
  <c r="CL8" i="2" s="1"/>
  <c r="BT8" i="2"/>
  <c r="AV9" i="2"/>
  <c r="BT9" i="2"/>
  <c r="CK9" i="2"/>
  <c r="CL9" i="2"/>
  <c r="AO10" i="2"/>
  <c r="AQ10" i="2"/>
  <c r="AR10" i="2"/>
  <c r="AS10" i="2"/>
  <c r="AT10" i="2"/>
  <c r="AU10" i="2"/>
  <c r="AW10" i="2"/>
  <c r="AX10" i="2"/>
  <c r="AY10" i="2"/>
  <c r="AZ10" i="2"/>
  <c r="BA10" i="2"/>
  <c r="BB10" i="2"/>
  <c r="BM10" i="2"/>
  <c r="BO10" i="2"/>
  <c r="BP10" i="2"/>
  <c r="BQ10" i="2"/>
  <c r="BR10" i="2"/>
  <c r="BS10" i="2"/>
  <c r="BU10" i="2"/>
  <c r="BV10" i="2"/>
  <c r="BW10" i="2"/>
  <c r="BX10" i="2"/>
  <c r="BY10" i="2"/>
  <c r="CL10" i="2"/>
  <c r="AV11" i="2"/>
  <c r="BT11" i="2"/>
  <c r="CK11" i="2"/>
  <c r="CL11" i="2" s="1"/>
  <c r="AO12" i="2"/>
  <c r="AP12" i="2"/>
  <c r="AU12" i="2"/>
  <c r="AV12" i="2"/>
  <c r="BA12" i="2"/>
  <c r="BB12" i="2"/>
  <c r="BM12" i="2"/>
  <c r="BN12" i="2"/>
  <c r="BS12" i="2"/>
  <c r="BT12" i="2"/>
  <c r="BY12" i="2"/>
  <c r="BZ12" i="2"/>
  <c r="AO13" i="2"/>
  <c r="AP13" i="2"/>
  <c r="AV13" i="2"/>
  <c r="BA13" i="2"/>
  <c r="BB13" i="2"/>
  <c r="BM13" i="2"/>
  <c r="BN13" i="2"/>
  <c r="BS13" i="2"/>
  <c r="BT13" i="2"/>
  <c r="BY13" i="2"/>
  <c r="BZ13" i="2"/>
  <c r="AO14" i="2"/>
  <c r="AP14" i="2"/>
  <c r="AV14" i="2"/>
  <c r="BA14" i="2"/>
  <c r="BB14" i="2"/>
  <c r="BM14" i="2"/>
  <c r="BN14" i="2"/>
  <c r="BS14" i="2"/>
  <c r="BT14" i="2"/>
  <c r="BY14" i="2"/>
  <c r="BZ14" i="2"/>
  <c r="BA15" i="2"/>
  <c r="BB15" i="2"/>
  <c r="BT15" i="2"/>
  <c r="BY15" i="2"/>
  <c r="CK15" i="2" s="1"/>
  <c r="BZ15" i="2"/>
  <c r="AO16" i="2"/>
  <c r="AP16" i="2"/>
  <c r="AU16" i="2"/>
  <c r="AV16" i="2"/>
  <c r="BA16" i="2"/>
  <c r="BB16" i="2"/>
  <c r="BM16" i="2"/>
  <c r="BN16" i="2"/>
  <c r="BS16" i="2"/>
  <c r="BT16" i="2"/>
  <c r="BY16" i="2"/>
  <c r="BZ16" i="2"/>
  <c r="AO17" i="2"/>
  <c r="AQ17" i="2"/>
  <c r="AR17" i="2"/>
  <c r="AS17" i="2"/>
  <c r="AT17" i="2"/>
  <c r="AU17" i="2"/>
  <c r="AW17" i="2"/>
  <c r="AX17" i="2"/>
  <c r="AY17" i="2"/>
  <c r="AZ17" i="2"/>
  <c r="BA17" i="2"/>
  <c r="BB17" i="2"/>
  <c r="BM17" i="2"/>
  <c r="BO17" i="2"/>
  <c r="BP17" i="2"/>
  <c r="BQ17" i="2"/>
  <c r="BR17" i="2"/>
  <c r="BS17" i="2"/>
  <c r="BU17" i="2"/>
  <c r="BV17" i="2"/>
  <c r="BW17" i="2"/>
  <c r="BX17" i="2"/>
  <c r="BY17" i="2"/>
  <c r="BZ17" i="2"/>
  <c r="AO18" i="2"/>
  <c r="AQ18" i="2"/>
  <c r="AR18" i="2"/>
  <c r="AS18" i="2"/>
  <c r="AU18" i="2"/>
  <c r="AW18" i="2"/>
  <c r="AX18" i="2"/>
  <c r="AY18" i="2"/>
  <c r="BA18" i="2"/>
  <c r="BB18" i="2"/>
  <c r="BM18" i="2"/>
  <c r="BO18" i="2"/>
  <c r="BP18" i="2"/>
  <c r="BQ18" i="2"/>
  <c r="BR18" i="2"/>
  <c r="BS18" i="2"/>
  <c r="CK18" i="2" s="1"/>
  <c r="CL18" i="2" s="1"/>
  <c r="BU18" i="2"/>
  <c r="BV18" i="2"/>
  <c r="BW18" i="2"/>
  <c r="BX18" i="2"/>
  <c r="BY18" i="2"/>
  <c r="BZ18" i="2"/>
  <c r="AO19" i="2"/>
  <c r="AQ19" i="2"/>
  <c r="AR19" i="2"/>
  <c r="AS19" i="2"/>
  <c r="AU19" i="2"/>
  <c r="BA19" i="2"/>
  <c r="BB19" i="2"/>
  <c r="BM19" i="2"/>
  <c r="BO19" i="2"/>
  <c r="BP19" i="2"/>
  <c r="BQ19" i="2"/>
  <c r="BR19" i="2"/>
  <c r="BS19" i="2"/>
  <c r="BT19" i="2"/>
  <c r="BY19" i="2"/>
  <c r="BZ19" i="2"/>
  <c r="CK19" i="2"/>
  <c r="CL19" i="2" s="1"/>
  <c r="AO20" i="2"/>
  <c r="AQ20" i="2"/>
  <c r="AR20" i="2"/>
  <c r="AS20" i="2"/>
  <c r="AU20" i="2"/>
  <c r="AW20" i="2"/>
  <c r="AX20" i="2"/>
  <c r="BA20" i="2"/>
  <c r="BB20" i="2"/>
  <c r="BM20" i="2"/>
  <c r="BO20" i="2"/>
  <c r="BP20" i="2"/>
  <c r="BQ20" i="2"/>
  <c r="BR20" i="2"/>
  <c r="BS20" i="2"/>
  <c r="BU20" i="2"/>
  <c r="BV20" i="2"/>
  <c r="BY20" i="2"/>
  <c r="BZ20" i="2"/>
  <c r="AO21" i="2"/>
  <c r="AP21" i="2"/>
  <c r="AU21" i="2"/>
  <c r="AV21" i="2"/>
  <c r="BA21" i="2"/>
  <c r="BB21" i="2"/>
  <c r="BM21" i="2"/>
  <c r="BN21" i="2"/>
  <c r="BS21" i="2"/>
  <c r="BT21" i="2"/>
  <c r="BY21" i="2"/>
  <c r="BZ21" i="2"/>
  <c r="AO22" i="2"/>
  <c r="AP22" i="2"/>
  <c r="AU22" i="2"/>
  <c r="AV22" i="2"/>
  <c r="BA22" i="2"/>
  <c r="BB22" i="2"/>
  <c r="BM22" i="2"/>
  <c r="BN22" i="2"/>
  <c r="BS22" i="2"/>
  <c r="BT22" i="2"/>
  <c r="BY22" i="2"/>
  <c r="BZ22" i="2"/>
  <c r="AO23" i="2"/>
  <c r="AP23" i="2"/>
  <c r="AV23" i="2"/>
  <c r="BA23" i="2"/>
  <c r="BB23" i="2"/>
  <c r="BM23" i="2"/>
  <c r="BN23" i="2"/>
  <c r="BS23" i="2"/>
  <c r="BT23" i="2"/>
  <c r="BY23" i="2"/>
  <c r="BZ23" i="2"/>
  <c r="AU24" i="2"/>
  <c r="AW24" i="2"/>
  <c r="AX24" i="2"/>
  <c r="AY24" i="2"/>
  <c r="AZ24" i="2"/>
  <c r="BS24" i="2"/>
  <c r="CL24" i="2" s="1"/>
  <c r="BU24" i="2"/>
  <c r="BV24" i="2"/>
  <c r="BW24" i="2"/>
  <c r="BX24" i="2"/>
  <c r="AO25" i="2"/>
  <c r="AP25" i="2"/>
  <c r="AU25" i="2"/>
  <c r="AV25" i="2"/>
  <c r="BA25" i="2"/>
  <c r="BB25" i="2"/>
  <c r="BM25" i="2"/>
  <c r="BO25" i="2"/>
  <c r="BP25" i="2"/>
  <c r="BQ25" i="2"/>
  <c r="BR25" i="2"/>
  <c r="BS25" i="2"/>
  <c r="BU25" i="2"/>
  <c r="BV25" i="2"/>
  <c r="BW25" i="2"/>
  <c r="BX25" i="2"/>
  <c r="BY25" i="2"/>
  <c r="BZ25" i="2"/>
  <c r="AO26" i="2"/>
  <c r="AP26" i="2"/>
  <c r="AU26" i="2"/>
  <c r="AV26" i="2"/>
  <c r="BA26" i="2"/>
  <c r="BB26" i="2"/>
  <c r="BM26" i="2"/>
  <c r="BO26" i="2"/>
  <c r="BP26" i="2"/>
  <c r="BQ26" i="2"/>
  <c r="BR26" i="2"/>
  <c r="BS26" i="2"/>
  <c r="BU26" i="2"/>
  <c r="BV26" i="2"/>
  <c r="BW26" i="2"/>
  <c r="BX26" i="2"/>
  <c r="BY26" i="2"/>
  <c r="BZ26" i="2"/>
  <c r="AO27" i="2"/>
  <c r="AP27" i="2"/>
  <c r="AU27" i="2"/>
  <c r="AV27" i="2"/>
  <c r="BA27" i="2"/>
  <c r="BB27" i="2"/>
  <c r="BM27" i="2"/>
  <c r="BN27" i="2"/>
  <c r="BS27" i="2"/>
  <c r="BU27" i="2"/>
  <c r="BV27" i="2"/>
  <c r="BW27" i="2"/>
  <c r="BX27" i="2"/>
  <c r="BY27" i="2"/>
  <c r="BZ27" i="2"/>
  <c r="AO28" i="2"/>
  <c r="AP28" i="2"/>
  <c r="AU28" i="2"/>
  <c r="AW28" i="2"/>
  <c r="AX28" i="2"/>
  <c r="BA28" i="2"/>
  <c r="BB28" i="2"/>
  <c r="BM28" i="2"/>
  <c r="BN28" i="2"/>
  <c r="BS28" i="2"/>
  <c r="BT28" i="2"/>
  <c r="BY28" i="2"/>
  <c r="BZ28" i="2"/>
  <c r="AU31" i="2"/>
  <c r="AV31" i="2"/>
  <c r="BS31" i="2"/>
  <c r="CK31" i="2" s="1"/>
  <c r="BT31" i="2"/>
  <c r="AO32" i="2"/>
  <c r="AP32" i="2"/>
  <c r="AU32" i="2"/>
  <c r="AV32" i="2"/>
  <c r="BB32" i="2"/>
  <c r="BM32" i="2"/>
  <c r="BN32" i="2"/>
  <c r="BS32" i="2"/>
  <c r="BU32" i="2"/>
  <c r="BV32" i="2"/>
  <c r="BW32" i="2"/>
  <c r="BX32" i="2"/>
  <c r="BZ32" i="2"/>
  <c r="AU33" i="2"/>
  <c r="AV33" i="2"/>
  <c r="BS33" i="2"/>
  <c r="CK33" i="2" s="1"/>
  <c r="CL33" i="2" s="1"/>
  <c r="BU33" i="2"/>
  <c r="BV33" i="2"/>
  <c r="BW33" i="2"/>
  <c r="BX33" i="2"/>
  <c r="AO34" i="2"/>
  <c r="AQ34" i="2"/>
  <c r="AR34" i="2"/>
  <c r="AS34" i="2"/>
  <c r="AU34" i="2"/>
  <c r="AW34" i="2"/>
  <c r="AX34" i="2"/>
  <c r="BA34" i="2"/>
  <c r="BB34" i="2"/>
  <c r="BM34" i="2"/>
  <c r="BO34" i="2"/>
  <c r="BP34" i="2"/>
  <c r="BQ34" i="2"/>
  <c r="BR34" i="2"/>
  <c r="BS34" i="2"/>
  <c r="BU34" i="2"/>
  <c r="BV34" i="2"/>
  <c r="BY34" i="2"/>
  <c r="BZ34" i="2"/>
  <c r="CL35" i="2"/>
  <c r="AU36" i="2"/>
  <c r="AV36" i="2"/>
  <c r="BS36" i="2"/>
  <c r="CK36" i="2" s="1"/>
  <c r="CL36" i="2" s="1"/>
  <c r="BU36" i="2"/>
  <c r="BV36" i="2"/>
  <c r="BW36" i="2"/>
  <c r="BX36" i="2"/>
  <c r="AO37" i="2"/>
  <c r="AP37" i="2"/>
  <c r="AU37" i="2"/>
  <c r="AV37" i="2"/>
  <c r="BA37" i="2"/>
  <c r="BB37" i="2"/>
  <c r="BM37" i="2"/>
  <c r="BN37" i="2"/>
  <c r="BS37" i="2"/>
  <c r="BT37" i="2"/>
  <c r="BY37" i="2"/>
  <c r="BZ37" i="2"/>
  <c r="AO38" i="2"/>
  <c r="AQ38" i="2"/>
  <c r="AR38" i="2"/>
  <c r="AS38" i="2"/>
  <c r="AT38" i="2"/>
  <c r="AU38" i="2"/>
  <c r="AW38" i="2"/>
  <c r="AX38" i="2"/>
  <c r="AY38" i="2"/>
  <c r="AZ38" i="2"/>
  <c r="BA38" i="2"/>
  <c r="BB38" i="2"/>
  <c r="BM38" i="2"/>
  <c r="BO38" i="2"/>
  <c r="BP38" i="2"/>
  <c r="BQ38" i="2"/>
  <c r="BR38" i="2"/>
  <c r="BS38" i="2"/>
  <c r="BU38" i="2"/>
  <c r="BV38" i="2"/>
  <c r="BW38" i="2"/>
  <c r="BX38" i="2"/>
  <c r="BY38" i="2"/>
  <c r="BZ38" i="2"/>
  <c r="AO39" i="2"/>
  <c r="AP39" i="2"/>
  <c r="AU39" i="2"/>
  <c r="AV39" i="2"/>
  <c r="BA39" i="2"/>
  <c r="BB39" i="2"/>
  <c r="BM39" i="2"/>
  <c r="BN39" i="2"/>
  <c r="BS39" i="2"/>
  <c r="BT39" i="2"/>
  <c r="BY39" i="2"/>
  <c r="BZ39" i="2"/>
  <c r="AO40" i="2"/>
  <c r="AQ40" i="2"/>
  <c r="AR40" i="2"/>
  <c r="AP40" i="2" s="1"/>
  <c r="AS40" i="2"/>
  <c r="AT40" i="2"/>
  <c r="AU40" i="2"/>
  <c r="AW40" i="2"/>
  <c r="AX40" i="2"/>
  <c r="AY40" i="2"/>
  <c r="AV40" i="2" s="1"/>
  <c r="AZ40" i="2"/>
  <c r="BA40" i="2"/>
  <c r="BB40" i="2"/>
  <c r="BM40" i="2"/>
  <c r="BO40" i="2"/>
  <c r="BP40" i="2"/>
  <c r="BQ40" i="2"/>
  <c r="BR40" i="2"/>
  <c r="BS40" i="2"/>
  <c r="BU40" i="2"/>
  <c r="BV40" i="2"/>
  <c r="BW40" i="2"/>
  <c r="BX40" i="2"/>
  <c r="BY40" i="2"/>
  <c r="BZ40" i="2"/>
  <c r="CL40" i="2"/>
  <c r="AO41" i="2"/>
  <c r="AP41" i="2"/>
  <c r="AU41" i="2"/>
  <c r="AV41" i="2"/>
  <c r="BA41" i="2"/>
  <c r="BB41" i="2"/>
  <c r="BM41" i="2"/>
  <c r="BN41" i="2"/>
  <c r="BS41" i="2"/>
  <c r="BT41" i="2"/>
  <c r="BY41" i="2"/>
  <c r="BZ41" i="2"/>
  <c r="AO42" i="2"/>
  <c r="AP42" i="2"/>
  <c r="AU42" i="2"/>
  <c r="AV42" i="2"/>
  <c r="BM42" i="2"/>
  <c r="BN42" i="2"/>
  <c r="BS42" i="2"/>
  <c r="BT42" i="2"/>
  <c r="AO43" i="2"/>
  <c r="AP43" i="2"/>
  <c r="AU43" i="2"/>
  <c r="AV43" i="2"/>
  <c r="BA43" i="2"/>
  <c r="BB43" i="2"/>
  <c r="BM43" i="2"/>
  <c r="BN43" i="2"/>
  <c r="BS43" i="2"/>
  <c r="BT43" i="2"/>
  <c r="BY43" i="2"/>
  <c r="BZ43" i="2"/>
  <c r="AO45" i="2"/>
  <c r="AP45" i="2"/>
  <c r="AU45" i="2"/>
  <c r="AV45" i="2"/>
  <c r="BA45" i="2"/>
  <c r="BB45" i="2"/>
  <c r="BM45" i="2"/>
  <c r="BN45" i="2"/>
  <c r="BS45" i="2"/>
  <c r="BT45" i="2"/>
  <c r="BY45" i="2"/>
  <c r="BZ45" i="2"/>
  <c r="BA46" i="2"/>
  <c r="BB46" i="2"/>
  <c r="BY46" i="2"/>
  <c r="CK46" i="2" s="1"/>
  <c r="CL46" i="2" s="1"/>
  <c r="BZ46" i="2"/>
  <c r="AU49" i="2"/>
  <c r="AV49" i="2"/>
  <c r="BS49" i="2"/>
  <c r="CK49" i="2" s="1"/>
  <c r="CL49" i="2" s="1"/>
  <c r="BT49" i="2"/>
  <c r="AN50" i="2"/>
  <c r="AP50" i="2"/>
  <c r="AV50" i="2"/>
  <c r="BN50" i="2"/>
  <c r="BT50" i="2"/>
  <c r="CK50" i="2"/>
  <c r="CL50" i="2" s="1"/>
  <c r="AN51" i="2"/>
  <c r="AP51" i="2"/>
  <c r="AU51" i="2"/>
  <c r="AV51" i="2"/>
  <c r="BN51" i="2"/>
  <c r="BS51" i="2"/>
  <c r="CK51" i="2" s="1"/>
  <c r="CL51" i="2" s="1"/>
  <c r="BT51" i="2"/>
  <c r="AP52" i="2"/>
  <c r="AV52" i="2"/>
  <c r="BB52" i="2"/>
  <c r="BN52" i="2"/>
  <c r="BT52" i="2"/>
  <c r="BZ52" i="2"/>
  <c r="CK52" i="2"/>
  <c r="CL52" i="2"/>
  <c r="AP53" i="2"/>
  <c r="AU53" i="2"/>
  <c r="AV53" i="2"/>
  <c r="BN53" i="2"/>
  <c r="BS53" i="2"/>
  <c r="CK53" i="2" s="1"/>
  <c r="CL53" i="2" s="1"/>
  <c r="BT53" i="2"/>
  <c r="AU54" i="2"/>
  <c r="AV54" i="2"/>
  <c r="BS54" i="2"/>
  <c r="CK54" i="2" s="1"/>
  <c r="CL54" i="2" s="1"/>
  <c r="BT54" i="2"/>
  <c r="AO55" i="2"/>
  <c r="AP55" i="2"/>
  <c r="AU55" i="2"/>
  <c r="AV55" i="2"/>
  <c r="BA55" i="2"/>
  <c r="BB55" i="2"/>
  <c r="BM55" i="2"/>
  <c r="BN55" i="2"/>
  <c r="BS55" i="2"/>
  <c r="BT55" i="2"/>
  <c r="BY55" i="2"/>
  <c r="BZ55" i="2"/>
  <c r="AO56" i="2"/>
  <c r="AP56" i="2"/>
  <c r="AU56" i="2"/>
  <c r="AV56" i="2"/>
  <c r="BA56" i="2"/>
  <c r="BB56" i="2"/>
  <c r="BM56" i="2"/>
  <c r="BN56" i="2"/>
  <c r="BS56" i="2"/>
  <c r="BT56" i="2"/>
  <c r="BY56" i="2"/>
  <c r="BZ56" i="2"/>
  <c r="AO57" i="2"/>
  <c r="AP57" i="2"/>
  <c r="AU57" i="2"/>
  <c r="AV57" i="2"/>
  <c r="BA57" i="2"/>
  <c r="BB57" i="2"/>
  <c r="BM57" i="2"/>
  <c r="BN57" i="2"/>
  <c r="BS57" i="2"/>
  <c r="CL57" i="2" s="1"/>
  <c r="BT57" i="2"/>
  <c r="BY57" i="2"/>
  <c r="BZ57" i="2"/>
  <c r="AO58" i="2"/>
  <c r="AP58" i="2"/>
  <c r="AU58" i="2"/>
  <c r="AV58" i="2"/>
  <c r="BA58" i="2"/>
  <c r="BB58" i="2"/>
  <c r="BM58" i="2"/>
  <c r="BN58" i="2"/>
  <c r="BS58" i="2"/>
  <c r="BT58" i="2"/>
  <c r="BY58" i="2"/>
  <c r="BZ58" i="2"/>
  <c r="AO60" i="2"/>
  <c r="AP60" i="2"/>
  <c r="AU60" i="2"/>
  <c r="AV60" i="2"/>
  <c r="BA60" i="2"/>
  <c r="BB60" i="2"/>
  <c r="BN60" i="2"/>
  <c r="BT60" i="2"/>
  <c r="BZ60" i="2"/>
  <c r="CK60" i="2"/>
  <c r="CL60" i="2" s="1"/>
  <c r="AO61" i="2"/>
  <c r="AP61" i="2"/>
  <c r="AU61" i="2"/>
  <c r="AV61" i="2"/>
  <c r="BA61" i="2"/>
  <c r="BB61" i="2"/>
  <c r="BM61" i="2"/>
  <c r="BN61" i="2"/>
  <c r="BS61" i="2"/>
  <c r="CL61" i="2" s="1"/>
  <c r="BT61" i="2"/>
  <c r="BY61" i="2"/>
  <c r="BZ61" i="2"/>
  <c r="AO62" i="2"/>
  <c r="AP62" i="2"/>
  <c r="AU62" i="2"/>
  <c r="AV62" i="2"/>
  <c r="BA62" i="2"/>
  <c r="BB62" i="2"/>
  <c r="BM62" i="2"/>
  <c r="BN62" i="2"/>
  <c r="BS62" i="2"/>
  <c r="BT62" i="2"/>
  <c r="BY62" i="2"/>
  <c r="BZ62" i="2"/>
  <c r="AU63" i="2"/>
  <c r="AV63" i="2"/>
  <c r="BS63" i="2"/>
  <c r="CK63" i="2" s="1"/>
  <c r="BT63" i="2"/>
  <c r="AO64" i="2"/>
  <c r="AP64" i="2"/>
  <c r="AU64" i="2"/>
  <c r="AV64" i="2"/>
  <c r="BA64" i="2"/>
  <c r="BB64" i="2"/>
  <c r="BM64" i="2"/>
  <c r="BN64" i="2"/>
  <c r="BS64" i="2"/>
  <c r="BT64" i="2"/>
  <c r="BY64" i="2"/>
  <c r="BZ64" i="2"/>
  <c r="AO65" i="2"/>
  <c r="AP65" i="2"/>
  <c r="AU65" i="2"/>
  <c r="AV65" i="2"/>
  <c r="BA65" i="2"/>
  <c r="BB65" i="2"/>
  <c r="BM65" i="2"/>
  <c r="BN65" i="2"/>
  <c r="BS65" i="2"/>
  <c r="BT65" i="2"/>
  <c r="BY65" i="2"/>
  <c r="BZ65" i="2"/>
  <c r="AO66" i="2"/>
  <c r="AP66" i="2"/>
  <c r="AU66" i="2"/>
  <c r="AV66" i="2"/>
  <c r="BA66" i="2"/>
  <c r="BB66" i="2"/>
  <c r="BM66" i="2"/>
  <c r="BN66" i="2"/>
  <c r="BS66" i="2"/>
  <c r="BT66" i="2"/>
  <c r="BY66" i="2"/>
  <c r="BZ66" i="2"/>
  <c r="AO67" i="2"/>
  <c r="AP67" i="2"/>
  <c r="AU67" i="2"/>
  <c r="AV67" i="2"/>
  <c r="BA67" i="2"/>
  <c r="BB67" i="2"/>
  <c r="BM67" i="2"/>
  <c r="BN67" i="2"/>
  <c r="BS67" i="2"/>
  <c r="BT67" i="2"/>
  <c r="BY67" i="2"/>
  <c r="BZ67" i="2"/>
  <c r="AN68" i="2"/>
  <c r="AU68" i="2"/>
  <c r="AV68" i="2"/>
  <c r="BS68" i="2"/>
  <c r="CK68" i="2" s="1"/>
  <c r="CL68" i="2" s="1"/>
  <c r="BT68" i="2"/>
  <c r="AN69" i="2"/>
  <c r="AO69" i="2"/>
  <c r="BA69" i="2"/>
  <c r="BB69" i="2"/>
  <c r="BM69" i="2"/>
  <c r="BN69" i="2"/>
  <c r="BS69" i="2"/>
  <c r="BT69" i="2"/>
  <c r="BY69" i="2"/>
  <c r="BZ69" i="2"/>
  <c r="AW70" i="2"/>
  <c r="AX70" i="2"/>
  <c r="AY70" i="2"/>
  <c r="AV70" i="2" s="1"/>
  <c r="AZ70" i="2"/>
  <c r="BU70" i="2"/>
  <c r="BV70" i="2"/>
  <c r="BW70" i="2"/>
  <c r="BX70" i="2"/>
  <c r="CK70" i="2"/>
  <c r="CL70" i="2" s="1"/>
  <c r="BT71" i="2"/>
  <c r="CK71" i="2"/>
  <c r="CL71" i="2"/>
  <c r="BT20" i="2" l="1"/>
  <c r="CK27" i="2"/>
  <c r="CL27" i="2" s="1"/>
  <c r="CK23" i="2"/>
  <c r="CL23" i="2" s="1"/>
  <c r="BT24" i="2"/>
  <c r="CK39" i="2"/>
  <c r="CL39" i="2" s="1"/>
  <c r="AP18" i="2"/>
  <c r="AP17" i="2"/>
  <c r="BN34" i="2"/>
  <c r="CK45" i="2"/>
  <c r="CL45" i="2" s="1"/>
  <c r="CK67" i="2"/>
  <c r="CL67" i="2" s="1"/>
  <c r="CK58" i="2"/>
  <c r="CL58" i="2" s="1"/>
  <c r="CK56" i="2"/>
  <c r="CL56" i="2" s="1"/>
  <c r="AV28" i="2"/>
  <c r="CK21" i="2"/>
  <c r="CL21" i="2" s="1"/>
  <c r="BT10" i="2"/>
  <c r="BT26" i="2"/>
  <c r="CK26" i="2"/>
  <c r="CL26" i="2" s="1"/>
  <c r="AV24" i="2"/>
  <c r="AP20" i="2"/>
  <c r="CK12" i="2"/>
  <c r="CL12" i="2" s="1"/>
  <c r="BT70" i="2"/>
  <c r="AV34" i="2"/>
  <c r="CK14" i="2"/>
  <c r="CL14" i="2" s="1"/>
  <c r="BT34" i="2"/>
  <c r="CK43" i="2"/>
  <c r="CL43" i="2" s="1"/>
  <c r="CK37" i="2"/>
  <c r="CL37" i="2" s="1"/>
  <c r="CK32" i="2"/>
  <c r="CL32" i="2" s="1"/>
  <c r="AV20" i="2"/>
  <c r="CK13" i="2"/>
  <c r="CL13" i="2" s="1"/>
  <c r="CK10" i="2"/>
  <c r="BN40" i="2"/>
  <c r="AP19" i="2"/>
  <c r="BT18" i="2"/>
  <c r="CK57" i="2"/>
  <c r="CK40" i="2"/>
  <c r="BT33" i="2"/>
  <c r="BT32" i="2"/>
  <c r="BN26" i="2"/>
  <c r="BN19" i="2"/>
  <c r="AP10" i="2"/>
  <c r="CK64" i="2"/>
  <c r="CL64" i="2" s="1"/>
  <c r="AV17" i="2"/>
  <c r="BT40" i="2"/>
  <c r="AP38" i="2"/>
  <c r="CK34" i="2"/>
  <c r="CL34" i="2" s="1"/>
  <c r="AP34" i="2"/>
  <c r="BN25" i="2"/>
  <c r="BN20" i="2"/>
  <c r="AV18" i="2"/>
  <c r="BN17" i="2"/>
  <c r="AV10" i="2"/>
  <c r="CK62" i="2"/>
  <c r="CL62" i="2" s="1"/>
  <c r="CK69" i="2"/>
  <c r="CL69" i="2" s="1"/>
  <c r="CK65" i="2"/>
  <c r="CL65" i="2" s="1"/>
  <c r="CK42" i="2"/>
  <c r="CL42" i="2" s="1"/>
  <c r="CK41" i="2"/>
  <c r="CL41" i="2" s="1"/>
  <c r="BT36" i="2"/>
  <c r="CK25" i="2"/>
  <c r="CL25" i="2" s="1"/>
  <c r="CK22" i="2"/>
  <c r="CL22" i="2" s="1"/>
  <c r="CK20" i="2"/>
  <c r="CL20" i="2" s="1"/>
  <c r="BN10" i="2"/>
  <c r="AV38" i="2"/>
  <c r="CK28" i="2"/>
  <c r="CL28" i="2" s="1"/>
  <c r="BT27" i="2"/>
  <c r="BN18" i="2"/>
  <c r="BT17" i="2"/>
  <c r="CL15" i="2"/>
  <c r="BT38" i="2"/>
  <c r="CK17" i="2"/>
  <c r="CL17" i="2" s="1"/>
  <c r="CK66" i="2"/>
  <c r="CL66" i="2" s="1"/>
  <c r="CK61" i="2"/>
  <c r="CK55" i="2"/>
  <c r="CL55" i="2" s="1"/>
  <c r="CK38" i="2"/>
  <c r="CL38" i="2" s="1"/>
  <c r="BN38" i="2"/>
  <c r="BT25" i="2"/>
  <c r="CK16" i="2"/>
  <c r="CL16" i="2" s="1"/>
  <c r="CK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tc={EF5A6BB7-7186-411E-AD5E-DA050D9A9629}</author>
  </authors>
  <commentList>
    <comment ref="AB4" authorId="0" shapeId="0" xr:uid="{1D21C2AD-BBBA-4973-AF7B-0286DD0B1749}">
      <text>
        <r>
          <rPr>
            <b/>
            <sz val="9"/>
            <color indexed="81"/>
            <rFont val="Tahoma"/>
            <family val="2"/>
          </rPr>
          <t>pamela:</t>
        </r>
        <r>
          <rPr>
            <sz val="9"/>
            <color indexed="81"/>
            <rFont val="Tahoma"/>
            <family val="2"/>
          </rPr>
          <t xml:space="preserve">
mes de la vigencia programada para ejecutar la actividad</t>
        </r>
      </text>
    </comment>
    <comment ref="BM60" authorId="1" shapeId="0" xr:uid="{EF5A6BB7-7186-411E-AD5E-DA050D9A9629}">
      <text>
        <t>[Comentario encadenado]
Su versión de Excel le permite leer este comentario encadenado; sin embargo, las ediciones que se apliquen se quitarán si el archivo se abre en una versión más reciente de Excel. Más información: https://go.microsoft.com/fwlink/?linkid=870924
Comentario:
    Actualizar el documento con la firma del responsable del proceso en Dirección ya sea Luis Saavedra o el señor Director (Ojo Ana María Gonzalez, sabe de este tema)</t>
      </text>
    </comment>
  </commentList>
</comments>
</file>

<file path=xl/sharedStrings.xml><?xml version="1.0" encoding="utf-8"?>
<sst xmlns="http://schemas.openxmlformats.org/spreadsheetml/2006/main" count="1161" uniqueCount="463">
  <si>
    <t>Se modifica ajustando el instructivo de la casilla de observaciones y adicional se eliminan las casillas de acumulado y avance del PAI y del PEI para la primera línea de defensa ya que es un aspecto a diligenciar solo por la segunda línea de defensa.</t>
  </si>
  <si>
    <t>Se modifica incluyéndole la casilla de peso de la estrategia frente al objetivo estratégico institucional, adicional se ajustaron los comentarios de las casillas para fácil diligenciamiento</t>
  </si>
  <si>
    <t>Se modifica el formato con el fin de ajustarlo conforme a los Lineamientos establecidos en los manuales de Indicadores y Planes</t>
  </si>
  <si>
    <t>23/01/2019</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</si>
  <si>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</si>
  <si>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31/01/2019</t>
  </si>
  <si>
    <t xml:space="preserve">Se modifica ya que se debe adoptar al nuevo Plan de Desarrollo nacional, para integrar todos los planes y unificar informes </t>
  </si>
  <si>
    <t>VERSIÓN FINAL</t>
  </si>
  <si>
    <t>FECHA</t>
  </si>
  <si>
    <t>DESCRIPCIÓN DE LA CREACIÓN O CAMBIO DEL DOCUMENTO</t>
  </si>
  <si>
    <t>VERSIÓN INICIAL</t>
  </si>
  <si>
    <t xml:space="preserve"> CONTROL DE CAMBIOS</t>
  </si>
  <si>
    <r>
      <rPr>
        <b/>
        <sz val="10"/>
        <color theme="1"/>
        <rFont val="Arial"/>
        <family val="2"/>
      </rPr>
      <t xml:space="preserve">Página </t>
    </r>
    <r>
      <rPr>
        <sz val="10"/>
        <color theme="1"/>
        <rFont val="Arial"/>
        <family val="2"/>
      </rPr>
      <t>1 de 1</t>
    </r>
  </si>
  <si>
    <t>Oficialización:  26/03/2021</t>
  </si>
  <si>
    <t>DEP-FT-36/V14</t>
  </si>
  <si>
    <t xml:space="preserve">ARCHÍVESE EN: </t>
  </si>
  <si>
    <t>Anual</t>
  </si>
  <si>
    <t>N/A</t>
  </si>
  <si>
    <t>NA</t>
  </si>
  <si>
    <t>Gestión Contractual</t>
  </si>
  <si>
    <t>Producto</t>
  </si>
  <si>
    <t xml:space="preserve">Nº de procesos de contratación aperturados por la UNP </t>
  </si>
  <si>
    <t>Número</t>
  </si>
  <si>
    <t>Número de procesos de contratación de empresas para el fortalecimiento al Cuerpo de Seguridad y protección.</t>
  </si>
  <si>
    <t xml:space="preserve">Realizar la contratación de empresas para el fortalecimiento al cuerpo de seguridad y protección,  del programa de protección especializada de seguridad y protección </t>
  </si>
  <si>
    <t>Fortalecimiento al cuerpo de seguridad y protección del programa de protección especializada de seguridad y protección, mediante la contratación de empresas contratistas que garantice la operación.</t>
  </si>
  <si>
    <t>Procesos Internos</t>
  </si>
  <si>
    <t>5.17.10</t>
  </si>
  <si>
    <t>((Nº de indicadores eficaces)/(Nº total de indicadores de la estrategia))*100</t>
  </si>
  <si>
    <t>17. Prever las necesidades de recurso humano y de funcionamiento</t>
  </si>
  <si>
    <t>Semestral</t>
  </si>
  <si>
    <t>Gestión del Servicio al Ciudadano</t>
  </si>
  <si>
    <t>Eficacia</t>
  </si>
  <si>
    <t>((Nº de ferias acércate con participación del Grupo de Servicio al Ciudadano de la UNP)/(Nº de ferias acércate viabilizadas por la UNP))*100</t>
  </si>
  <si>
    <t>Porcentaje</t>
  </si>
  <si>
    <t>Porcentaje de participación en las Ferias Acércate del Departamento Administrativo de la Función Pública.</t>
  </si>
  <si>
    <t>Listado de personas o beneficiarios atendidos en las ferias</t>
  </si>
  <si>
    <t>Participar en las ferias acércate programadas por el Departamento Administrativo de la Función Pública</t>
  </si>
  <si>
    <t>Usuarios/Beneficiarios</t>
  </si>
  <si>
    <t>5.16.11</t>
  </si>
  <si>
    <t>16. Mejorar la percepción de calidad del servicio, en virtud de la prestación eficiente y efectiva del Programa de Prevención y Protección individual y colectiva, en cumplimiento de la misionalidad de la entidad.</t>
  </si>
  <si>
    <t>Trimestral</t>
  </si>
  <si>
    <t>Gestión Evaluación Independiente</t>
  </si>
  <si>
    <t>Eficiencia</t>
  </si>
  <si>
    <t>((Nº. de actividades ejecutadas del Programa Anual de Auditoría en el periodo)/ (Nº. Total de actividades programadas en el Programa Anual de Auditoría)) *100</t>
  </si>
  <si>
    <t>Porcentaje de avance del cumplimiento de las actividades en el desarrollo de los roles que competen a la oficina de control interno.</t>
  </si>
  <si>
    <t>Programa Anual de Auditorias Ejecutado de la Vigencia</t>
  </si>
  <si>
    <t>Evaluación Independiente del Sistema de Control Interno</t>
  </si>
  <si>
    <t>5.15.17</t>
  </si>
  <si>
    <t>Gestión Tecnológica</t>
  </si>
  <si>
    <t>((Nivel de avance del despliegue de la política de gobierno digital)/(Nivel de cumplimento de las estrategias de la política de gobierno digital))*100</t>
  </si>
  <si>
    <t>Porcentaje de cumplimiento del nivel de avance del despliegue de la política de gobierno digital Min Tic</t>
  </si>
  <si>
    <t>Realizar el despliegue de la política de gobierno digital Min Tic</t>
  </si>
  <si>
    <t>Continuar con el despliegue de la política de gobierno digital para la UNP desde los parámetros del Ministerio del Interior</t>
  </si>
  <si>
    <t>5.15.16</t>
  </si>
  <si>
    <t xml:space="preserve"> Plan Anual de Vacantes</t>
  </si>
  <si>
    <t>Gestión Estratégica de Talento Humano</t>
  </si>
  <si>
    <t>((Nº de procesos favorables)/(Nº Total de vacantes))*100</t>
  </si>
  <si>
    <t>Porcentaje de cumplimiento de las actividades del Plan Anual de Vacantes.</t>
  </si>
  <si>
    <t>Avance de la implementación de las actividades programadas en el Plan Anual de Vacantes.</t>
  </si>
  <si>
    <t>Realizar el seguimiento al cumplimiento del Plan Anual de Vacantes</t>
  </si>
  <si>
    <t>5.15.4</t>
  </si>
  <si>
    <t>Plan de Trabajo Anual en Seguridad y Salud en el Trabajo</t>
  </si>
  <si>
    <t>((Nº de actividades ejecutadas en el periodo) / (Nº de actividades programadas en el periodo))*100</t>
  </si>
  <si>
    <t>Porcentaje de cumplimiento de las actividades del Plan Anual de Seguridad y Salud en el Trabajo.</t>
  </si>
  <si>
    <t>Avance de la implementación de las actividades programadas en el Plan Anual de Seguridad y Salud en el Trabajo.</t>
  </si>
  <si>
    <t>Realizar el seguimiento al cumplimiento del Plan Anual en Seguridad y Saludo en el Trabajo</t>
  </si>
  <si>
    <t>Plan de Incentivos Institucionales</t>
  </si>
  <si>
    <t>Porcentaje de cumplimiento de las actividades del Plan de Incentivos Institucionales.</t>
  </si>
  <si>
    <t>Avance de la implementación de las actividades programadas en el Plan de Bienestar e Incentivos</t>
  </si>
  <si>
    <t>Realizar el seguimiento al cumplimiento del Plan de Incentivos Institucionales</t>
  </si>
  <si>
    <t>Plan Institucional de Capacitación</t>
  </si>
  <si>
    <t>((N.º de actividades ejecutadas en el PIC) / (N.º de actividades programadas en el PIC)) *100</t>
  </si>
  <si>
    <t>Porcentaje de cumplimiento de las actividades del Plan Institucional de Capacitación.</t>
  </si>
  <si>
    <t>Avance de la implementación de las actividades programadas en el Plan Institucional de Capacitación</t>
  </si>
  <si>
    <t>Realizar el seguimiento al cumplimiento del Plan Institucional de Capacitación</t>
  </si>
  <si>
    <t>Plan Estratégico de Talento Humano</t>
  </si>
  <si>
    <t>((Nº de actividades ejecutadas en el semestre) / (Nº de actividades programadas en el semestre))*100</t>
  </si>
  <si>
    <t>Porcentaje de cumplimiento de las actividades del Plan Estratégico del Talento Humano</t>
  </si>
  <si>
    <t>Avance de la implementación de las actividades programadas en el Plan Estratégico del Talento Humano.</t>
  </si>
  <si>
    <t>Realizar el seguimiento al cumplimiento del Plan Estratégico del Talento Humano</t>
  </si>
  <si>
    <t>Plan de Previsión de Recursos Humanos</t>
  </si>
  <si>
    <t>((Nº de procesos gestionados para cubrir la vacante) /(Nº de procesos solicitados (Hojas de vida)))*100</t>
  </si>
  <si>
    <t>Porcentaje de cumplimiento de las actividades del Plan de Previsión de Recursos Humanos.</t>
  </si>
  <si>
    <t>Avance de la implementación de las actividades programadas en el Plan de Previsión de Recursos Humanos.</t>
  </si>
  <si>
    <t>Realizar el seguimiento al cumplimiento del Plan de Previsión de Recursos Humanos</t>
  </si>
  <si>
    <t>Plan Anual de Adquisiciones</t>
  </si>
  <si>
    <t>((Nº de actualizaciones realizadas al Plan Anual de Adquisiciones en el periodo debidamente justificadas) / (Nº de actualizaciones realizadas en el periodo))*100</t>
  </si>
  <si>
    <t>Porcentaje  de Actualizaciones realizadas al Plan Anual de Adquisiciones</t>
  </si>
  <si>
    <t>Actualizaciones realizadas al Plan Anual de Adquisiciones</t>
  </si>
  <si>
    <t>Realizar el seguimiento al cumplimiento del Plan Anual de Adquisiciones</t>
  </si>
  <si>
    <t>5.15.10</t>
  </si>
  <si>
    <t>Direccionamiento Estratégico y Planeación</t>
  </si>
  <si>
    <t>Documento con el informe de seguimiento al Plan de Participación ciudadana publicado en la página web de la entidad</t>
  </si>
  <si>
    <t>Informe de seguimiento al Plan de Participación Ciudadana</t>
  </si>
  <si>
    <t>Realizar el seguimiento al Plan de Participación Ciudadana (OAPI)</t>
  </si>
  <si>
    <t>5.15.1</t>
  </si>
  <si>
    <t>Plan Anticorrupción y de Atención al Ciudadano</t>
  </si>
  <si>
    <t>Documento con el Informe de seguimiento al Plan Anticorrupción y Atención al Ciudadano</t>
  </si>
  <si>
    <t>Informe de seguimiento al Plan Anticorrupción y Atención al Ciudadano</t>
  </si>
  <si>
    <t>Realizar seguimiento al cumplimiento del Plan Anticorrupción y Atención al Ciudadano (OAPI)</t>
  </si>
  <si>
    <t>Gestión Administración de Bienes y Servicios</t>
  </si>
  <si>
    <t>((Nº de mantenimientos de armas de fuego ejecutados en el periodo) / (Total de mantenimientos de armas de fuego programados en el periodo))*100</t>
  </si>
  <si>
    <t>Porcentaje de Mantenimientos de Armas de Fuego ejecutadas por la entidad</t>
  </si>
  <si>
    <t>Mantenimientos de Armas de Fuego ejecutadas por la entidad</t>
  </si>
  <si>
    <t xml:space="preserve">Realizar el seguimiento al Plan Anual del Mantenimiento de Armas de Fuego </t>
  </si>
  <si>
    <t>5.15.12</t>
  </si>
  <si>
    <t>((Nº de actividades ejecutadas del Plan Operativo Planes SGA en el periodo) / (Nº de actividades programadas del Plan Operativo Planes SGA en el periodo))*100</t>
  </si>
  <si>
    <t>Porcentaje de Implementación Plan Estratégico de Gestión Ambiental y Plan de Gestión Integral de Residuos Peligrosos</t>
  </si>
  <si>
    <t>Implementación Plan Estratégico de Gestión Ambiental y Plan de Gestión Integral de Residuos Peligrosos</t>
  </si>
  <si>
    <t>Realizar seguimiento a los Planes del Sistema de Gestión Ambiental de la UNP</t>
  </si>
  <si>
    <t>((Sumatoria de mantenimientos preventivos correctivos y diagnosticados ejecutados en el periodo ) / (Sumatoria de mantenimientos preventivos y diagnosticados agendados, y correctivos solicitados en el periodo))*100</t>
  </si>
  <si>
    <t xml:space="preserve">Porcentaje de  Mantenimientos de Infraestructura Física Ejecutados en el periodo </t>
  </si>
  <si>
    <t xml:space="preserve">Mantenimientos de Infraestructura Física Ejecutados </t>
  </si>
  <si>
    <t>Realizar el seguimiento al Plan Anual de Mantenimiento de Infraestructura Física</t>
  </si>
  <si>
    <t>((N° de Intervenciones de Mantenimiento Preventivo para Revisión Técnico-Mecánica de Vehículos Propios a cargo de la UNP ejecutados) / (Total de Intervenciones de Mantenimiento Preventivo para Revisión Técnico- Mecánica de Vehículos Propios a cargo de la UNP Programadas)) * 100</t>
  </si>
  <si>
    <t>Porcentaje de Mantenimientos de Vehículos Propios y/o a cargo de la entidad realizados en el periodo</t>
  </si>
  <si>
    <t>Mantenimientos de Vehículos Propios y/o a cargo de la entidad Ejecutados</t>
  </si>
  <si>
    <t>Realizar el seguimiento al Plan Anual de Mantenimiento de Vehículos Propios y/o a cargo de la UNP</t>
  </si>
  <si>
    <t>((Cantidad de actividades del Plan de mantenimiento de la Infraesctructura Tecnológica ejecutado) / (Cantidad de actividades del Plan de mantenimiento de la Infraestructura Tecnológica programado x periodo))* 100</t>
  </si>
  <si>
    <t xml:space="preserve">Porcentaje de Avance de actividades del Plan de Mantenimiento de la infraestructura tecnológica </t>
  </si>
  <si>
    <t>Informe de seguimiento al Plan de Mantenimiento de la Infraestructura Tecnológica</t>
  </si>
  <si>
    <t>Realizar el seguimiento al Plan de Mantenimiento de la Infraestructura Tecnológica</t>
  </si>
  <si>
    <t>Plan Estratégico de Tecnologías de la Información y las Comunicaciones PETI</t>
  </si>
  <si>
    <t>((Actividades ejecutadas en el Plan Estratégico de Tecnología de la Información y las Comunicaciones PETI) / (actividades programadas en el Plan Estratégico de Tecnología de la Información y las Comunicaciones PETI))* 100%</t>
  </si>
  <si>
    <t>Porcentaje de  Avance de actividades del  Plan Estratégico de Tecnologia de la Información y las Comunicaciones PETI</t>
  </si>
  <si>
    <t>Informe de seguimiento al Plan Estratégico de Tecnologia de la Información y las Comunicaciones PETI</t>
  </si>
  <si>
    <t>Realizar el seguimiento al cumplimiento del Plan Estratégico de Tecnologia de la Informacion y las Comunicaciones PETI</t>
  </si>
  <si>
    <t>2019011000116 MODERNIZACION DEL SISTEMA DE GESTION DOCUMENTAL  EN LA UNP A  NIVEL NACIONAL</t>
  </si>
  <si>
    <t>Plan Institucional de Archivos de la Entidad PINAR</t>
  </si>
  <si>
    <t>Gestión Documental</t>
  </si>
  <si>
    <t>Nº de informes de avance y/o seguimientos a la ejecución del PINAR 2023</t>
  </si>
  <si>
    <t>Nº de informes de avances y/o seguimientos a la ejecución del PINAR 2023</t>
  </si>
  <si>
    <t>Informe de Seguimiento al PINAR 2023</t>
  </si>
  <si>
    <t>Realizar seguimiento a la ejecución del PINAR 2023</t>
  </si>
  <si>
    <t>5.15.15</t>
  </si>
  <si>
    <t>Plan de Seguridad y Privacidad de la Información</t>
  </si>
  <si>
    <t>((Nº de actividades cumplidas del Plan de Seguridad y Privacidad de la Información) / (Nº de actividades del Plan de Seguridad y Privacidad de la Información programadas)) * 100</t>
  </si>
  <si>
    <t>Porcentaje de  Avance de actividades del Plan de Seguridad y Privacidad de la Información</t>
  </si>
  <si>
    <t>Informe de seguimiento al Plan de Seguridad y Privacidad de la Información</t>
  </si>
  <si>
    <t>Realizar el seguimiento al cumplimiento al Plan de Seguridad y Privacidad de la Información</t>
  </si>
  <si>
    <t>Plan de Tratamiento de Riesgos de Seguridad y Privacidad de la Información</t>
  </si>
  <si>
    <t>((Nº de actividades cumplidas en el Plan de Tratamiento de Riesgo de Seguridad y Privacidad de la Información) / (Nº de actividades programadas en el Plan de Tratamiento de Riesgo de Seguridad y Privacidad de la Información)) * 100</t>
  </si>
  <si>
    <t>Porcentaje de Avance de las actividades del  Plan de Tratamiento de Riesgo de Seguridad y Privacidad de la Información</t>
  </si>
  <si>
    <t>Informe de seguimiento al Plan de Tratamiento de Riesgo de Seguridad y Privacidad de la Información</t>
  </si>
  <si>
    <t>Realizar el seguimiento al cumplimiento del Plan de Tratamiento de Riesgo de Seguridad y Privacidad de la Información</t>
  </si>
  <si>
    <t>Gestión Jurídica</t>
  </si>
  <si>
    <t>((Número de capacitaciones realizadas)/(Número de capacitaciones programadas)) * 100</t>
  </si>
  <si>
    <t>Porcentaje de capacitaciones realizadas a los jefes de Oficina, Coordinadores y supervisores de contratos de prestación de servicios y apoyo a la gestión</t>
  </si>
  <si>
    <t>Capacitaciones realizadas a los jefes de Oficina, Coordinadores y supervisores de contratos de prestación de servicios y apoyo a la gestión</t>
  </si>
  <si>
    <t>Realizar  capacitaciones a los jefes de Oficina, Coordinadores y supervisores de contratos de prestación de servicios y apoyo a la gestión , que tendrán como objeto: (a) explicar los lineamientos que se adopten al interior de la entidad (b) fijar pautas y (c) aclarar los cuestionamientos que surjan al respecto.</t>
  </si>
  <si>
    <t>5.15.14</t>
  </si>
  <si>
    <t>((Nº de recomendaciones furag atendidas política de seguridad digital )/(Nº de recomendaciones furag programadas sobre política de seguridad digital))* 100</t>
  </si>
  <si>
    <t>Porcentaje de Recomendaciones del FURAG en referencia a la Política de Seguridad Digital atendidas por la UNP</t>
  </si>
  <si>
    <t>Informe de Avance de la implementación de las recomendaciones del FURAG de la Política de Seguridad Digital</t>
  </si>
  <si>
    <t>Medir el avance de la Política de Seguridad Digital</t>
  </si>
  <si>
    <t>((Nº de recomendaciones FURAG atendidas para la Política de Gobierno digital )/(Nº de recomendaciones FURAG programadas sobre la Política de Gobierno Digital ))* 100</t>
  </si>
  <si>
    <t>Porcentaje de Recomendaciones del FURAG en referencia a la Política de Gobierno Digital atendidas por la UNP</t>
  </si>
  <si>
    <t>Informe  de Avance de la implementación de las recomendaciones del FURAG de la Política de Gobierno Digital</t>
  </si>
  <si>
    <t>Medir el avance de la Política de Gobierno Digital</t>
  </si>
  <si>
    <t xml:space="preserve">Direccionamiento Estratégico y Planeación </t>
  </si>
  <si>
    <t>Nº de Documento del Contexto Organizacional Actualizado de la UNP</t>
  </si>
  <si>
    <t>Documento del Contexto Organizacional Actualizado de la UNP</t>
  </si>
  <si>
    <t>Contexto Organizacional Actualizado de la UNP</t>
  </si>
  <si>
    <t>Actualizar el Contexto Organizacional de la entidad de acuerdo a sus necesidades (OAPI)</t>
  </si>
  <si>
    <t>(N° de Revisiones Técnico-Mecánicas de Vehículos Propios a cargo de la UNP ejecutados en el periodo / # Revisiones Técnico-Mecánicas de Vehículos Propios a cargo de la UNP Programadas en el periodo) * 100</t>
  </si>
  <si>
    <t>Porcentaje de técnico mecánicas realizadas en el periodo.</t>
  </si>
  <si>
    <t>Informe Seguimiento al Plan de Mantenimiento de Vehiculos propios y solicitudes de revisiones técnico mecánicas emitidas por el responsable del vehículo.</t>
  </si>
  <si>
    <t>(Porcentaje ejecutado de las actividades del Proyecto Modernización de un Sistema de Gestión Documental en la UNP a nivel nacional )/(Porcentaje total de las actividades programadas del Proyecto Modernización de un Sistema de Gestión Documental en la UNP a nivel nacional))*100</t>
  </si>
  <si>
    <t>Porcentaje de avance de las actividades a cargo del Proceso Gestión Documental del Proyecto Modernización de un Sistema de Gestión Documental en la UNP a nivel nacional para la vigencia 2023</t>
  </si>
  <si>
    <t>Actividades Ejecutadas del Proyecto Modernización de un Sistema de Gestión Documental en la UNP a nivel nacional para la vigencia 2023</t>
  </si>
  <si>
    <t>Ejecutar las actividades a cargo del Proceso Gestion Documental del Proyecto Modernización de un Sistema de Gestión Documental en la UNP a nivel nacional para la vigencia 2023</t>
  </si>
  <si>
    <t>15. Implementar el Modelo Integrado de Planeación y Gestión (MIPG)</t>
  </si>
  <si>
    <t>((Nº de procesos de contratación adelantados en el periodo / Nº de procesos de contratación proyectados en el periodo))*100</t>
  </si>
  <si>
    <t>Porcentaje  de Procesos de Contratación adelantados por la entidad</t>
  </si>
  <si>
    <t>Procesos de Contratación adelantados por la entidad</t>
  </si>
  <si>
    <t>Realizar el seguimiento al cumplimiento del Plan Anual de Adquisiciones desde los contratos adelantados por la entidad</t>
  </si>
  <si>
    <t>5.14.10</t>
  </si>
  <si>
    <t>14. Gestionar, administrar y ejecutar eficientemente los recursos financieros necesarios desde la programación, apropiación y ejecución para dar cumplimiento a las metas y obtener los resultados de desempeño institucional planificados.</t>
  </si>
  <si>
    <t>((Nº de actividades realizadas para el incremento del uso y apropiación de las herramientas tecnológicas de la UNP)/(Nº de actividades programadas para el incremento del uso y apropiación de las herramientas tecnológicas de la UNP))*100</t>
  </si>
  <si>
    <t>Porcentaje de actividades para el crecimiento de la usabilidad de las herramientas tecnológicas disponibles en la UNP</t>
  </si>
  <si>
    <t>Informe del grado de apropiación digital en la UNP</t>
  </si>
  <si>
    <t>Incrementar el grado de apropiación digital de los usuarios internos de la UNP en el Uso y Apropiación de las herramientas tecnológicas</t>
  </si>
  <si>
    <t>Aprendizaje y Desarrollo</t>
  </si>
  <si>
    <t>5.13.16</t>
  </si>
  <si>
    <t>Porcentaje de crecimiento usabilidad de las herramientas tecnológicas disponibles en la UNP</t>
  </si>
  <si>
    <t>13. Fortalecer herramientas tecnológicas, el acceso a la información y la apropiación de las tecnologías de la información.</t>
  </si>
  <si>
    <t>((Número de actos administrativos proyectados y entregados para firma de Dirección dentro de un plazo de 50 días desde la radicación y recepción del recurso de reposición en la oficina Asesora Jurídica)/(Número de recursos de reposición radicados y recibidos en la Oficina Asesora Jurídica))*100</t>
  </si>
  <si>
    <t>Porcentaje de actos administrativos proyectados y entregados para firma de Dirección dentro de un plazo de 50 días desde la radicación y recepción  del recurso de reposición en la oficina Asesora Jurídica.</t>
  </si>
  <si>
    <t>Reporte Consolidado de Actos Administrativos proyectados y entregados en Dirección para firma.</t>
  </si>
  <si>
    <t>Realizar la proyección de los actos administrativos para la entrega a la Dirección y firma dentro de los 50 días siguientes a la radicación y recepción del recurso de reposición en la Oficina Asesora Jurídica en referencia a las medidas de protección otorgadas por el CERREM y adoptadas por la UNP.</t>
  </si>
  <si>
    <t>5.12.14</t>
  </si>
  <si>
    <t>Nº de actos administrativos proyectados</t>
  </si>
  <si>
    <t>12. Disminuir el tiempo de respuesta de los recursos de reposición.</t>
  </si>
  <si>
    <t>Mensual</t>
  </si>
  <si>
    <t xml:space="preserve">Nº de informes de seguimiento a las PQRSD elevadas a la entidad </t>
  </si>
  <si>
    <t>Informes de Seguimiento a las PQRSD elevadas a la entidad</t>
  </si>
  <si>
    <t>Realizar seguimiento a las PQRSD elevadas a la entidad</t>
  </si>
  <si>
    <t>5.11.11</t>
  </si>
  <si>
    <t>Porcentaje de oportunidad en la respuesta a PQRSD</t>
  </si>
  <si>
    <t>11. Direccionar de manera efectiva y oportuna las solicitudes allegadas a la entidad.</t>
  </si>
  <si>
    <t>Gestión Integrada MIPG-SIG</t>
  </si>
  <si>
    <t>((Número de actividades cumplidas durante el período) / (Número de actividades programadas durante el período)) * 100</t>
  </si>
  <si>
    <t>Porcentaje de avance de las actividades del plan detallado de trabajo y de Fortalecimiento del Sistema de Gestión</t>
  </si>
  <si>
    <t>DEP-FT-11 Informe de seguimiento a planes 
DEP-FT-36 Formato plan de acción institucional</t>
  </si>
  <si>
    <t>Medir el cumplimiento de las estrategias definidas al Plan de acuerdo con el cronograma definido para este indicador</t>
  </si>
  <si>
    <t>5.10.5</t>
  </si>
  <si>
    <t>10. Fortalecer los procesos en la gestión y desempeño eficaz y eficiente de la entidad.</t>
  </si>
  <si>
    <t>Generar confianza y compromiso institucional.</t>
  </si>
  <si>
    <t>5. Fortalecer la entidad a través de la implementación de las políticas de desempeño institucional de MIPG y las mejores prácticas que generen valor público a nuestra población objeto y grupos de interés.</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</si>
  <si>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</si>
  <si>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Gestionar el conocimiento y los aprendizajes para crear valor público</t>
  </si>
  <si>
    <t>Innovación pública para un país moderno</t>
  </si>
  <si>
    <t>Pacto por la Ciencia, la tecnología y la innovación: Un sistema para construir el conocimiento de la Colombia del futuro.</t>
  </si>
  <si>
    <t>Gestión Evaluación del Riesgo</t>
  </si>
  <si>
    <t>((Nº de casos de colectivos étnicos presentados ante CERREM en el periodo)/(Nº de órdenes de trabajos activas de colectivos étnicos)) *100</t>
  </si>
  <si>
    <t>Porcentaje de comunidades étnicas con medidas de protección concertadas</t>
  </si>
  <si>
    <t xml:space="preserve">Concertaciones realizadas en el marco de la evaluación de riesgos colectivos con comunidades étnicas previa decisión del CERREM Colectivo. </t>
  </si>
  <si>
    <t xml:space="preserve">Desarrollar procesos de concertación en el marco de la evaluación de riesgos colectivos con comunidades étnicas previa decisión del CERREM Colectivo. </t>
  </si>
  <si>
    <t>4.9.6</t>
  </si>
  <si>
    <t>((Nº de Charlas de socialización realizadas a las mujeres de la población objeto del Decreto 1066 del 2015 y 1139 del 2021)/ (Nº de charlas solicitadas y viabilizadas por la UNP a las mujeres de la población objeto del Decreto 1066 del 2015 y 1139 del 2021))*100</t>
  </si>
  <si>
    <t>Número de Charlas de socialización realizadas a las mujeres de la población objeto del Decreto 1066 del 2015 y 1139 del 2021</t>
  </si>
  <si>
    <t>Actas de reunión  
Listado de Asistencia</t>
  </si>
  <si>
    <t>Realizar la socialización del Protocolo de Lideresas y Defensoras de Derechos Humanos a todas las mujeres de la población objeto del Decreto 1066 del 2015 y 1139 del 2021 (DG)</t>
  </si>
  <si>
    <t>4.9.1</t>
  </si>
  <si>
    <t>Gestión Medidas de Protección</t>
  </si>
  <si>
    <t>((Nº de Charlas de autoprotección y auto seguridad realizados a Víctimas) / (Nº de charlas de autoprotección y auto seguridad a dictar a Víctimas))*100</t>
  </si>
  <si>
    <t>Porcentaje de Charlas de autoprotección y auto seguridad realizados a Víctimas</t>
  </si>
  <si>
    <t>Charlas de autoprotección y auto seguridad realizados a Victimas (Misión de Trabajo, informe final y listado de asistencia de las Charlas)</t>
  </si>
  <si>
    <t>Brindar charlas de autoprotección y auto seguridad a las víctimas</t>
  </si>
  <si>
    <t>4.9.7</t>
  </si>
  <si>
    <t>9. Liderar la actualización y adecuación de las medidas de prevención y protección con enfoques diferenciales en coordinación con los organismos e instancias responsables, con énfasis en: La protección colectiva, los derechos ancestrales, el reconocimiento de los mecanismos de autoprotección, el fortalecimiento organizacional, medidas de tipo psicosocial, cartografías del cuerpo respecto a agresiones físicas y mujeres lideresas y/o defensoras de derechos humanos promoviendo mecanismos de participación.</t>
  </si>
  <si>
    <t>Gestión de las Comunicaciones Estratégicas</t>
  </si>
  <si>
    <t>Documento de informe de resultados de la campaña de percepción de enfoques diferenciales en desarrollo de los programas de protección y prevención de la UNP</t>
  </si>
  <si>
    <t>Documento de los resultados de lsa campañas</t>
  </si>
  <si>
    <t>Realizar campañas internas a servidores públicos y colaboradores  que afiancen el conocimiento en enfoques diferenciales en el marco de los programas de protección y prevención de la UNP</t>
  </si>
  <si>
    <t>4.8.2</t>
  </si>
  <si>
    <t>Documento de informe de resultados de la campaña de percepción de enfoques diferenciales</t>
  </si>
  <si>
    <t>8. Fortalecer los conocimientos de los funcionarios y colaboradores frente a los enfoques diferenciales.</t>
  </si>
  <si>
    <t>4. Fortalecer las capacidades institucionales para la inclusión de los enfoques diferenciales en los procesos misionales.</t>
  </si>
  <si>
    <t>Fortalecer la Gestión y desempeño del Sector Interior</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</si>
  <si>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</si>
  <si>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</si>
  <si>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 xml:space="preserve">Seguridad, autoridad y orden para la libertad: defensa nacional, seguridad ciudadana y colaboración ciudadana
Derecho de las mujeres a una vida libre de violencias
</t>
  </si>
  <si>
    <t xml:space="preserve">Pacto por la legalidad: seguridad efectiva y justicia transparente para que todos vivamos con libertad y en democracia
Pacto de equidad para las mujeres
Pacto por la equidad de oportunidades para grupos étnicos
</t>
  </si>
  <si>
    <t>Gestión Especializada de Seguridad y Protección</t>
  </si>
  <si>
    <t>((Número de colectivos con la totalidad de medidas de protección de competencias de la UNP implementadas) / (Total de colectivos identificados con riesgo extraordinario, extremo o inminente con acto administrativo adoptado por la UNP))*100.</t>
  </si>
  <si>
    <t>Porcentaje de colectivos identificados con riesgo extraordinario, extremo o inminente con medidas de protección implementadas</t>
  </si>
  <si>
    <t>Medidas Implementadas de la Ruta de Protección Colectivos del PPESP</t>
  </si>
  <si>
    <t>Realizar la implementación de las medidas de protección a los colectivos que activan la ruta de Proteccion colectiva a la SESP y que presenten riesgo extraordinario extremo o inminente en su evaluación del riesgo</t>
  </si>
  <si>
    <t>3.7.8</t>
  </si>
  <si>
    <t xml:space="preserve">2018011001174  Implementación de la ruta de protección colectiva a nivel nacional </t>
  </si>
  <si>
    <t>((Nº de actos administrativos previamente ejecutoriados con medidas de protección implementadas a colectivos de competencia de la UNP en las vigencias 2013 al 2023)/(Nº de actos administrativos previamente ejecutoriados de colectivos de competencia de la UNP en las vigencias 2013 al 2023))*100</t>
  </si>
  <si>
    <t>Porcentaje de implementación de las medidas de protección colectiva (Ruta de Protección Colectiva)</t>
  </si>
  <si>
    <t>Colectivos identificados con riesgo extraordinario, extremo o inminente con medidas de protección implementadas (Acta de Implementación)</t>
  </si>
  <si>
    <t>Implementación de las medidas de protección colectiva (Ruta de Protección Colectiva)</t>
  </si>
  <si>
    <t>3.7.7</t>
  </si>
  <si>
    <t>(N.º de actos administrativos previamente ejecutoriados con medidas de protección implementadas dentro de los términos establecidos para colectivos identificados con riesgo extraordinario, extremo o inminente pertenecientes a la población de dirigentes, representantes o miembros de grupos de la población negra, afrocolombiana, raizal o palenquera - NARP) + (N.º de actos administrativos previamente ejecutoriados con medidas de protección implementadas en rezago para colectivos identificados con riesgo extraordinario, extremo o inminente pertenecientes a la población de dirigentes, representantes o miembros de grupos de la población negra, afrocolombiana, raizal o palenquera - NARP ) / (N.º de actos administrativos previamente ejecutoriados para colectivos identificados con riesgo extraordinario, extremo o inminente pertenecientes a la población de dirigentes, representantes o miembros de grupos de la población negra, afrocolombiana, raizal o palenquera - NARP ) + (N.º de actos administrativos previamente ejecutoriados en rezago para colectivos identificados con riesgo extraordinario, extremo o inminente pertenecientes a la población de dirigentes, representantes o miembros de grupos de la población negra, afrocolombiana, raizal o palenquera - NARP )*100</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</si>
  <si>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</si>
  <si>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Colectivos Narp identificados con riesgo extraordinario, extremo o inminente con medidas de protección implementadas (Acta de Implementación)
Documento no controlado (Excel del consolidado del mes - registro de actos administrativos, datos de los beneficiarios, medidas de protección implementadas)</t>
  </si>
  <si>
    <t>Realizar la implementación de las medidas de Protección colectiva a NARP</t>
  </si>
  <si>
    <t>(Porcentaje de avance de cada aspecto del formulario de ingreso a los Programas de Prevención y/o Protección de coordinación de la UNP para ser virtualizado) / (Porcentaje total de los aspectos del formulario de ingreso a los Programas de Prevención y/o Protección de coordinación de la UNP para ser virtualizado).</t>
  </si>
  <si>
    <t>Formulario de solicitud de ingreso a los Programas de Prevención y/o Protección de coordinación de la UNP virtualizado</t>
  </si>
  <si>
    <t>Virtualización de solicitudes de ingreso  a los Programas de Prevención y/o Protección de coordinación de la UNP</t>
  </si>
  <si>
    <t>3.7.16</t>
  </si>
  <si>
    <t>Ventanilla única de radicación y correspondencia en funcionamiento</t>
  </si>
  <si>
    <t>Módulo integral del servicio al ciudadano en funcionamiento</t>
  </si>
  <si>
    <t xml:space="preserve">Ejecución del modelo integral de servicio al ciudadano a través de la ventanilla única de radicación y correspondencia </t>
  </si>
  <si>
    <t>3.7.11</t>
  </si>
  <si>
    <t>Gestión Integral de Medidas de Emergencia</t>
  </si>
  <si>
    <t>((Nº de documentos relacionados con el proceso de Gestión Integral de Medidas de Emergencia oficializados según cronograma de actualización de la ruta de protección colectiva) / (Nº de documentos relacionados con el proceso de Gestión Integral de Medidas de Emergencia definidos según cronograma de actualización de la ruta de protección colectiva)) *100</t>
  </si>
  <si>
    <t>Documentos relacionados con el proceso de Gestión Integral de Medidas de Emergencia oficializados según cronograma de actualización de la ruta de protección colectiva</t>
  </si>
  <si>
    <t>Documentos definidos y oficializados por el proceso ante el SIG según cronograma</t>
  </si>
  <si>
    <t>Definir los lineamientos a través de la documentación establecida por el SIG, para las recomendaciones emitidas por la UNP al Ministerio del Interior en referencia a las medidas de emergencia de la ruta de Proteccion colectiva</t>
  </si>
  <si>
    <t>3.7.9</t>
  </si>
  <si>
    <t>((Nº de actos administrativos con todas la medidas de protección debidamente implementadas en el PPESP)/((Nº de actos administrativos con seguimiento a la implementación de las medidas de protección en el PPESP))*100</t>
  </si>
  <si>
    <t>Porcentaje de seguimientos realizados a la implementación de las medidas de protección en el PPESP</t>
  </si>
  <si>
    <t>Seguimientos realizados a la implementación de las medidas de protección en el PPESP</t>
  </si>
  <si>
    <t xml:space="preserve">Realizar el seguimiento a la implementación de las medidas de protección en el PPESP </t>
  </si>
  <si>
    <t>((Nº de actos administrativos previamente ejecutoriados con las medidas de protección implementadas en el Programa de Prevención y Protección y Programa Especial de Protección UP-PCC) / ((Nº de actos administrativos previamente ejecutoriados con seguimiento a la implementación de las medidas de protección en el Programa de Prevención y Protección y Programa Especial de Protección UP-PCC))*100</t>
  </si>
  <si>
    <t>Porcentaje de seguimientos realizados a la implementación de las medidas de protección en el programa de prevención y protección y programa especial de protección UP-PCC</t>
  </si>
  <si>
    <t>Seguimientos realizados a la implementación de las medidas de protección en el programa de prevención y protección y programa especial de protección UP-PCC (Acta de Implementación)</t>
  </si>
  <si>
    <t>Realizar el seguimiento a la implementación de las medidas de protección en el programa de prevención y protección y programa especial de protección UP-PCC</t>
  </si>
  <si>
    <t>((Nº de lideres sociales con medidas de protección de competencias de la UNP implementadas dentro de los términos establecidos en el procedimiento de Implementación de Medidas de Protección) / (Nº de lideres sociales identificados con riesgo extraordinario, extremo o inminente con medidas de protección a implementar por la UNP))*100</t>
  </si>
  <si>
    <t>Porcentaje de líderes sociales identificados con riesgo extraordinario, extremo o inminente con medidas de protección implementadas</t>
  </si>
  <si>
    <t>Líderes sociales identificados con riesgo extraordinario, extremo o inminente con medidas de protección implementadas</t>
  </si>
  <si>
    <t>Realizar la implementación de las medidas de Proteccion a los Líderes sociales identificados con riesgo extraordinario, extremo o inminente con medidas de protección implementadas</t>
  </si>
  <si>
    <t>((Nº de Víctimas con medidas de protección implementadas) / (Nº de Víctimas para implementar con riesgo extraordinario o extremo))*100</t>
  </si>
  <si>
    <t xml:space="preserve">Porcentaje de Víctimas con medidas de protección implementadas con riesgo extraordinario o extremo </t>
  </si>
  <si>
    <t>Implementación de las  medidas de protección a víctimas del Conflicto Armado con riesgo extraordinario o extremo.</t>
  </si>
  <si>
    <t>Realizar la Implementación de las  medidas de protección a víctimas del Conflicto Armado con riesgo extraordinario o extremo.</t>
  </si>
  <si>
    <t>((Nº de evaluaciones de nivel riesgo realizadas) / (Nº de solicitudes de evaluación del nivel de riesgo allegadas con la completitud de los requisitos))*100</t>
  </si>
  <si>
    <t>Porcentaje de evaluaciones de riesgo realizadas a partir de las solicitudes de medidas de protección de las víctimas del conflicto armado.</t>
  </si>
  <si>
    <t>Evaluaciones de riesgo realizadas a partir de las solicitudes de medidas de protección de las víctimas del conflicto armado.</t>
  </si>
  <si>
    <t>Realizar la evaluación del riesgo a las solicitudes de medidas de protección de las víctimas del conflicto armado.</t>
  </si>
  <si>
    <t>3.7.6</t>
  </si>
  <si>
    <t>Coordinación y Cooperación Interinstitucional</t>
  </si>
  <si>
    <t>((Nº de actividades de coordinación interinstitucional realizadas, para atender la inminencia de riesgo que puedan presentar las personas y/o poblaciones de los programas de prevención y/o protección que coordina la UNP)/(Nº de actividades de coordinación interinstitucional programadas, para atender la inminencia que puedan presentar las personas y/o poblaciones de los programas de prevención y/o protección que coordina la UNP, que sean de su competencia))*100</t>
  </si>
  <si>
    <t>Porcentaje de actividades de coordinación interinstitucional, para atender la inminencia de riesgo que puedan presentar las personas y/o poblaciones de los programas de prevención y/o protección que coordina la UNP.</t>
  </si>
  <si>
    <t>Actividades de coordinación interinstitucional realizadas por la UNP para atender la inminencia de riesgo que puedan presentar las personas y/o poblaciones de los programas de prevención y/o protección que coordina la UNP</t>
  </si>
  <si>
    <t>Realizar las actividades de coordinación interinstitucional, para atender la inminencia de riesgo que puedan presentar las personas y/o poblaciones de los programas de prevención y/o protección que coordina la UNP</t>
  </si>
  <si>
    <t>3.7.3</t>
  </si>
  <si>
    <t>7. Actuar de manera eficiente y eficaz en las rutas de protección</t>
  </si>
  <si>
    <t>((Nº de personas con riesgo extraordinario, extremo o inminente, con medidas de protección implementadas  de competencias de la UNP dentro de los tiempos partiendo de la ejecutoria del acto administrativo del Programa de Prevención y Protección y del Programa de Protección para UP-PCC de la ruta individual) / (Nº de personas con riesgo extraordinario, extremo o inminente con medidas de protección a implementar una vez ejecutoriado el acto administrativo del Programa de Prevención y Protección y del Programa de Protección para UP-PCC de la ruta individual ))*100</t>
  </si>
  <si>
    <t>Porcentaje de oportunidad en la implementación de las medidas de protección a los beneficiarios  Programa de Prevención y Protección y del Programa de Protección para UP-PCC de la ruta individual</t>
  </si>
  <si>
    <t>Medidas de protección adoptadas e implementadas Programa de Prevención y Protección y del Programa de Protección para UP-PCC de la ruta individual</t>
  </si>
  <si>
    <t>Incrementar el nivel de oportunidad en la implementación de las medidas de protección a los beneficiarios del Programa de Prevención y Protección y del Programa de Protección para UP-PCC de la ruta individual</t>
  </si>
  <si>
    <t>3.6.7</t>
  </si>
  <si>
    <t xml:space="preserve">2020011000074   Implementación de la ruta de protección individual a nivel nacional </t>
  </si>
  <si>
    <t>(N.º de actos administrativos previamente ejecutoriados con medidas de protección implementados dentro de los términos establecidos para personas identificadas con riesgo extraordinario, extremo o inminente pertenecientes a la población de dirigentes, representantes o miembros de grupos de la población negra, afrocolombiana, raizal o palenquera - NARP) + (N.º de actos administrativos previamente ejecutoriados con medidas de protección implementados en rezago para personas identificadas con riesgo extraordinario, extremo o inminente pertenecientes a la población de dirigentes, representantes o miembros de grupos de la población negra, afrocolombiana, raizal o palenquera - NARP ) / (N.º de actos administrativos previamente ejecutoriados para personas identificadas con riesgo extraordinario, extremo o inminente pertenecientes a la población de dirigentes, representantes o miembros de grupos de la población negra, afrocolombiana, raizal o palenquera - NARP ) + (N.º de actos administrativos previamente ejecutoriados en rezago para personas identificadas con riesgo extraordinario, extremo o inminente pertenecientes a la población de dirigentes, representantes o miembros de grupos de la población negra, afrocolombiana, raizal o palenquera - NARP )*100</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</si>
  <si>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</si>
  <si>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Personas NARP identificadas con riesgo extraordinario, extremo o inminente con medidas de protección implementadas (Acta de Implementación) Documento no controlado (Excel del consolidado del mes - registro de actos administrativos, datos de las personas beneficiarias, medidas de protección implementadas)</t>
  </si>
  <si>
    <t>Realizar la Implementación de las Medidas de Protección individual a NARP</t>
  </si>
  <si>
    <t>((Nº de personas con riesgo extraordinario, extremo o inminente, con medidas de protección implementadas  de competencias de la UNP dentro de los tiempos  establecidos partiendo de la ejecutoria del acto administrativo del PPESP de la ruta individual ) /(Nº de personas con riesgo extraordinario, extremo o inminente con medidas de protección a implementar una vez ejecutoriado el acto administrativo del PPESP de la ruta individual))*100</t>
  </si>
  <si>
    <t>Porcentaje de oportunidad en la implementación de las Medidas de Protección  a los beneficiarios del PPESP de la ruta individual</t>
  </si>
  <si>
    <t>Medidas de protección adoptadas e implementadas del PPESP de la ruta individual</t>
  </si>
  <si>
    <t>Incrementar el nivel de oportunidad en la implementación de las medidas de protección a los beneficiarios del PPESP de la ruta individual</t>
  </si>
  <si>
    <t>3.6.8</t>
  </si>
  <si>
    <t>((Nº de evaluaciones de riesgo presentadas del PESP de la vigencia 2022)/(Nº de evaluaciones de  riesgo identificadas y a gestionar del PESP de la vigencia 2022))*100</t>
  </si>
  <si>
    <t>Porcentaje de evaluaciones de riesgo presentadas PESP</t>
  </si>
  <si>
    <t>Evaluaciones de riesgo presentadas y adelantadas</t>
  </si>
  <si>
    <t>Terminar las ordenes de trabajo rezagadas de la vigencia 2021 del PESP</t>
  </si>
  <si>
    <t>((Sumatoria de días hábiles utilizados para la realización de la evaluación del riesgo PPESP)/(Nº de evaluaciones de riesgos presentadas))</t>
  </si>
  <si>
    <t>Nº de días promedio que toma la evaluación de riesgo del PPESP</t>
  </si>
  <si>
    <t>Evaluaciones de riesgo presentadas</t>
  </si>
  <si>
    <t>Reducir el tiempo que toma la evaluación de riesgo de la ruta individual del Programa de Protección Especializada de Seguridad y Protección de la vigencia 2022</t>
  </si>
  <si>
    <t>Nº de días hábiles promedio utilizados para la evaluación del riesgo (transcurridos entre la recepción de la solicitud, la valoración del nivel del riesgo y la recomendación de medidas por parte del CERREM)</t>
  </si>
  <si>
    <t>Nº de días promedio que toma la evaluación de riesgo de  el Programa de Prevención y Protección Individual y Programa  Especial de Protección para UP-PCC</t>
  </si>
  <si>
    <t>Evaluaciones de Riesgo presentadas</t>
  </si>
  <si>
    <t>Reducir el tiempo que toma la evaluación de riesgo del Programa de Prevención y Protección y Programa  Especial de Protección para UP-PCC</t>
  </si>
  <si>
    <t>3.6.6</t>
  </si>
  <si>
    <t>Garantizar el derecho a la vida, integridad, libertad y seguridad de las poblaciones objeto de seguridad y prevención.</t>
  </si>
  <si>
    <t>3. Gestionar soluciones estratégicas que contribuyan a la garantía efectiva al derecho a la vida, libertad y seguridad de las poblaciones objeto y optimizar los tiempos de respuesta en la ruta de protección.</t>
  </si>
  <si>
    <t>Promover y proteger los derechos humanos, especialmente la vida, la libertad, la seguridad, así como los derechos de autor y conexos, fundamentados en la cultura de legalidad y emprendimiento.</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</si>
  <si>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</si>
  <si>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 xml:space="preserve">Pacto por la vida (protección a personas y comunidades en riesgo)
Fortalecer la institucionalidad encargada de
la prevención, atención y protección de las mujeres
víctimas de la violencia de género
</t>
  </si>
  <si>
    <t xml:space="preserve">Pacto por la legalidad: Seguridad efectiva y justicia transparente para que todos vivamos con libertad y en democracia
Pacto de equidad para las mujeres
</t>
  </si>
  <si>
    <t>((Nº de requerimientos tramitados por la UNP ante la Fiscalía General de la Nación (FGN) para el desmantelamiento de organizaciones criminales garantizando la reserva de la información y el derecho a la intimidad de los solicitantes y/o beneficiarios de los programas de protección)/ (Nº de requerimientos solicitados a la UNP por la Fiscalía General de la Nación (FGN) para el desmantelamiento de organizaciones criminales garantizando la reserva de la información y el derecho a la intimidad de los solicitantes y/o beneficiarios de los programas de protección))*100</t>
  </si>
  <si>
    <t>Porcentaje de información requerida por la Fiscalía General de la Nación (FGN) para el desmantelamiento de organizaciones criminales garantizando la reserva de la información y el derecho a la intimidad de los solicitantes y/o beneficiarios de los programas de protección</t>
  </si>
  <si>
    <t>Entrega información requerida por la Fiscalía General de la Nación (FGN) para el desmantelamiento de organizaciones criminales garantizando la reserva de la información y el derecho a la intimidad de los solicitantes y/o beneficiarios de los programas de protección</t>
  </si>
  <si>
    <t>Brindar el apoyo de lo requerido por la Fiscalía General de la Nación(FGN) en el suministro de la información de quienes profieran amenazas para el desmantelamiento de organizaciones criminales garantizando la reserva de la información y el derecho a la intimidad de los solicitantes y/o beneficiarios de los programas de protección</t>
  </si>
  <si>
    <t>2.5.14</t>
  </si>
  <si>
    <t>5. Contribuir en la identificación efectiva de actores amenazantes y desmantelamiento de organizaciones y conductas criminales</t>
  </si>
  <si>
    <t xml:space="preserve">Anual </t>
  </si>
  <si>
    <t>Nº de Documento con los lineamientos de la Política de Gestión de la Información Estadística ajustado a la naturaleza de la UNP con las evidencias de la divulgación y socialización</t>
  </si>
  <si>
    <t>Documento con los lineamientos de la Política de Gestión de la Información Estadística ajustado a la naturaleza de la UNP socializado y divulgado en la entidad</t>
  </si>
  <si>
    <t>Política de Gestión de la Información Estadística divulgada y socializada</t>
  </si>
  <si>
    <t>Realizar la divulgación y socialización de la Política de Gestión de la Información Estadística al interior de la entidad (OAPI)</t>
  </si>
  <si>
    <t>2.4.1</t>
  </si>
  <si>
    <t>((Nº de alertas tempranas sistematizadas y socializadas al interior de la UNP)/((Nº de alertas tempranas comunicadas a la UNP por parte del CIPRAT))*100</t>
  </si>
  <si>
    <t>Porcentaje de alertas tempranas sistematizadas y socializadas</t>
  </si>
  <si>
    <t>Alertas tempranas Sistematizadas y Socializadas</t>
  </si>
  <si>
    <t>Identificación y sistematización de la información relacionada en las alertas tempranas.</t>
  </si>
  <si>
    <t>2.4.3</t>
  </si>
  <si>
    <t>4. Consolidar y poner en marcha el observatorio de información</t>
  </si>
  <si>
    <t>((Nº de encuentros de prevención del riesgo con participación de la UNP documentados) / (Nº de encuentros de prevención del riesgo viabilizados por la UNP))*100</t>
  </si>
  <si>
    <t>Porcentaje de encuentros de prevención del riesgo con participación de la UNP documentados</t>
  </si>
  <si>
    <t>Documentos relacionados al indicador</t>
  </si>
  <si>
    <t>Documentar las acciones emprendidas desde la UNP en la estrategia de prevención a cargo del Ministerio del Interior</t>
  </si>
  <si>
    <t>2.3.3</t>
  </si>
  <si>
    <t>3. Asistir técnicamente y en lo de sus competencias junto con las demás entidades corresponsables en la formulación y desarrollo de mecanismos o planes de prevención y protección</t>
  </si>
  <si>
    <t>((Nº de municipios con diagnósticos focalizados de riesgo, proyección de escenarios de riesgo o planes de prevención y contingencia apoyados técnicamente por la UNP)/(Nº de municipios programados por el Ministerio del Interior priorizados en el PAO))*100</t>
  </si>
  <si>
    <t>Porcentaje de municipios con diagnósticos focalizados de riesgo, proyección de escenarios de riesgo o planes de prevención y contingencia apoyados técnicamente en materia de prevención</t>
  </si>
  <si>
    <t>Asistencias técnicas en el componente de prevención realizadas de acuerdo con la programación del Ministerio del Interior.</t>
  </si>
  <si>
    <t>Realizar asistencia técnica en el componente de prevención (diagnósticos focalizados de riesgo, proyección de escenarios de riesgo y planes de prevención y contingencia) de acuerdo con la programación del Ministerio del Interior</t>
  </si>
  <si>
    <t>2.2.6</t>
  </si>
  <si>
    <t>Dos documentos de prevención seguridad y protección para territorios rurales donde se concentre la población del PPESP producto de los encuentros regionales</t>
  </si>
  <si>
    <t>Nº de Documentos de prevención seguridad y protección para territorios rurales donde se concentre la población del PPESP producto de los encuentros regionales</t>
  </si>
  <si>
    <t>Dos documento de prevención seguridad y protección para territorios rurales donde se concentre la población del PPESP producto de los encuentros regionales</t>
  </si>
  <si>
    <t xml:space="preserve">Realizar los encuentros regionales debidamente documentados </t>
  </si>
  <si>
    <t>2.2.8</t>
  </si>
  <si>
    <t>Nº de municipios con diagnósticos focalizados de riesgo, proyección de escenarios de riesgo o planes de prevención y contingencia apoyados técnicamente por la UNP</t>
  </si>
  <si>
    <t>Doce asistencias técnicas en el componente de prevención realizadas</t>
  </si>
  <si>
    <t>Realizar asistencia técnica en el componente de prevención (diagnósticos focalizados de riesgo, proyección de escenarios de riesgo y planes de prevención y contingencia)</t>
  </si>
  <si>
    <t>2. Incorporar el análisis de contexto como mecanismo para la identificación anticipada o temprana de las amenazas, riesgos y vulnerabilidades de las poblaciones objeto.</t>
  </si>
  <si>
    <t>2. Fortalecer la capacidad institucional para identificar oportunamente las amenazas, riesgos y vulnerabilidades a las cuales están expuestas las poblaciones objeto.</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</si>
  <si>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</si>
  <si>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Pacto por la vida (protección a personas y comunidades en riesgo)
Red de participación cívica</t>
  </si>
  <si>
    <t>Seguridad, autoridad y orden para la libertad: defensa nacional, seguridad ciudadana y colaboración ciudadana</t>
  </si>
  <si>
    <t>Nº de Campañas de reconocimiento de líderes y lideresas y defensores de derechos humanos realizadas</t>
  </si>
  <si>
    <t>Número de campañas de reconocimiento de líderes y lideresas defensores de derechos humanos</t>
  </si>
  <si>
    <t>Cuatro campañas de reconocimiento de lideres y lideresas defensores de derechos humanos</t>
  </si>
  <si>
    <t>Realizar las campañas de reconocimiento de líderes y lideresas defensores de derechos humanos</t>
  </si>
  <si>
    <t>1.1.2</t>
  </si>
  <si>
    <t>((Nº de llamados de las entidades gubernamentales asistidos) / (Nº de llamados de las entidades gubernamentales programados))*100</t>
  </si>
  <si>
    <t>Porcentaje de participación de las convocatorias de las entidades gubernamentales para el desarrollo de las políticas para la superación de la estigmatización y la discriminación</t>
  </si>
  <si>
    <t>Actas de asistencia Listados de asistencia</t>
  </si>
  <si>
    <t xml:space="preserve">Concurrir a las convocatorias de las entidades gubernamentales para el desarrollo de las políticas para superación de la estigmatización y discriminación. </t>
  </si>
  <si>
    <t>1.1.3</t>
  </si>
  <si>
    <t>Nº de campañas de difusión y reconocimiento que promuevan la inclusión de las personas en proceso de reincorporación</t>
  </si>
  <si>
    <t>Número de campañas de difusión y reconocimiento que promuevan la inclusión de las personas en proceso de reincorporación</t>
  </si>
  <si>
    <t>Cuatro campañas de difusión y reconocimiento que promuevan la inclusión de las personas en proceso de reincorporación</t>
  </si>
  <si>
    <t>Realizar campañas de difusión y reconocimiento  que promuevan la inclusión de las personas en proceso de reincorporación</t>
  </si>
  <si>
    <t xml:space="preserve">((Nº de actividades realizadas del Plan de Comunicaciones Estratégicas) /(Nº de actividades programadas en el Plan de Comunicaciones Estratégicas))*100 </t>
  </si>
  <si>
    <t>Porcentaje de cumplimiento del Plan de Comunicaciones Estratégicas</t>
  </si>
  <si>
    <t>Plan de Comunicaciones</t>
  </si>
  <si>
    <t>Ejecución del Plan de Comunicaciones Estratégicas</t>
  </si>
  <si>
    <t>1. Fortalecer y acompañar estrategias de pedagogía social y gestión para el ejercicio de los derechos humanos, teniendo en cuenta los enfoques diferenciales</t>
  </si>
  <si>
    <t>1. Propender por una cultura de respeto y garantía de los derechos humanos, que contribuya al proceso de construcción de paz.</t>
  </si>
  <si>
    <t>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t>
  </si>
  <si>
    <t xml:space="preserve">Pacto por la vida (protección a personas y comunidades en riesgo)
Una apuesta por el goce efectivo de los derechos de los colombianos
</t>
  </si>
  <si>
    <t xml:space="preserve">Seguridad, autoridad y orden para la libertad: defensa nacional, seguridad ciudadana y colaboración ciudadana
Imperio de la ley: derechos humanos, justicia accesible, oportuna y en toda Colombia, para todos
</t>
  </si>
  <si>
    <t>Pacto por la legalidad: Seguridad efectiva y justicia transparente para que todos vivamos con libertad y en democracia</t>
  </si>
  <si>
    <t>Porcentaje de Avance Total 
 PAI</t>
  </si>
  <si>
    <t>Avance Acumulado</t>
  </si>
  <si>
    <t>VALIDADO (25%)</t>
  </si>
  <si>
    <t>OPORTUNO (25%)</t>
  </si>
  <si>
    <t>VERAZ (25%)</t>
  </si>
  <si>
    <t>SOPORTADO (25%)</t>
  </si>
  <si>
    <t>Nivel de Conformidad del Seguimiento</t>
  </si>
  <si>
    <t>Avance IV Reporte PAI</t>
  </si>
  <si>
    <t>Avance III Reporte PAI</t>
  </si>
  <si>
    <t>Avance II Reporte PAI</t>
  </si>
  <si>
    <t>Avance I Reporte PAI</t>
  </si>
  <si>
    <t>Nivel de Conformidad</t>
  </si>
  <si>
    <t>Diciembre</t>
  </si>
  <si>
    <t>Noviembre</t>
  </si>
  <si>
    <t>Octubre</t>
  </si>
  <si>
    <t>Septiembre</t>
  </si>
  <si>
    <t>Agosto</t>
  </si>
  <si>
    <t>Julio</t>
  </si>
  <si>
    <t>Junio</t>
  </si>
  <si>
    <t>Mayo</t>
  </si>
  <si>
    <t>Abril</t>
  </si>
  <si>
    <t>Marzo</t>
  </si>
  <si>
    <t>Febrero</t>
  </si>
  <si>
    <t>Enero</t>
  </si>
  <si>
    <t>Tipo de Indicador</t>
  </si>
  <si>
    <t>Formula del Indicador</t>
  </si>
  <si>
    <t>Unidad de Medida</t>
  </si>
  <si>
    <t>Indicador</t>
  </si>
  <si>
    <t>Proyecto de inversión relacionado</t>
  </si>
  <si>
    <t>Presupuesto asignado</t>
  </si>
  <si>
    <t>Peso de la actividad</t>
  </si>
  <si>
    <t>Actividades</t>
  </si>
  <si>
    <t>Peso de la actividad con respecto a la estrategia</t>
  </si>
  <si>
    <t>Perspectiva del Cuadro de Mando Integral</t>
  </si>
  <si>
    <t>Identificador</t>
  </si>
  <si>
    <t>Indicador (impacto) de la Estrategia Institucional</t>
  </si>
  <si>
    <t>Estrategias Institucionales</t>
  </si>
  <si>
    <t>Aporte a la Visión</t>
  </si>
  <si>
    <t>Peso de la estrategia frente al objetivo estratégico institucional</t>
  </si>
  <si>
    <t>Objetivos Estratégicos Institucionales</t>
  </si>
  <si>
    <t>Objetivo Sectorial</t>
  </si>
  <si>
    <t>Estrategia PND</t>
  </si>
  <si>
    <t>Objetivo PND</t>
  </si>
  <si>
    <t>Línea Estratégica</t>
  </si>
  <si>
    <t>Pacto</t>
  </si>
  <si>
    <t>SEGUIMIENTO SEGUNDA LÍNEA</t>
  </si>
  <si>
    <t>SEGUIMIENTO PRIMERA LÍNEA</t>
  </si>
  <si>
    <t>Meta</t>
  </si>
  <si>
    <t>PLANEADOR ANUAL - PAI</t>
  </si>
  <si>
    <t>Frecuencia Reporte</t>
  </si>
  <si>
    <t>MONTO PROYECTO DE INVERSIÓN</t>
  </si>
  <si>
    <t>PROYECTO DE INVERSIÓN ASOCIADO</t>
  </si>
  <si>
    <r>
      <t xml:space="preserve">PLANES INSTITUCIONALES ASOCIADOS 
</t>
    </r>
    <r>
      <rPr>
        <sz val="12"/>
        <color theme="1"/>
        <rFont val="Arial"/>
        <family val="2"/>
      </rPr>
      <t>(Decreto 612 de 2018)</t>
    </r>
  </si>
  <si>
    <t>Proceso Responsable</t>
  </si>
  <si>
    <t>PLAN ESTRATÉGICO INSTITUCIONAL- PEI</t>
  </si>
  <si>
    <t>PLAN ESTRATÉGICO SECTORIAL</t>
  </si>
  <si>
    <t>PLAN NACIONAL DE DESARROLLO</t>
  </si>
  <si>
    <t>UNIDAD NACIONAL DE PROTECCIÓN</t>
  </si>
  <si>
    <t>DIRECCIONAMIENTO ESTRATÉGICO Y PLANEACIÓN</t>
  </si>
  <si>
    <t>PLAN DE ACCIÓN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</si>
</sst>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164" formatCode="0.0%"/>
    <numFmt numFmtId="165" formatCode="_-&quot;$&quot;\ * #,##0_-;\-&quot;$&quot;\ * #,##0_-;_-&quot;$&quot;\ * &quot;-&quot;??_-;_-@_-"/>
  </numFmts>
  <fonts count="1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0"/>
      <color theme="1"/>
      <name val="Arial"/>
      <family val="2"/>
    </font>
    <font>
      <b/>
      <sz val="10"/>
      <color rgb="FF000000"/>
      <name val="Arial"/>
      <family val="2"/>
    </font>
    <font>
      <sz val="10"/>
      <color rgb="FF000000"/>
      <name val="Arial"/>
      <family val="2"/>
    </font>
    <font>
      <b/>
      <sz val="10"/>
      <color rgb="FFFFFFFF"/>
      <name val="Arial"/>
      <family val="2"/>
    </font>
    <font>
      <b/>
      <sz val="10"/>
      <color theme="1"/>
      <name val="Arial"/>
      <family val="2"/>
    </font>
    <font>
      <b/>
      <sz val="12"/>
      <color theme="1"/>
      <name val="Arial"/>
      <family val="2"/>
    </font>
    <font>
      <sz val="12"/>
      <color theme="1"/>
      <name val="Arial"/>
      <family val="2"/>
    </font>
    <font>
      <sz val="12"/>
      <name val="Arial"/>
      <family val="2"/>
    </font>
    <font>
      <sz val="12"/>
      <color rgb="FF000000"/>
      <name val="Arial"/>
      <family val="2"/>
    </font>
    <font>
      <b/>
      <sz val="12"/>
      <name val="Arial"/>
      <family val="2"/>
    </font>
    <font>
      <sz val="10"/>
      <name val="Arial"/>
      <family val="2"/>
    </font>
    <font>
      <b/>
      <sz val="9"/>
      <color indexed="81"/>
      <name val="Tahoma"/>
      <family val="2"/>
    </font>
    <font>
      <sz val="9"/>
      <color indexed="81"/>
      <name val="Tahoma"/>
      <family val="2"/>
    </font>
  </fonts>
  <fills count="17">
    <fill>
      <patternFill patternType="none"/>
    </fill>
    <fill>
      <patternFill patternType="gray125"/>
    </fill>
    <fill>
      <patternFill patternType="solid">
        <fgColor rgb="FFE2EFDA"/>
        <bgColor rgb="FF000000"/>
      </patternFill>
    </fill>
    <fill>
      <patternFill patternType="solid">
        <fgColor theme="8" tint="0.79998168889431442"/>
        <bgColor indexed="64"/>
      </patternFill>
    </fill>
    <fill>
      <patternFill patternType="solid">
        <fgColor rgb="FF4472C4"/>
        <bgColor rgb="FF000000"/>
      </patternFill>
    </fill>
    <fill>
      <patternFill patternType="solid">
        <fgColor theme="0"/>
        <bgColor indexed="64"/>
      </patternFill>
    </fill>
    <fill>
      <patternFill patternType="solid">
        <fgColor theme="0" tint="-0.34998626667073579"/>
        <bgColor indexed="64"/>
      </patternFill>
    </fill>
    <fill>
      <patternFill patternType="solid">
        <fgColor rgb="FF00B05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8" tint="-0.249977111117893"/>
        <bgColor indexed="64"/>
      </patternFill>
    </fill>
  </fills>
  <borders count="2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rgb="FF000000"/>
      </right>
      <top style="thin">
        <color rgb="FF000000"/>
      </top>
      <bottom/>
      <diagonal/>
    </border>
    <border>
      <left style="thin">
        <color rgb="FF000000"/>
      </left>
      <right style="thin">
        <color indexed="64"/>
      </right>
      <top/>
      <bottom/>
      <diagonal/>
    </border>
    <border>
      <left style="thin">
        <color rgb="FF000000"/>
      </left>
      <right style="thin">
        <color rgb="FF000000"/>
      </right>
      <top/>
      <bottom/>
      <diagonal/>
    </border>
    <border>
      <left style="thin">
        <color indexed="64"/>
      </left>
      <right style="thin">
        <color rgb="FF000000"/>
      </right>
      <top/>
      <bottom/>
      <diagonal/>
    </border>
    <border>
      <left style="thin">
        <color rgb="FF000000"/>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cellStyleXfs>
  <cellXfs count="211">
    <xf numFmtId="0" fontId="0" fillId="0" borderId="0" xfId="0"/>
    <xf numFmtId="0" fontId="0" fillId="0" borderId="0" xfId="0"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9" fontId="3"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0" fillId="0" borderId="4" xfId="0" applyFont="1" applyBorder="1" applyAlignment="1">
      <alignment vertical="center" wrapText="1"/>
    </xf>
    <xf numFmtId="9" fontId="10" fillId="0" borderId="4" xfId="0" applyNumberFormat="1" applyFont="1" applyBorder="1" applyAlignment="1">
      <alignment horizontal="center" vertical="center" wrapText="1"/>
    </xf>
    <xf numFmtId="9" fontId="10" fillId="0" borderId="4" xfId="1"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left" vertical="center" wrapText="1"/>
    </xf>
    <xf numFmtId="0" fontId="11" fillId="0" borderId="4" xfId="0" applyFont="1" applyBorder="1" applyAlignment="1">
      <alignment horizontal="center" vertical="center"/>
    </xf>
    <xf numFmtId="1" fontId="11" fillId="0" borderId="3" xfId="0" applyNumberFormat="1" applyFont="1" applyBorder="1" applyAlignment="1">
      <alignment horizontal="center" vertical="center" textRotation="90"/>
    </xf>
    <xf numFmtId="9" fontId="11" fillId="0" borderId="4" xfId="0" applyNumberFormat="1" applyFont="1" applyBorder="1" applyAlignment="1">
      <alignment horizontal="center" vertical="center"/>
    </xf>
    <xf numFmtId="0" fontId="11" fillId="0" borderId="4" xfId="0" applyFont="1" applyBorder="1" applyAlignment="1">
      <alignment horizontal="center" vertical="center" wrapText="1"/>
    </xf>
    <xf numFmtId="0" fontId="11" fillId="0" borderId="4" xfId="0" applyFont="1" applyBorder="1" applyAlignment="1">
      <alignment horizontal="left" vertical="center" wrapText="1"/>
    </xf>
    <xf numFmtId="0" fontId="11" fillId="0" borderId="6" xfId="0" applyFont="1" applyBorder="1" applyAlignment="1">
      <alignment horizontal="center" vertical="center" wrapText="1"/>
    </xf>
    <xf numFmtId="9" fontId="10" fillId="0" borderId="6"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11" fillId="0" borderId="4" xfId="0" applyFont="1" applyBorder="1" applyAlignment="1">
      <alignment vertical="center" wrapText="1"/>
    </xf>
    <xf numFmtId="0" fontId="10" fillId="0" borderId="6" xfId="0" applyFont="1" applyBorder="1" applyAlignment="1">
      <alignment vertical="center" wrapText="1"/>
    </xf>
    <xf numFmtId="9" fontId="10" fillId="0" borderId="7" xfId="1" applyFont="1" applyFill="1" applyBorder="1" applyAlignment="1">
      <alignment horizontal="center" vertical="center"/>
    </xf>
    <xf numFmtId="9" fontId="11" fillId="0" borderId="3" xfId="1" applyFont="1" applyFill="1" applyBorder="1" applyAlignment="1">
      <alignment horizontal="center" vertical="center"/>
    </xf>
    <xf numFmtId="9" fontId="11" fillId="0" borderId="4" xfId="1" applyFont="1" applyFill="1" applyBorder="1" applyAlignment="1">
      <alignment horizontal="center" vertical="center"/>
    </xf>
    <xf numFmtId="1" fontId="11" fillId="0" borderId="4" xfId="0" applyNumberFormat="1" applyFont="1" applyBorder="1" applyAlignment="1">
      <alignment horizontal="center" vertical="center"/>
    </xf>
    <xf numFmtId="0" fontId="10" fillId="0" borderId="4" xfId="0" applyFont="1" applyBorder="1" applyAlignment="1">
      <alignment horizontal="center" vertical="center"/>
    </xf>
    <xf numFmtId="0" fontId="12" fillId="0" borderId="4" xfId="0" applyFont="1" applyBorder="1" applyAlignment="1">
      <alignment horizontal="center" vertical="center" wrapText="1"/>
    </xf>
    <xf numFmtId="0" fontId="10" fillId="0" borderId="8" xfId="0" applyFont="1" applyBorder="1" applyAlignment="1">
      <alignment vertical="center" wrapText="1"/>
    </xf>
    <xf numFmtId="9" fontId="10" fillId="0" borderId="4" xfId="1" applyFont="1" applyFill="1" applyBorder="1" applyAlignment="1">
      <alignment horizontal="center" vertical="center"/>
    </xf>
    <xf numFmtId="10" fontId="10" fillId="0" borderId="4" xfId="0" applyNumberFormat="1" applyFont="1" applyBorder="1" applyAlignment="1">
      <alignment horizontal="center" vertical="center"/>
    </xf>
    <xf numFmtId="9" fontId="10" fillId="0" borderId="4" xfId="1" applyFont="1" applyBorder="1" applyAlignment="1">
      <alignment horizontal="center" vertical="center"/>
    </xf>
    <xf numFmtId="9" fontId="10" fillId="0" borderId="4" xfId="0" applyNumberFormat="1" applyFont="1" applyBorder="1" applyAlignment="1">
      <alignment horizontal="center" vertical="center"/>
    </xf>
    <xf numFmtId="0" fontId="11" fillId="0" borderId="4" xfId="0" applyFont="1" applyBorder="1" applyAlignment="1">
      <alignment horizontal="left" vertical="center"/>
    </xf>
    <xf numFmtId="0" fontId="12" fillId="0" borderId="6" xfId="0" applyFont="1" applyBorder="1" applyAlignment="1">
      <alignment horizontal="center" vertical="center" wrapText="1"/>
    </xf>
    <xf numFmtId="0" fontId="11" fillId="0" borderId="9" xfId="0" applyFont="1" applyBorder="1" applyAlignment="1">
      <alignment horizontal="left" vertical="center" wrapText="1"/>
    </xf>
    <xf numFmtId="10" fontId="10" fillId="0" borderId="4" xfId="0" applyNumberFormat="1" applyFont="1" applyBorder="1" applyAlignment="1">
      <alignment horizontal="center" vertical="center" wrapText="1"/>
    </xf>
    <xf numFmtId="10" fontId="10" fillId="0" borderId="4" xfId="1" applyNumberFormat="1" applyFont="1" applyFill="1" applyBorder="1" applyAlignment="1">
      <alignment horizontal="center" vertical="center" wrapText="1"/>
    </xf>
    <xf numFmtId="9" fontId="11" fillId="0" borderId="4" xfId="1" applyFont="1" applyBorder="1" applyAlignment="1">
      <alignment horizontal="center" vertical="center" wrapText="1"/>
    </xf>
    <xf numFmtId="0" fontId="12" fillId="0" borderId="6" xfId="0" applyFont="1" applyBorder="1" applyAlignment="1">
      <alignment horizontal="left" vertical="center" wrapText="1"/>
    </xf>
    <xf numFmtId="0" fontId="10" fillId="0" borderId="1" xfId="0" applyFont="1" applyBorder="1" applyAlignment="1">
      <alignment vertical="center" wrapText="1"/>
    </xf>
    <xf numFmtId="9" fontId="10" fillId="0" borderId="4" xfId="1" applyFont="1" applyBorder="1" applyAlignment="1">
      <alignment horizontal="center" vertical="center" wrapText="1"/>
    </xf>
    <xf numFmtId="0" fontId="12" fillId="0" borderId="9" xfId="0" applyFont="1" applyBorder="1" applyAlignment="1">
      <alignment horizontal="left" vertical="center" wrapText="1"/>
    </xf>
    <xf numFmtId="0" fontId="11" fillId="0" borderId="6" xfId="0" applyFont="1" applyBorder="1" applyAlignment="1">
      <alignment horizontal="left" vertical="center" wrapText="1"/>
    </xf>
    <xf numFmtId="1" fontId="10" fillId="0" borderId="4" xfId="1" applyNumberFormat="1" applyFont="1" applyFill="1" applyBorder="1" applyAlignment="1">
      <alignment horizontal="center" vertical="center" wrapText="1"/>
    </xf>
    <xf numFmtId="10" fontId="10" fillId="0" borderId="4" xfId="1" applyNumberFormat="1" applyFont="1" applyBorder="1" applyAlignment="1">
      <alignment vertical="center" wrapText="1"/>
    </xf>
    <xf numFmtId="164" fontId="10" fillId="0" borderId="4" xfId="0" applyNumberFormat="1" applyFont="1" applyBorder="1" applyAlignment="1">
      <alignment horizontal="center" vertical="center" wrapText="1"/>
    </xf>
    <xf numFmtId="9" fontId="11" fillId="0" borderId="4" xfId="1" applyFont="1" applyFill="1" applyBorder="1" applyAlignment="1">
      <alignment horizontal="center" vertical="center" wrapText="1"/>
    </xf>
    <xf numFmtId="9" fontId="11" fillId="0" borderId="6" xfId="1" applyFont="1" applyFill="1" applyBorder="1" applyAlignment="1">
      <alignment horizontal="center" vertical="center" wrapText="1"/>
    </xf>
    <xf numFmtId="10" fontId="11" fillId="0" borderId="4" xfId="1" applyNumberFormat="1" applyFont="1" applyFill="1" applyBorder="1" applyAlignment="1">
      <alignment horizontal="left" vertical="center"/>
    </xf>
    <xf numFmtId="0" fontId="11" fillId="5" borderId="4" xfId="0" applyFont="1" applyFill="1" applyBorder="1" applyAlignment="1">
      <alignment horizontal="left" vertical="center" wrapText="1"/>
    </xf>
    <xf numFmtId="1" fontId="11" fillId="0" borderId="3" xfId="0" applyNumberFormat="1" applyFont="1" applyBorder="1" applyAlignment="1">
      <alignment horizontal="center" vertical="center"/>
    </xf>
    <xf numFmtId="3" fontId="10" fillId="0" borderId="4" xfId="0" applyNumberFormat="1" applyFont="1" applyBorder="1" applyAlignment="1">
      <alignment vertical="center" wrapText="1"/>
    </xf>
    <xf numFmtId="165" fontId="10" fillId="0" borderId="4" xfId="2" applyNumberFormat="1" applyFont="1" applyFill="1" applyBorder="1" applyAlignment="1">
      <alignment vertical="center" wrapText="1"/>
    </xf>
    <xf numFmtId="0" fontId="11" fillId="0" borderId="10" xfId="0" applyFont="1" applyBorder="1" applyAlignment="1">
      <alignment horizontal="left" vertical="center"/>
    </xf>
    <xf numFmtId="0" fontId="11" fillId="0" borderId="6" xfId="0" applyFont="1" applyBorder="1" applyAlignment="1">
      <alignment horizontal="left" vertical="center"/>
    </xf>
    <xf numFmtId="10" fontId="10" fillId="0" borderId="4" xfId="1" applyNumberFormat="1" applyFont="1" applyFill="1" applyBorder="1" applyAlignment="1">
      <alignment vertical="center" wrapText="1"/>
    </xf>
    <xf numFmtId="0" fontId="11" fillId="0" borderId="11" xfId="0" applyFont="1" applyBorder="1" applyAlignment="1">
      <alignment horizontal="center" vertical="center" wrapText="1"/>
    </xf>
    <xf numFmtId="9" fontId="10" fillId="0" borderId="4" xfId="0" applyNumberFormat="1" applyFont="1" applyBorder="1" applyAlignment="1">
      <alignment vertical="center" wrapText="1"/>
    </xf>
    <xf numFmtId="0" fontId="11" fillId="0" borderId="7" xfId="0" applyFont="1" applyBorder="1" applyAlignment="1">
      <alignment horizontal="center" vertical="center" wrapText="1"/>
    </xf>
    <xf numFmtId="10" fontId="10" fillId="0" borderId="4" xfId="1" applyNumberFormat="1" applyFont="1" applyBorder="1" applyAlignment="1">
      <alignment horizontal="center" vertical="center" wrapText="1"/>
    </xf>
    <xf numFmtId="9" fontId="10" fillId="0" borderId="4" xfId="1" applyFont="1" applyBorder="1" applyAlignment="1">
      <alignment vertical="center" wrapText="1"/>
    </xf>
    <xf numFmtId="0" fontId="10" fillId="0" borderId="12" xfId="0" applyFont="1" applyBorder="1" applyAlignment="1">
      <alignment horizontal="left" vertical="center" wrapText="1"/>
    </xf>
    <xf numFmtId="164" fontId="10" fillId="0" borderId="4" xfId="1" applyNumberFormat="1" applyFont="1" applyFill="1" applyBorder="1" applyAlignment="1">
      <alignment horizontal="center" vertical="center" wrapText="1"/>
    </xf>
    <xf numFmtId="0" fontId="10" fillId="0" borderId="7" xfId="0" applyFont="1" applyBorder="1" applyAlignment="1">
      <alignment vertical="center" wrapText="1"/>
    </xf>
    <xf numFmtId="0" fontId="12" fillId="0" borderId="4" xfId="0" applyFont="1" applyBorder="1" applyAlignment="1">
      <alignment horizontal="left" vertical="center" wrapText="1"/>
    </xf>
    <xf numFmtId="1" fontId="10" fillId="0" borderId="4" xfId="0" applyNumberFormat="1" applyFont="1" applyBorder="1" applyAlignment="1">
      <alignment horizontal="center" vertical="center" wrapText="1"/>
    </xf>
    <xf numFmtId="0" fontId="10" fillId="0" borderId="7" xfId="0" applyFont="1" applyBorder="1" applyAlignment="1">
      <alignment horizontal="left" vertical="center" wrapText="1"/>
    </xf>
    <xf numFmtId="9" fontId="10" fillId="0" borderId="6" xfId="0" applyNumberFormat="1" applyFont="1" applyBorder="1" applyAlignment="1">
      <alignment horizontal="center" vertical="center"/>
    </xf>
    <xf numFmtId="10" fontId="10" fillId="0" borderId="6" xfId="0" applyNumberFormat="1" applyFont="1" applyBorder="1" applyAlignment="1">
      <alignment horizontal="center" vertical="center" wrapText="1"/>
    </xf>
    <xf numFmtId="9" fontId="10" fillId="0" borderId="7" xfId="1" applyFont="1" applyFill="1" applyBorder="1" applyAlignment="1">
      <alignment horizontal="center" vertical="center" wrapText="1"/>
    </xf>
    <xf numFmtId="0" fontId="12" fillId="0" borderId="1" xfId="0" applyFont="1" applyBorder="1" applyAlignment="1">
      <alignment horizontal="left" vertical="center" wrapText="1"/>
    </xf>
    <xf numFmtId="10" fontId="11" fillId="0" borderId="6" xfId="1" applyNumberFormat="1" applyFont="1" applyFill="1" applyBorder="1" applyAlignment="1">
      <alignment horizontal="center" vertical="center" wrapText="1"/>
    </xf>
    <xf numFmtId="9" fontId="11" fillId="0" borderId="3" xfId="0" applyNumberFormat="1" applyFont="1" applyBorder="1" applyAlignment="1">
      <alignment horizontal="center" vertical="center"/>
    </xf>
    <xf numFmtId="0" fontId="10" fillId="0" borderId="4" xfId="0" applyFont="1" applyBorder="1" applyAlignment="1">
      <alignment horizontal="right" vertical="center" wrapText="1"/>
    </xf>
    <xf numFmtId="3" fontId="10" fillId="0" borderId="4" xfId="0" applyNumberFormat="1" applyFont="1" applyBorder="1" applyAlignment="1">
      <alignment horizontal="center" vertical="center" wrapText="1"/>
    </xf>
    <xf numFmtId="10" fontId="10"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10" fontId="11" fillId="0" borderId="4" xfId="1" applyNumberFormat="1" applyFont="1" applyFill="1" applyBorder="1" applyAlignment="1">
      <alignment horizontal="center" vertical="center"/>
    </xf>
    <xf numFmtId="1" fontId="14" fillId="0" borderId="4" xfId="1" applyNumberFormat="1" applyFont="1" applyFill="1" applyBorder="1" applyAlignment="1">
      <alignment horizontal="center" vertical="center"/>
    </xf>
    <xf numFmtId="41" fontId="10" fillId="0" borderId="4" xfId="3" applyFont="1" applyFill="1" applyBorder="1" applyAlignment="1">
      <alignment horizontal="center" vertical="center" wrapText="1"/>
    </xf>
    <xf numFmtId="2" fontId="10" fillId="0" borderId="4" xfId="0" applyNumberFormat="1" applyFont="1" applyBorder="1" applyAlignment="1">
      <alignment horizontal="center" vertical="center" wrapText="1"/>
    </xf>
    <xf numFmtId="164" fontId="11" fillId="0" borderId="4" xfId="0" applyNumberFormat="1" applyFont="1" applyBorder="1" applyAlignment="1">
      <alignment horizontal="center" vertical="center" wrapText="1"/>
    </xf>
    <xf numFmtId="2" fontId="11" fillId="0" borderId="4" xfId="0" applyNumberFormat="1" applyFont="1" applyBorder="1" applyAlignment="1">
      <alignment horizontal="center" vertical="center" wrapText="1"/>
    </xf>
    <xf numFmtId="0" fontId="11" fillId="0" borderId="6" xfId="0" applyFont="1" applyBorder="1" applyAlignment="1">
      <alignment horizontal="center" vertical="center"/>
    </xf>
    <xf numFmtId="9" fontId="10" fillId="0" borderId="0" xfId="0" applyNumberFormat="1" applyFont="1" applyAlignment="1">
      <alignment horizontal="center" vertical="center" wrapText="1"/>
    </xf>
    <xf numFmtId="0" fontId="11" fillId="0" borderId="1" xfId="0" applyFont="1" applyBorder="1" applyAlignment="1">
      <alignment horizontal="left" vertical="center" wrapText="1"/>
    </xf>
    <xf numFmtId="0" fontId="10" fillId="0" borderId="7" xfId="0" applyFont="1" applyBorder="1" applyAlignment="1">
      <alignment horizontal="center" vertical="center" wrapText="1"/>
    </xf>
    <xf numFmtId="0" fontId="11" fillId="0" borderId="7" xfId="0" applyFont="1" applyBorder="1" applyAlignment="1">
      <alignment vertical="center" wrapText="1"/>
    </xf>
    <xf numFmtId="14" fontId="11" fillId="0" borderId="4" xfId="0" applyNumberFormat="1" applyFont="1" applyBorder="1" applyAlignment="1">
      <alignment horizontal="center" vertical="center"/>
    </xf>
    <xf numFmtId="0" fontId="11" fillId="0" borderId="4" xfId="0" quotePrefix="1" applyFont="1" applyBorder="1" applyAlignment="1">
      <alignment horizontal="center" vertical="center" wrapText="1"/>
    </xf>
    <xf numFmtId="9" fontId="11" fillId="0" borderId="6" xfId="0" applyNumberFormat="1" applyFont="1" applyBorder="1" applyAlignment="1">
      <alignment horizontal="center" vertical="center"/>
    </xf>
    <xf numFmtId="9" fontId="11" fillId="0" borderId="4" xfId="0" applyNumberFormat="1" applyFont="1" applyBorder="1" applyAlignment="1">
      <alignment horizontal="center" vertical="center" wrapText="1"/>
    </xf>
    <xf numFmtId="0" fontId="11" fillId="0" borderId="7" xfId="0" applyFont="1" applyBorder="1" applyAlignment="1">
      <alignment horizontal="left" vertical="center" wrapText="1"/>
    </xf>
    <xf numFmtId="0" fontId="11" fillId="0" borderId="6" xfId="0" quotePrefix="1" applyFont="1" applyBorder="1" applyAlignment="1">
      <alignment horizontal="center" vertical="center"/>
    </xf>
    <xf numFmtId="1" fontId="11" fillId="0" borderId="11" xfId="1" applyNumberFormat="1" applyFont="1" applyFill="1" applyBorder="1" applyAlignment="1">
      <alignment horizontal="center" vertical="center"/>
    </xf>
    <xf numFmtId="1" fontId="10" fillId="0" borderId="4" xfId="1" applyNumberFormat="1" applyFont="1" applyFill="1" applyBorder="1" applyAlignment="1">
      <alignment horizontal="center" vertical="center"/>
    </xf>
    <xf numFmtId="1" fontId="11" fillId="0" borderId="6" xfId="0" applyNumberFormat="1" applyFont="1" applyBorder="1" applyAlignment="1">
      <alignment horizontal="center" vertical="center"/>
    </xf>
    <xf numFmtId="9" fontId="11" fillId="0" borderId="6" xfId="0" applyNumberFormat="1" applyFont="1" applyBorder="1" applyAlignment="1">
      <alignment horizontal="center" vertical="center" wrapText="1"/>
    </xf>
    <xf numFmtId="9" fontId="11" fillId="0" borderId="6" xfId="0" applyNumberFormat="1" applyFont="1" applyBorder="1" applyAlignment="1">
      <alignment horizontal="left" vertical="center" wrapText="1"/>
    </xf>
    <xf numFmtId="9" fontId="11" fillId="0" borderId="4" xfId="0" applyNumberFormat="1" applyFont="1" applyBorder="1" applyAlignment="1">
      <alignment horizontal="left" vertical="center" wrapText="1"/>
    </xf>
    <xf numFmtId="0" fontId="9" fillId="8" borderId="7" xfId="0" applyFont="1" applyFill="1" applyBorder="1" applyAlignment="1">
      <alignment horizontal="center" vertical="center" wrapText="1"/>
    </xf>
    <xf numFmtId="0" fontId="13" fillId="9" borderId="7" xfId="0" applyFont="1" applyFill="1" applyBorder="1" applyAlignment="1">
      <alignment horizontal="center" vertical="center" wrapText="1"/>
    </xf>
    <xf numFmtId="0" fontId="9" fillId="10" borderId="7" xfId="0" applyFont="1" applyFill="1" applyBorder="1" applyAlignment="1">
      <alignment horizontal="center" vertical="center" textRotation="90" wrapText="1"/>
    </xf>
    <xf numFmtId="0" fontId="9" fillId="10" borderId="7" xfId="0" applyFont="1" applyFill="1" applyBorder="1" applyAlignment="1">
      <alignment horizontal="center" vertical="center" wrapText="1"/>
    </xf>
    <xf numFmtId="0" fontId="9" fillId="10" borderId="7" xfId="0" quotePrefix="1" applyFont="1" applyFill="1" applyBorder="1" applyAlignment="1">
      <alignment horizontal="center" vertical="center" wrapText="1"/>
    </xf>
    <xf numFmtId="9" fontId="9" fillId="10" borderId="7" xfId="0" applyNumberFormat="1" applyFont="1" applyFill="1" applyBorder="1" applyAlignment="1">
      <alignment horizontal="center" vertical="center" wrapText="1"/>
    </xf>
    <xf numFmtId="0" fontId="9" fillId="10" borderId="22" xfId="0" applyFont="1" applyFill="1" applyBorder="1" applyAlignment="1">
      <alignment horizontal="center" vertical="center" wrapText="1"/>
    </xf>
    <xf numFmtId="0" fontId="13" fillId="9" borderId="23"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11" borderId="7"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9" fillId="14" borderId="4" xfId="0" applyFont="1" applyFill="1" applyBorder="1" applyAlignment="1">
      <alignment vertical="center"/>
    </xf>
    <xf numFmtId="0" fontId="9" fillId="14" borderId="1" xfId="0" applyFont="1" applyFill="1" applyBorder="1" applyAlignment="1">
      <alignment vertical="center"/>
    </xf>
    <xf numFmtId="0" fontId="13" fillId="15" borderId="4"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13" fillId="16" borderId="4"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4" borderId="4" xfId="0" applyFont="1" applyFill="1" applyBorder="1" applyAlignment="1">
      <alignment horizontal="center" vertical="center"/>
    </xf>
    <xf numFmtId="0" fontId="9" fillId="13" borderId="4" xfId="0" applyFont="1" applyFill="1" applyBorder="1" applyAlignment="1">
      <alignment horizontal="center" vertical="center"/>
    </xf>
    <xf numFmtId="0" fontId="10" fillId="0" borderId="4"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6" xfId="0" applyFont="1" applyBorder="1" applyAlignment="1">
      <alignment horizontal="left" vertical="center" wrapText="1"/>
    </xf>
    <xf numFmtId="0" fontId="10" fillId="0" borderId="18" xfId="0" applyFont="1" applyBorder="1" applyAlignment="1">
      <alignment horizontal="left" vertical="center" wrapText="1"/>
    </xf>
    <xf numFmtId="0" fontId="10" fillId="0" borderId="15" xfId="0" applyFont="1" applyBorder="1" applyAlignment="1">
      <alignment horizontal="left" vertical="center" wrapText="1"/>
    </xf>
    <xf numFmtId="0" fontId="10" fillId="0" borderId="20" xfId="0" applyFont="1" applyBorder="1" applyAlignment="1">
      <alignment horizontal="left" vertical="center" wrapText="1"/>
    </xf>
    <xf numFmtId="0" fontId="10" fillId="0" borderId="17" xfId="0" applyFont="1" applyBorder="1" applyAlignment="1">
      <alignment horizontal="left" vertical="center" wrapText="1"/>
    </xf>
    <xf numFmtId="0" fontId="10" fillId="0" borderId="14" xfId="0" applyFont="1" applyBorder="1" applyAlignment="1">
      <alignment horizontal="left" vertical="center" wrapText="1"/>
    </xf>
    <xf numFmtId="0" fontId="10" fillId="0" borderId="21" xfId="0" applyFont="1" applyBorder="1" applyAlignment="1">
      <alignment horizontal="left" vertical="center" wrapText="1"/>
    </xf>
    <xf numFmtId="0" fontId="11" fillId="0" borderId="16" xfId="0" applyFont="1" applyBorder="1" applyAlignment="1">
      <alignment vertical="center" wrapText="1"/>
    </xf>
    <xf numFmtId="0" fontId="11" fillId="0" borderId="13" xfId="0" applyFont="1" applyBorder="1" applyAlignment="1">
      <alignment vertical="center" wrapText="1"/>
    </xf>
    <xf numFmtId="0" fontId="11" fillId="0" borderId="19" xfId="0" applyFont="1" applyBorder="1" applyAlignment="1">
      <alignment vertical="center" wrapText="1"/>
    </xf>
    <xf numFmtId="9" fontId="10" fillId="0" borderId="7"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16" xfId="0" applyFont="1" applyBorder="1" applyAlignment="1">
      <alignment horizontal="left" vertical="center" wrapText="1"/>
    </xf>
    <xf numFmtId="0" fontId="11" fillId="0" borderId="13" xfId="0" applyFont="1" applyBorder="1" applyAlignment="1">
      <alignment horizontal="left" vertical="center" wrapText="1"/>
    </xf>
    <xf numFmtId="0" fontId="11" fillId="0" borderId="19" xfId="0" applyFont="1" applyBorder="1" applyAlignment="1">
      <alignment horizontal="left" vertical="center" wrapText="1"/>
    </xf>
    <xf numFmtId="0" fontId="10" fillId="0" borderId="7" xfId="0" applyFont="1" applyBorder="1" applyAlignment="1">
      <alignment horizontal="center" vertical="center" wrapText="1"/>
    </xf>
    <xf numFmtId="9" fontId="10" fillId="0" borderId="8" xfId="0" applyNumberFormat="1" applyFont="1" applyBorder="1" applyAlignment="1">
      <alignment horizontal="center" vertical="center" wrapText="1"/>
    </xf>
    <xf numFmtId="9" fontId="10" fillId="0" borderId="6" xfId="0" applyNumberFormat="1" applyFont="1" applyBorder="1" applyAlignment="1">
      <alignment horizontal="center" vertical="center" wrapText="1"/>
    </xf>
    <xf numFmtId="0" fontId="11" fillId="7" borderId="13" xfId="0" applyFont="1" applyFill="1" applyBorder="1" applyAlignment="1">
      <alignment vertical="center" wrapText="1"/>
    </xf>
    <xf numFmtId="10" fontId="10" fillId="0" borderId="4" xfId="0" applyNumberFormat="1" applyFont="1" applyBorder="1" applyAlignment="1">
      <alignment horizontal="center" vertical="center" wrapText="1"/>
    </xf>
    <xf numFmtId="0" fontId="11" fillId="0" borderId="4" xfId="0" applyFont="1" applyBorder="1" applyAlignment="1">
      <alignment vertical="center" wrapText="1"/>
    </xf>
    <xf numFmtId="10" fontId="10" fillId="0" borderId="4" xfId="1" applyNumberFormat="1" applyFont="1" applyBorder="1" applyAlignment="1">
      <alignment horizontal="center" vertical="center" wrapText="1"/>
    </xf>
    <xf numFmtId="0" fontId="11" fillId="0" borderId="7"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8" xfId="0" applyFont="1" applyBorder="1" applyAlignment="1">
      <alignment horizontal="left" vertical="center" wrapText="1"/>
    </xf>
    <xf numFmtId="10" fontId="10" fillId="0" borderId="8" xfId="0" applyNumberFormat="1" applyFont="1" applyBorder="1" applyAlignment="1">
      <alignment horizontal="center" vertical="center" wrapText="1"/>
    </xf>
    <xf numFmtId="10" fontId="10" fillId="0" borderId="6" xfId="0" applyNumberFormat="1" applyFont="1" applyBorder="1" applyAlignment="1">
      <alignment horizontal="center" vertical="center" wrapText="1"/>
    </xf>
    <xf numFmtId="0" fontId="9" fillId="0" borderId="6"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right" vertical="center"/>
    </xf>
    <xf numFmtId="0" fontId="4" fillId="0" borderId="0" xfId="0" applyFont="1" applyAlignment="1">
      <alignment horizontal="right" vertical="center"/>
    </xf>
    <xf numFmtId="0" fontId="7" fillId="4" borderId="5" xfId="0" applyFont="1" applyFill="1" applyBorder="1" applyAlignment="1">
      <alignment horizontal="center"/>
    </xf>
    <xf numFmtId="0" fontId="7" fillId="4" borderId="0" xfId="0" applyFont="1" applyFill="1" applyAlignment="1">
      <alignment horizontal="center"/>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left"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5" fillId="0" borderId="4" xfId="0" applyFont="1" applyBorder="1" applyAlignment="1">
      <alignment horizontal="center" vertical="center" wrapText="1"/>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10" fillId="0" borderId="4" xfId="0" applyFont="1" applyFill="1" applyBorder="1" applyAlignment="1">
      <alignment horizontal="center" vertical="center" wrapText="1"/>
    </xf>
    <xf numFmtId="9" fontId="10" fillId="0" borderId="4" xfId="0" applyNumberFormat="1" applyFont="1" applyFill="1" applyBorder="1" applyAlignment="1">
      <alignment horizontal="center" vertical="center" wrapText="1"/>
    </xf>
    <xf numFmtId="2" fontId="10" fillId="0" borderId="4" xfId="0" applyNumberFormat="1" applyFont="1" applyFill="1" applyBorder="1" applyAlignment="1">
      <alignment horizontal="center" vertical="center" wrapText="1"/>
    </xf>
    <xf numFmtId="10" fontId="10" fillId="0" borderId="7" xfId="1" applyNumberFormat="1" applyFont="1" applyFill="1" applyBorder="1" applyAlignment="1">
      <alignment horizontal="center" vertical="center"/>
    </xf>
    <xf numFmtId="10" fontId="10" fillId="0" borderId="6" xfId="0" applyNumberFormat="1" applyFont="1" applyFill="1" applyBorder="1" applyAlignment="1">
      <alignment horizontal="center" vertical="center" wrapText="1"/>
    </xf>
    <xf numFmtId="0" fontId="10" fillId="0" borderId="4" xfId="0" applyFont="1" applyFill="1" applyBorder="1" applyAlignment="1">
      <alignment vertical="center" wrapText="1"/>
    </xf>
    <xf numFmtId="9" fontId="11" fillId="0" borderId="4" xfId="0" applyNumberFormat="1" applyFont="1" applyFill="1" applyBorder="1" applyAlignment="1">
      <alignment horizontal="center" vertical="center"/>
    </xf>
    <xf numFmtId="10" fontId="10" fillId="0" borderId="4" xfId="0" applyNumberFormat="1" applyFont="1" applyFill="1" applyBorder="1" applyAlignment="1">
      <alignment horizontal="center" vertical="center" wrapText="1"/>
    </xf>
    <xf numFmtId="0" fontId="2" fillId="0" borderId="0" xfId="0" applyFont="1" applyFill="1" applyAlignment="1">
      <alignment horizontal="center" vertical="center"/>
    </xf>
    <xf numFmtId="0" fontId="0" fillId="0" borderId="0" xfId="0" applyFill="1"/>
    <xf numFmtId="9" fontId="10" fillId="0" borderId="4" xfId="0" applyNumberFormat="1" applyFont="1" applyFill="1" applyBorder="1" applyAlignment="1">
      <alignment horizontal="center" vertical="center"/>
    </xf>
  </cellXfs>
  <cellStyles count="4">
    <cellStyle name="Millares [0] 2" xfId="3" xr:uid="{D836B711-7FF3-47DE-8B94-6F0D32098DC7}"/>
    <cellStyle name="Moneda 2" xfId="2" xr:uid="{80D260BB-F04B-4F26-87E2-0342C936C3C6}"/>
    <cellStyle name="Normal" xfId="0" builtinId="0"/>
    <cellStyle name="Porcentaje 2" xfId="1" xr:uid="{C6B8616E-7CB2-40A0-A19D-EC477B1A10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84</xdr:col>
      <xdr:colOff>571501</xdr:colOff>
      <xdr:row>0</xdr:row>
      <xdr:rowOff>66675</xdr:rowOff>
    </xdr:from>
    <xdr:ext cx="1040366" cy="498968"/>
    <xdr:pic>
      <xdr:nvPicPr>
        <xdr:cNvPr id="2" name="Imagen 1">
          <a:extLst>
            <a:ext uri="{FF2B5EF4-FFF2-40B4-BE49-F238E27FC236}">
              <a16:creationId xmlns:a16="http://schemas.microsoft.com/office/drawing/2014/main" id="{45BB039D-D660-43E8-9713-946AEB1E3721}"/>
            </a:ext>
          </a:extLst>
        </xdr:cNvPr>
        <xdr:cNvPicPr>
          <a:picLocks noChangeAspect="1"/>
        </xdr:cNvPicPr>
      </xdr:nvPicPr>
      <xdr:blipFill>
        <a:blip xmlns:r="http://schemas.openxmlformats.org/officeDocument/2006/relationships" r:embed="rId1"/>
        <a:stretch>
          <a:fillRect/>
        </a:stretch>
      </xdr:blipFill>
      <xdr:spPr>
        <a:xfrm>
          <a:off x="67627501" y="66675"/>
          <a:ext cx="1040366" cy="498968"/>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Pablo Emilio Ovalle Pineda" id="{BEBBC7D5-2069-49E9-97F6-46B3352CDA75}" userId="S::pablo.ovalle@unp.gov.co::d1652a53-d7dd-4b39-adfa-d14ecb99dd7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M60" dT="2023-04-18T22:17:21.54" personId="{BEBBC7D5-2069-49E9-97F6-46B3352CDA75}" id="{EF5A6BB7-7186-411E-AD5E-DA050D9A9629}">
    <text>Actualizar el documento con la firma del responsable del proceso en Dirección ya sea Luis Saavedra o el señor Director (Ojo Ana María Gonzalez, sabe de este tema)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A2B81-F095-4308-9B76-08B03BC0B675}">
  <dimension ref="A1:CL82"/>
  <sheetViews>
    <sheetView tabSelected="1" zoomScale="64" zoomScaleNormal="64" workbookViewId="0">
      <pane ySplit="5" topLeftCell="A6" activePane="bottomLeft" state="frozen"/>
      <selection activeCell="A5" sqref="A5"/>
      <selection pane="bottomLeft" activeCell="A5" sqref="A5"/>
    </sheetView>
  </sheetViews>
  <sheetFormatPr baseColWidth="10" defaultRowHeight="15" x14ac:dyDescent="0.25"/>
  <cols>
    <col min="1" max="1" width="39.42578125" customWidth="1"/>
    <col min="2" max="2" width="53.5703125" customWidth="1"/>
    <col min="3" max="3" width="46.5703125" customWidth="1"/>
    <col min="4" max="4" width="76.5703125" customWidth="1"/>
    <col min="5" max="5" width="61.85546875" customWidth="1"/>
    <col min="6" max="6" width="49.85546875" customWidth="1"/>
    <col min="7" max="7" width="26.140625" customWidth="1"/>
    <col min="8" max="8" width="47.140625" customWidth="1"/>
    <col min="9" max="9" width="105" customWidth="1"/>
    <col min="10" max="10" width="37" style="1" customWidth="1"/>
    <col min="11" max="11" width="20.7109375" customWidth="1"/>
    <col min="12" max="12" width="27.140625" customWidth="1"/>
    <col min="13" max="13" width="22.42578125" customWidth="1"/>
    <col min="14" max="14" width="96.85546875" customWidth="1"/>
    <col min="15" max="15" width="19" customWidth="1"/>
    <col min="16" max="16" width="87.7109375" customWidth="1"/>
    <col min="17" max="17" width="19.42578125" hidden="1" customWidth="1"/>
    <col min="18" max="18" width="18.85546875" hidden="1" customWidth="1"/>
    <col min="19" max="19" width="91.5703125" customWidth="1"/>
    <col min="20" max="20" width="16.28515625" customWidth="1"/>
    <col min="21" max="21" width="96.42578125" customWidth="1"/>
    <col min="22" max="22" width="14.28515625" customWidth="1"/>
    <col min="23" max="23" width="20.7109375" customWidth="1"/>
    <col min="24" max="24" width="36.28515625" hidden="1" customWidth="1"/>
    <col min="25" max="25" width="40" hidden="1" customWidth="1"/>
    <col min="26" max="26" width="20.7109375" hidden="1" customWidth="1"/>
    <col min="27" max="27" width="15.5703125" customWidth="1"/>
    <col min="28" max="28" width="10.5703125" customWidth="1"/>
    <col min="29" max="29" width="12.140625" customWidth="1"/>
    <col min="30" max="30" width="12.28515625" customWidth="1"/>
    <col min="31" max="31" width="15.42578125" customWidth="1"/>
    <col min="32" max="32" width="12.85546875" customWidth="1"/>
    <col min="33" max="33" width="12.5703125" customWidth="1"/>
    <col min="34" max="34" width="10.7109375" customWidth="1"/>
    <col min="35" max="35" width="11.5703125" customWidth="1"/>
    <col min="36" max="36" width="11.140625" customWidth="1"/>
    <col min="37" max="37" width="15.42578125" customWidth="1"/>
    <col min="38" max="38" width="10.42578125" customWidth="1"/>
    <col min="39" max="39" width="15.7109375" customWidth="1"/>
    <col min="40" max="40" width="7.140625" customWidth="1"/>
    <col min="41" max="70" width="11.42578125" customWidth="1"/>
    <col min="71" max="71" width="11.42578125" style="209" customWidth="1"/>
    <col min="72" max="72" width="12" customWidth="1"/>
    <col min="73" max="76" width="11.42578125" customWidth="1"/>
    <col min="77" max="77" width="11.42578125" style="209" customWidth="1"/>
    <col min="78" max="88" width="11.42578125" customWidth="1"/>
    <col min="89" max="89" width="12.5703125" bestFit="1" customWidth="1"/>
    <col min="90" max="90" width="18.28515625" bestFit="1" customWidth="1"/>
  </cols>
  <sheetData>
    <row r="1" spans="1:90" ht="42" customHeight="1" x14ac:dyDescent="0.25">
      <c r="A1" s="116"/>
      <c r="B1" s="116"/>
      <c r="C1" s="118" t="s">
        <v>462</v>
      </c>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c r="BT1" s="118"/>
      <c r="BU1" s="118"/>
      <c r="BV1" s="118"/>
      <c r="BW1" s="118"/>
      <c r="BX1" s="118"/>
      <c r="BY1" s="118"/>
      <c r="BZ1" s="118"/>
      <c r="CA1" s="118"/>
      <c r="CB1" s="118"/>
      <c r="CC1" s="118"/>
      <c r="CD1" s="118"/>
      <c r="CE1" s="118"/>
      <c r="CF1" s="118"/>
      <c r="CG1" s="118"/>
      <c r="CH1" s="118"/>
      <c r="CI1" s="118"/>
      <c r="CJ1" s="118"/>
      <c r="CK1" s="118"/>
      <c r="CL1" s="118"/>
    </row>
    <row r="2" spans="1:90" ht="42" customHeight="1" x14ac:dyDescent="0.25">
      <c r="A2" s="116"/>
      <c r="B2" s="116"/>
      <c r="C2" s="120" t="s">
        <v>461</v>
      </c>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18"/>
      <c r="BN2" s="118"/>
      <c r="BO2" s="118"/>
      <c r="BP2" s="118"/>
      <c r="BQ2" s="118"/>
      <c r="BR2" s="118"/>
      <c r="BS2" s="118"/>
      <c r="BT2" s="118"/>
      <c r="BU2" s="118"/>
      <c r="BV2" s="118"/>
      <c r="BW2" s="118"/>
      <c r="BX2" s="118"/>
      <c r="BY2" s="118"/>
      <c r="BZ2" s="118"/>
      <c r="CA2" s="118"/>
      <c r="CB2" s="118"/>
      <c r="CC2" s="118"/>
      <c r="CD2" s="118"/>
      <c r="CE2" s="118"/>
      <c r="CF2" s="118"/>
      <c r="CG2" s="118"/>
      <c r="CH2" s="118"/>
      <c r="CI2" s="118"/>
      <c r="CJ2" s="118"/>
      <c r="CK2" s="118"/>
      <c r="CL2" s="118"/>
    </row>
    <row r="3" spans="1:90" ht="42" customHeight="1" x14ac:dyDescent="0.25">
      <c r="A3" s="117"/>
      <c r="B3" s="117"/>
      <c r="C3" s="122" t="s">
        <v>460</v>
      </c>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19"/>
      <c r="BN3" s="119"/>
      <c r="BO3" s="119"/>
      <c r="BP3" s="119"/>
      <c r="BQ3" s="119"/>
      <c r="BR3" s="119"/>
      <c r="BS3" s="119"/>
      <c r="BT3" s="119"/>
      <c r="BU3" s="119"/>
      <c r="BV3" s="119"/>
      <c r="BW3" s="119"/>
      <c r="BX3" s="119"/>
      <c r="BY3" s="119"/>
      <c r="BZ3" s="119"/>
      <c r="CA3" s="119"/>
      <c r="CB3" s="119"/>
      <c r="CC3" s="119"/>
      <c r="CD3" s="119"/>
      <c r="CE3" s="119"/>
      <c r="CF3" s="119"/>
      <c r="CG3" s="119"/>
      <c r="CH3" s="119"/>
      <c r="CI3" s="119"/>
      <c r="CJ3" s="119"/>
      <c r="CK3" s="119"/>
      <c r="CL3" s="119"/>
    </row>
    <row r="4" spans="1:90" ht="42" customHeight="1" x14ac:dyDescent="0.25">
      <c r="A4" s="124" t="s">
        <v>459</v>
      </c>
      <c r="B4" s="124"/>
      <c r="C4" s="124"/>
      <c r="D4" s="124"/>
      <c r="E4" s="115" t="s">
        <v>458</v>
      </c>
      <c r="F4" s="125" t="s">
        <v>457</v>
      </c>
      <c r="G4" s="126"/>
      <c r="H4" s="126"/>
      <c r="I4" s="126"/>
      <c r="J4" s="126"/>
      <c r="K4" s="126"/>
      <c r="L4" s="126"/>
      <c r="M4" s="127"/>
      <c r="N4" s="114"/>
      <c r="O4" s="113"/>
      <c r="P4" s="113"/>
      <c r="Q4" s="113"/>
      <c r="R4" s="113"/>
      <c r="S4" s="113"/>
      <c r="T4" s="113"/>
      <c r="U4" s="113"/>
      <c r="V4" s="113"/>
      <c r="W4" s="128" t="s">
        <v>456</v>
      </c>
      <c r="X4" s="130" t="s">
        <v>455</v>
      </c>
      <c r="Y4" s="130" t="s">
        <v>454</v>
      </c>
      <c r="Z4" s="130" t="s">
        <v>453</v>
      </c>
      <c r="AA4" s="130" t="s">
        <v>452</v>
      </c>
      <c r="AB4" s="131" t="s">
        <v>451</v>
      </c>
      <c r="AC4" s="131"/>
      <c r="AD4" s="131"/>
      <c r="AE4" s="131"/>
      <c r="AF4" s="131"/>
      <c r="AG4" s="131"/>
      <c r="AH4" s="131"/>
      <c r="AI4" s="131"/>
      <c r="AJ4" s="131"/>
      <c r="AK4" s="131"/>
      <c r="AL4" s="131"/>
      <c r="AM4" s="131"/>
      <c r="AN4" s="130" t="s">
        <v>450</v>
      </c>
      <c r="AO4" s="132" t="s">
        <v>449</v>
      </c>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t="s">
        <v>448</v>
      </c>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row>
    <row r="5" spans="1:90" ht="42" customHeight="1" x14ac:dyDescent="0.25">
      <c r="A5" s="112" t="s">
        <v>447</v>
      </c>
      <c r="B5" s="112" t="s">
        <v>446</v>
      </c>
      <c r="C5" s="112" t="s">
        <v>445</v>
      </c>
      <c r="D5" s="112" t="s">
        <v>444</v>
      </c>
      <c r="E5" s="111" t="s">
        <v>443</v>
      </c>
      <c r="F5" s="103" t="s">
        <v>442</v>
      </c>
      <c r="G5" s="103" t="s">
        <v>441</v>
      </c>
      <c r="H5" s="110" t="s">
        <v>440</v>
      </c>
      <c r="I5" s="103" t="s">
        <v>439</v>
      </c>
      <c r="J5" s="103" t="s">
        <v>438</v>
      </c>
      <c r="K5" s="103" t="s">
        <v>437</v>
      </c>
      <c r="L5" s="103" t="s">
        <v>436</v>
      </c>
      <c r="M5" s="109" t="s">
        <v>435</v>
      </c>
      <c r="N5" s="108" t="s">
        <v>434</v>
      </c>
      <c r="O5" s="107" t="s">
        <v>433</v>
      </c>
      <c r="P5" s="105" t="s">
        <v>20</v>
      </c>
      <c r="Q5" s="105" t="s">
        <v>432</v>
      </c>
      <c r="R5" s="105" t="s">
        <v>431</v>
      </c>
      <c r="S5" s="106" t="s">
        <v>430</v>
      </c>
      <c r="T5" s="105" t="s">
        <v>429</v>
      </c>
      <c r="U5" s="105" t="s">
        <v>428</v>
      </c>
      <c r="V5" s="105" t="s">
        <v>427</v>
      </c>
      <c r="W5" s="129"/>
      <c r="X5" s="130"/>
      <c r="Y5" s="130"/>
      <c r="Z5" s="130"/>
      <c r="AA5" s="130"/>
      <c r="AB5" s="104" t="s">
        <v>426</v>
      </c>
      <c r="AC5" s="104" t="s">
        <v>425</v>
      </c>
      <c r="AD5" s="104" t="s">
        <v>424</v>
      </c>
      <c r="AE5" s="104" t="s">
        <v>423</v>
      </c>
      <c r="AF5" s="104" t="s">
        <v>422</v>
      </c>
      <c r="AG5" s="104" t="s">
        <v>421</v>
      </c>
      <c r="AH5" s="104" t="s">
        <v>420</v>
      </c>
      <c r="AI5" s="104" t="s">
        <v>419</v>
      </c>
      <c r="AJ5" s="104" t="s">
        <v>418</v>
      </c>
      <c r="AK5" s="104" t="s">
        <v>417</v>
      </c>
      <c r="AL5" s="104" t="s">
        <v>416</v>
      </c>
      <c r="AM5" s="104" t="s">
        <v>415</v>
      </c>
      <c r="AN5" s="130"/>
      <c r="AO5" s="102" t="s">
        <v>413</v>
      </c>
      <c r="AP5" s="102" t="s">
        <v>414</v>
      </c>
      <c r="AQ5" s="103" t="s">
        <v>408</v>
      </c>
      <c r="AR5" s="103" t="s">
        <v>407</v>
      </c>
      <c r="AS5" s="103" t="s">
        <v>406</v>
      </c>
      <c r="AT5" s="103" t="s">
        <v>405</v>
      </c>
      <c r="AU5" s="103" t="s">
        <v>412</v>
      </c>
      <c r="AV5" s="102" t="s">
        <v>414</v>
      </c>
      <c r="AW5" s="103" t="s">
        <v>408</v>
      </c>
      <c r="AX5" s="103" t="s">
        <v>407</v>
      </c>
      <c r="AY5" s="103" t="s">
        <v>406</v>
      </c>
      <c r="AZ5" s="103" t="s">
        <v>405</v>
      </c>
      <c r="BA5" s="102" t="s">
        <v>411</v>
      </c>
      <c r="BB5" s="102" t="s">
        <v>414</v>
      </c>
      <c r="BC5" s="103" t="s">
        <v>408</v>
      </c>
      <c r="BD5" s="103" t="s">
        <v>407</v>
      </c>
      <c r="BE5" s="103" t="s">
        <v>406</v>
      </c>
      <c r="BF5" s="103" t="s">
        <v>405</v>
      </c>
      <c r="BG5" s="102" t="s">
        <v>410</v>
      </c>
      <c r="BH5" s="102" t="s">
        <v>414</v>
      </c>
      <c r="BI5" s="103" t="s">
        <v>408</v>
      </c>
      <c r="BJ5" s="103" t="s">
        <v>407</v>
      </c>
      <c r="BK5" s="103" t="s">
        <v>406</v>
      </c>
      <c r="BL5" s="103" t="s">
        <v>405</v>
      </c>
      <c r="BM5" s="102" t="s">
        <v>413</v>
      </c>
      <c r="BN5" s="102" t="s">
        <v>409</v>
      </c>
      <c r="BO5" s="103" t="s">
        <v>408</v>
      </c>
      <c r="BP5" s="103" t="s">
        <v>407</v>
      </c>
      <c r="BQ5" s="103" t="s">
        <v>406</v>
      </c>
      <c r="BR5" s="103" t="s">
        <v>405</v>
      </c>
      <c r="BS5" s="102" t="s">
        <v>412</v>
      </c>
      <c r="BT5" s="102" t="s">
        <v>409</v>
      </c>
      <c r="BU5" s="103" t="s">
        <v>408</v>
      </c>
      <c r="BV5" s="103" t="s">
        <v>407</v>
      </c>
      <c r="BW5" s="103" t="s">
        <v>406</v>
      </c>
      <c r="BX5" s="103" t="s">
        <v>405</v>
      </c>
      <c r="BY5" s="102" t="s">
        <v>411</v>
      </c>
      <c r="BZ5" s="102" t="s">
        <v>409</v>
      </c>
      <c r="CA5" s="103" t="s">
        <v>408</v>
      </c>
      <c r="CB5" s="103" t="s">
        <v>407</v>
      </c>
      <c r="CC5" s="103" t="s">
        <v>406</v>
      </c>
      <c r="CD5" s="103" t="s">
        <v>405</v>
      </c>
      <c r="CE5" s="102" t="s">
        <v>410</v>
      </c>
      <c r="CF5" s="102" t="s">
        <v>409</v>
      </c>
      <c r="CG5" s="103" t="s">
        <v>408</v>
      </c>
      <c r="CH5" s="103" t="s">
        <v>407</v>
      </c>
      <c r="CI5" s="103" t="s">
        <v>406</v>
      </c>
      <c r="CJ5" s="103" t="s">
        <v>405</v>
      </c>
      <c r="CK5" s="102" t="s">
        <v>404</v>
      </c>
      <c r="CL5" s="102" t="s">
        <v>403</v>
      </c>
    </row>
    <row r="6" spans="1:90" ht="78" customHeight="1" x14ac:dyDescent="0.25">
      <c r="A6" s="133" t="s">
        <v>402</v>
      </c>
      <c r="B6" s="134" t="s">
        <v>401</v>
      </c>
      <c r="C6" s="134" t="s">
        <v>400</v>
      </c>
      <c r="D6" s="137" t="s">
        <v>399</v>
      </c>
      <c r="E6" s="140" t="s">
        <v>333</v>
      </c>
      <c r="F6" s="143" t="s">
        <v>398</v>
      </c>
      <c r="G6" s="146"/>
      <c r="H6" s="137" t="s">
        <v>331</v>
      </c>
      <c r="I6" s="149" t="s">
        <v>397</v>
      </c>
      <c r="J6" s="152" t="s">
        <v>28</v>
      </c>
      <c r="K6" s="11" t="s">
        <v>383</v>
      </c>
      <c r="L6" s="16" t="s">
        <v>38</v>
      </c>
      <c r="M6" s="146">
        <v>1</v>
      </c>
      <c r="N6" s="17" t="s">
        <v>396</v>
      </c>
      <c r="O6" s="9">
        <v>0.25</v>
      </c>
      <c r="P6" s="17" t="s">
        <v>395</v>
      </c>
      <c r="Q6" s="11" t="s">
        <v>17</v>
      </c>
      <c r="R6" s="11" t="s">
        <v>17</v>
      </c>
      <c r="S6" s="17" t="s">
        <v>394</v>
      </c>
      <c r="T6" s="16" t="s">
        <v>34</v>
      </c>
      <c r="U6" s="101" t="s">
        <v>393</v>
      </c>
      <c r="V6" s="93" t="s">
        <v>32</v>
      </c>
      <c r="W6" s="16" t="s">
        <v>232</v>
      </c>
      <c r="X6" s="13" t="s">
        <v>18</v>
      </c>
      <c r="Y6" s="11" t="s">
        <v>17</v>
      </c>
      <c r="Z6" s="11" t="s">
        <v>17</v>
      </c>
      <c r="AA6" s="13" t="s">
        <v>30</v>
      </c>
      <c r="AB6" s="13"/>
      <c r="AC6" s="13"/>
      <c r="AD6" s="15"/>
      <c r="AE6" s="13"/>
      <c r="AF6" s="13"/>
      <c r="AG6" s="15">
        <v>1</v>
      </c>
      <c r="AH6" s="13"/>
      <c r="AI6" s="13"/>
      <c r="AJ6" s="15"/>
      <c r="AK6" s="13"/>
      <c r="AL6" s="13"/>
      <c r="AM6" s="15">
        <v>1</v>
      </c>
      <c r="AN6" s="74">
        <v>1</v>
      </c>
      <c r="AO6" s="10"/>
      <c r="AP6" s="33"/>
      <c r="AQ6" s="33"/>
      <c r="AR6" s="33"/>
      <c r="AS6" s="33"/>
      <c r="AT6" s="33"/>
      <c r="AU6" s="10">
        <f>1/1</f>
        <v>1</v>
      </c>
      <c r="AV6" s="33">
        <f t="shared" ref="AV6:AV14" si="0">(AW6+AX6+AY6+AZ6)</f>
        <v>0.5</v>
      </c>
      <c r="AW6" s="33">
        <v>0.25</v>
      </c>
      <c r="AX6" s="33">
        <v>0</v>
      </c>
      <c r="AY6" s="33">
        <v>0.25</v>
      </c>
      <c r="AZ6" s="33">
        <v>0</v>
      </c>
      <c r="BA6" s="10"/>
      <c r="BB6" s="9"/>
      <c r="BC6" s="9"/>
      <c r="BD6" s="9"/>
      <c r="BE6" s="9"/>
      <c r="BF6" s="9"/>
      <c r="BG6" s="8"/>
      <c r="BH6" s="8"/>
      <c r="BI6" s="8"/>
      <c r="BJ6" s="8"/>
      <c r="BK6" s="8"/>
      <c r="BL6" s="8"/>
      <c r="BM6" s="10">
        <v>1</v>
      </c>
      <c r="BN6" s="10">
        <v>1</v>
      </c>
      <c r="BO6" s="9">
        <v>0.25</v>
      </c>
      <c r="BP6" s="9">
        <v>0.25</v>
      </c>
      <c r="BQ6" s="9">
        <v>0.25</v>
      </c>
      <c r="BR6" s="9">
        <v>0.25</v>
      </c>
      <c r="BS6" s="10">
        <f>1/1</f>
        <v>1</v>
      </c>
      <c r="BT6" s="10">
        <f>(BU6+BV6+BW6+BX6)</f>
        <v>0.5</v>
      </c>
      <c r="BU6" s="9">
        <v>0.25</v>
      </c>
      <c r="BV6" s="9">
        <v>0</v>
      </c>
      <c r="BW6" s="9">
        <v>0.25</v>
      </c>
      <c r="BX6" s="9">
        <v>0</v>
      </c>
      <c r="BY6" s="10"/>
      <c r="BZ6" s="10"/>
      <c r="CA6" s="9"/>
      <c r="CB6" s="9"/>
      <c r="CC6" s="9"/>
      <c r="CD6" s="9"/>
      <c r="CE6" s="8"/>
      <c r="CF6" s="8"/>
      <c r="CG6" s="8"/>
      <c r="CH6" s="8"/>
      <c r="CI6" s="8"/>
      <c r="CJ6" s="8"/>
      <c r="CK6" s="9">
        <v>1</v>
      </c>
      <c r="CL6" s="42">
        <v>1</v>
      </c>
    </row>
    <row r="7" spans="1:90" ht="78" customHeight="1" x14ac:dyDescent="0.25">
      <c r="A7" s="133"/>
      <c r="B7" s="135"/>
      <c r="C7" s="135"/>
      <c r="D7" s="138"/>
      <c r="E7" s="141"/>
      <c r="F7" s="144"/>
      <c r="G7" s="147"/>
      <c r="H7" s="138"/>
      <c r="I7" s="150"/>
      <c r="J7" s="147"/>
      <c r="K7" s="11" t="s">
        <v>383</v>
      </c>
      <c r="L7" s="16" t="s">
        <v>38</v>
      </c>
      <c r="M7" s="153"/>
      <c r="N7" s="17" t="s">
        <v>392</v>
      </c>
      <c r="O7" s="9">
        <v>0.25</v>
      </c>
      <c r="P7" s="44" t="s">
        <v>391</v>
      </c>
      <c r="Q7" s="11" t="s">
        <v>17</v>
      </c>
      <c r="R7" s="11" t="s">
        <v>17</v>
      </c>
      <c r="S7" s="44" t="s">
        <v>390</v>
      </c>
      <c r="T7" s="18" t="s">
        <v>22</v>
      </c>
      <c r="U7" s="44" t="s">
        <v>389</v>
      </c>
      <c r="V7" s="99" t="s">
        <v>20</v>
      </c>
      <c r="W7" s="16" t="s">
        <v>232</v>
      </c>
      <c r="X7" s="13" t="s">
        <v>18</v>
      </c>
      <c r="Y7" s="11" t="s">
        <v>17</v>
      </c>
      <c r="Z7" s="11" t="s">
        <v>17</v>
      </c>
      <c r="AA7" s="85" t="s">
        <v>30</v>
      </c>
      <c r="AB7" s="85"/>
      <c r="AC7" s="85"/>
      <c r="AD7" s="92"/>
      <c r="AE7" s="85"/>
      <c r="AF7" s="85"/>
      <c r="AG7" s="11">
        <v>2</v>
      </c>
      <c r="AH7" s="85"/>
      <c r="AI7" s="85"/>
      <c r="AJ7" s="98"/>
      <c r="AK7" s="85"/>
      <c r="AL7" s="85"/>
      <c r="AM7" s="11">
        <v>2</v>
      </c>
      <c r="AN7" s="11">
        <v>4</v>
      </c>
      <c r="AO7" s="8"/>
      <c r="AP7" s="8"/>
      <c r="AQ7" s="8"/>
      <c r="AR7" s="8"/>
      <c r="AS7" s="8"/>
      <c r="AT7" s="8"/>
      <c r="AU7" s="97">
        <v>2</v>
      </c>
      <c r="AV7" s="33">
        <f t="shared" si="0"/>
        <v>0.5</v>
      </c>
      <c r="AW7" s="33">
        <v>0.25</v>
      </c>
      <c r="AX7" s="33">
        <v>0</v>
      </c>
      <c r="AY7" s="33">
        <v>0.25</v>
      </c>
      <c r="AZ7" s="33">
        <v>0</v>
      </c>
      <c r="BA7" s="8"/>
      <c r="BB7" s="8"/>
      <c r="BC7" s="8"/>
      <c r="BD7" s="8"/>
      <c r="BE7" s="8"/>
      <c r="BF7" s="8"/>
      <c r="BG7" s="8"/>
      <c r="BH7" s="8"/>
      <c r="BI7" s="8"/>
      <c r="BJ7" s="8"/>
      <c r="BK7" s="8"/>
      <c r="BL7" s="8"/>
      <c r="BM7" s="8"/>
      <c r="BN7" s="8"/>
      <c r="BO7" s="8"/>
      <c r="BP7" s="8"/>
      <c r="BQ7" s="8"/>
      <c r="BR7" s="8"/>
      <c r="BS7" s="200">
        <v>2</v>
      </c>
      <c r="BT7" s="10">
        <f>(BU7+BV7+BW7+BX7)</f>
        <v>0.5</v>
      </c>
      <c r="BU7" s="33">
        <v>0.25</v>
      </c>
      <c r="BV7" s="33">
        <v>0</v>
      </c>
      <c r="BW7" s="33">
        <v>0.25</v>
      </c>
      <c r="BX7" s="33">
        <v>0</v>
      </c>
      <c r="BY7" s="205"/>
      <c r="BZ7" s="8"/>
      <c r="CA7" s="8"/>
      <c r="CB7" s="8"/>
      <c r="CC7" s="8"/>
      <c r="CD7" s="8"/>
      <c r="CE7" s="8"/>
      <c r="CF7" s="8"/>
      <c r="CG7" s="8"/>
      <c r="CH7" s="8"/>
      <c r="CI7" s="8"/>
      <c r="CJ7" s="8"/>
      <c r="CK7" s="45">
        <v>2</v>
      </c>
      <c r="CL7" s="42">
        <f>2/4</f>
        <v>0.5</v>
      </c>
    </row>
    <row r="8" spans="1:90" ht="78" customHeight="1" x14ac:dyDescent="0.25">
      <c r="A8" s="133"/>
      <c r="B8" s="135"/>
      <c r="C8" s="135"/>
      <c r="D8" s="138"/>
      <c r="E8" s="141"/>
      <c r="F8" s="144"/>
      <c r="G8" s="147"/>
      <c r="H8" s="138"/>
      <c r="I8" s="150"/>
      <c r="J8" s="147"/>
      <c r="K8" s="11" t="s">
        <v>388</v>
      </c>
      <c r="L8" s="16" t="s">
        <v>38</v>
      </c>
      <c r="M8" s="153"/>
      <c r="N8" s="17" t="s">
        <v>387</v>
      </c>
      <c r="O8" s="9">
        <v>0.25</v>
      </c>
      <c r="P8" s="44" t="s">
        <v>386</v>
      </c>
      <c r="Q8" s="11" t="s">
        <v>17</v>
      </c>
      <c r="R8" s="11" t="s">
        <v>17</v>
      </c>
      <c r="S8" s="44" t="s">
        <v>385</v>
      </c>
      <c r="T8" s="18" t="s">
        <v>34</v>
      </c>
      <c r="U8" s="100" t="s">
        <v>384</v>
      </c>
      <c r="V8" s="99" t="s">
        <v>32</v>
      </c>
      <c r="W8" s="16" t="s">
        <v>296</v>
      </c>
      <c r="X8" s="13" t="s">
        <v>18</v>
      </c>
      <c r="Y8" s="11" t="s">
        <v>17</v>
      </c>
      <c r="Z8" s="11" t="s">
        <v>17</v>
      </c>
      <c r="AA8" s="85" t="s">
        <v>41</v>
      </c>
      <c r="AB8" s="85"/>
      <c r="AC8" s="85"/>
      <c r="AD8" s="92">
        <v>1</v>
      </c>
      <c r="AE8" s="85"/>
      <c r="AF8" s="85"/>
      <c r="AG8" s="92">
        <v>1</v>
      </c>
      <c r="AH8" s="85"/>
      <c r="AI8" s="85"/>
      <c r="AJ8" s="92">
        <v>1</v>
      </c>
      <c r="AK8" s="85"/>
      <c r="AL8" s="85"/>
      <c r="AM8" s="92">
        <v>1</v>
      </c>
      <c r="AN8" s="92">
        <v>1</v>
      </c>
      <c r="AO8" s="15">
        <v>1</v>
      </c>
      <c r="AP8" s="15">
        <f>AQ8+AR8+AS8+AT8</f>
        <v>0.75</v>
      </c>
      <c r="AQ8" s="15">
        <v>0.25</v>
      </c>
      <c r="AR8" s="15">
        <v>0.25</v>
      </c>
      <c r="AS8" s="15">
        <v>0</v>
      </c>
      <c r="AT8" s="15">
        <v>0.25</v>
      </c>
      <c r="AU8" s="30">
        <v>1</v>
      </c>
      <c r="AV8" s="33">
        <f t="shared" si="0"/>
        <v>0.5</v>
      </c>
      <c r="AW8" s="33">
        <v>0.25</v>
      </c>
      <c r="AX8" s="33">
        <v>0</v>
      </c>
      <c r="AY8" s="33">
        <v>0.25</v>
      </c>
      <c r="AZ8" s="33">
        <v>0</v>
      </c>
      <c r="BA8" s="30">
        <v>1</v>
      </c>
      <c r="BB8" s="33">
        <f>(BC8+BD8+BE8+BF8)</f>
        <v>1</v>
      </c>
      <c r="BC8" s="33">
        <v>0.25</v>
      </c>
      <c r="BD8" s="33">
        <v>0.25</v>
      </c>
      <c r="BE8" s="33">
        <v>0.25</v>
      </c>
      <c r="BF8" s="33">
        <v>0.25</v>
      </c>
      <c r="BG8" s="8"/>
      <c r="BH8" s="8"/>
      <c r="BI8" s="8"/>
      <c r="BJ8" s="8"/>
      <c r="BK8" s="8"/>
      <c r="BL8" s="8"/>
      <c r="BM8" s="9">
        <v>1</v>
      </c>
      <c r="BN8" s="15">
        <f>BO8+BP8+BQ8+BR8</f>
        <v>0.75</v>
      </c>
      <c r="BO8" s="9">
        <v>0.25</v>
      </c>
      <c r="BP8" s="9">
        <v>0.25</v>
      </c>
      <c r="BQ8" s="9">
        <v>0</v>
      </c>
      <c r="BR8" s="9">
        <v>0.25</v>
      </c>
      <c r="BS8" s="10">
        <f>4/4</f>
        <v>1</v>
      </c>
      <c r="BT8" s="10">
        <f>(BU8+BV8+BW8+BX8)</f>
        <v>0.5</v>
      </c>
      <c r="BU8" s="9">
        <v>0.25</v>
      </c>
      <c r="BV8" s="9">
        <v>0</v>
      </c>
      <c r="BW8" s="9">
        <v>0.25</v>
      </c>
      <c r="BX8" s="9">
        <v>0</v>
      </c>
      <c r="BY8" s="10">
        <v>1</v>
      </c>
      <c r="BZ8" s="10">
        <v>1</v>
      </c>
      <c r="CA8" s="9">
        <v>0.25</v>
      </c>
      <c r="CB8" s="9">
        <v>0.25</v>
      </c>
      <c r="CC8" s="9">
        <v>0.25</v>
      </c>
      <c r="CD8" s="9">
        <v>0.25</v>
      </c>
      <c r="CE8" s="8"/>
      <c r="CF8" s="8"/>
      <c r="CG8" s="8"/>
      <c r="CH8" s="8"/>
      <c r="CI8" s="8"/>
      <c r="CJ8" s="8"/>
      <c r="CK8" s="9">
        <f>(BM8+BS8+BY8)/3</f>
        <v>1</v>
      </c>
      <c r="CL8" s="9">
        <f>+CK8/AJ8</f>
        <v>1</v>
      </c>
    </row>
    <row r="9" spans="1:90" ht="78" customHeight="1" x14ac:dyDescent="0.25">
      <c r="A9" s="133"/>
      <c r="B9" s="136"/>
      <c r="C9" s="136"/>
      <c r="D9" s="139"/>
      <c r="E9" s="142"/>
      <c r="F9" s="145"/>
      <c r="G9" s="148"/>
      <c r="H9" s="139"/>
      <c r="I9" s="151"/>
      <c r="J9" s="148"/>
      <c r="K9" s="11" t="s">
        <v>383</v>
      </c>
      <c r="L9" s="16" t="s">
        <v>38</v>
      </c>
      <c r="M9" s="154"/>
      <c r="N9" s="17" t="s">
        <v>382</v>
      </c>
      <c r="O9" s="9">
        <v>0.25</v>
      </c>
      <c r="P9" s="44" t="s">
        <v>381</v>
      </c>
      <c r="Q9" s="11" t="s">
        <v>17</v>
      </c>
      <c r="R9" s="11" t="s">
        <v>17</v>
      </c>
      <c r="S9" s="44" t="s">
        <v>380</v>
      </c>
      <c r="T9" s="18" t="s">
        <v>22</v>
      </c>
      <c r="U9" s="100" t="s">
        <v>379</v>
      </c>
      <c r="V9" s="99" t="s">
        <v>20</v>
      </c>
      <c r="W9" s="16" t="s">
        <v>232</v>
      </c>
      <c r="X9" s="13" t="s">
        <v>18</v>
      </c>
      <c r="Y9" s="11" t="s">
        <v>17</v>
      </c>
      <c r="Z9" s="11" t="s">
        <v>17</v>
      </c>
      <c r="AA9" s="85" t="s">
        <v>30</v>
      </c>
      <c r="AB9" s="85"/>
      <c r="AC9" s="85"/>
      <c r="AD9" s="92"/>
      <c r="AE9" s="85"/>
      <c r="AF9" s="85"/>
      <c r="AG9" s="11">
        <v>2</v>
      </c>
      <c r="AH9" s="98"/>
      <c r="AI9" s="98"/>
      <c r="AJ9" s="98"/>
      <c r="AK9" s="98"/>
      <c r="AL9" s="98"/>
      <c r="AM9" s="11">
        <v>2</v>
      </c>
      <c r="AN9" s="11">
        <v>4</v>
      </c>
      <c r="AO9" s="8"/>
      <c r="AP9" s="8"/>
      <c r="AQ9" s="8"/>
      <c r="AR9" s="8"/>
      <c r="AS9" s="8"/>
      <c r="AT9" s="8"/>
      <c r="AU9" s="97">
        <v>2</v>
      </c>
      <c r="AV9" s="33">
        <f t="shared" si="0"/>
        <v>0.5</v>
      </c>
      <c r="AW9" s="33">
        <v>0.25</v>
      </c>
      <c r="AX9" s="33">
        <v>0</v>
      </c>
      <c r="AY9" s="33">
        <v>0.25</v>
      </c>
      <c r="AZ9" s="33">
        <v>0</v>
      </c>
      <c r="BA9" s="8"/>
      <c r="BB9" s="8"/>
      <c r="BC9" s="8"/>
      <c r="BD9" s="8"/>
      <c r="BE9" s="8"/>
      <c r="BF9" s="8"/>
      <c r="BG9" s="8"/>
      <c r="BH9" s="8"/>
      <c r="BI9" s="8"/>
      <c r="BJ9" s="8"/>
      <c r="BK9" s="8"/>
      <c r="BL9" s="8"/>
      <c r="BM9" s="8"/>
      <c r="BN9" s="8"/>
      <c r="BO9" s="8"/>
      <c r="BP9" s="8"/>
      <c r="BQ9" s="8"/>
      <c r="BR9" s="8"/>
      <c r="BS9" s="200">
        <v>2</v>
      </c>
      <c r="BT9" s="10">
        <f>(BU9+BV9+BW9+BX9)</f>
        <v>0.5</v>
      </c>
      <c r="BU9" s="33">
        <v>0.25</v>
      </c>
      <c r="BV9" s="33">
        <v>0</v>
      </c>
      <c r="BW9" s="33">
        <v>0.25</v>
      </c>
      <c r="BX9" s="33">
        <v>0</v>
      </c>
      <c r="BY9" s="205"/>
      <c r="BZ9" s="8"/>
      <c r="CA9" s="8"/>
      <c r="CB9" s="8"/>
      <c r="CC9" s="8"/>
      <c r="CD9" s="8"/>
      <c r="CE9" s="8"/>
      <c r="CF9" s="8"/>
      <c r="CG9" s="8"/>
      <c r="CH9" s="8"/>
      <c r="CI9" s="8"/>
      <c r="CJ9" s="8"/>
      <c r="CK9" s="45">
        <f>BS9</f>
        <v>2</v>
      </c>
      <c r="CL9" s="9">
        <f>2/4</f>
        <v>0.5</v>
      </c>
    </row>
    <row r="10" spans="1:90" ht="78" customHeight="1" x14ac:dyDescent="0.25">
      <c r="A10" s="133"/>
      <c r="B10" s="134" t="s">
        <v>378</v>
      </c>
      <c r="C10" s="134" t="s">
        <v>377</v>
      </c>
      <c r="D10" s="137" t="s">
        <v>376</v>
      </c>
      <c r="E10" s="140" t="s">
        <v>240</v>
      </c>
      <c r="F10" s="143" t="s">
        <v>375</v>
      </c>
      <c r="G10" s="156"/>
      <c r="H10" s="134" t="s">
        <v>208</v>
      </c>
      <c r="I10" s="157" t="s">
        <v>374</v>
      </c>
      <c r="J10" s="152" t="s">
        <v>28</v>
      </c>
      <c r="K10" s="11" t="s">
        <v>365</v>
      </c>
      <c r="L10" s="18" t="s">
        <v>38</v>
      </c>
      <c r="M10" s="146">
        <v>1</v>
      </c>
      <c r="N10" s="17" t="s">
        <v>373</v>
      </c>
      <c r="O10" s="37">
        <v>0.33329999999999999</v>
      </c>
      <c r="P10" s="44" t="s">
        <v>372</v>
      </c>
      <c r="Q10" s="11" t="s">
        <v>17</v>
      </c>
      <c r="R10" s="11" t="s">
        <v>17</v>
      </c>
      <c r="S10" s="44" t="s">
        <v>371</v>
      </c>
      <c r="T10" s="18" t="s">
        <v>22</v>
      </c>
      <c r="U10" s="44" t="s">
        <v>371</v>
      </c>
      <c r="V10" s="18" t="s">
        <v>20</v>
      </c>
      <c r="W10" s="18" t="s">
        <v>214</v>
      </c>
      <c r="X10" s="13" t="s">
        <v>18</v>
      </c>
      <c r="Y10" s="11" t="s">
        <v>17</v>
      </c>
      <c r="Z10" s="11" t="s">
        <v>17</v>
      </c>
      <c r="AA10" s="85" t="s">
        <v>194</v>
      </c>
      <c r="AB10" s="85">
        <v>1</v>
      </c>
      <c r="AC10" s="85">
        <v>1</v>
      </c>
      <c r="AD10" s="85">
        <v>1</v>
      </c>
      <c r="AE10" s="85">
        <v>1</v>
      </c>
      <c r="AF10" s="85">
        <v>1</v>
      </c>
      <c r="AG10" s="85">
        <v>1</v>
      </c>
      <c r="AH10" s="85">
        <v>1</v>
      </c>
      <c r="AI10" s="85">
        <v>1</v>
      </c>
      <c r="AJ10" s="85">
        <v>1</v>
      </c>
      <c r="AK10" s="85">
        <v>1</v>
      </c>
      <c r="AL10" s="85">
        <v>1</v>
      </c>
      <c r="AM10" s="85">
        <v>1</v>
      </c>
      <c r="AN10" s="96">
        <v>12</v>
      </c>
      <c r="AO10" s="11">
        <f>1+1+1</f>
        <v>3</v>
      </c>
      <c r="AP10" s="33">
        <f>AQ10+AR10+AS10+AT10</f>
        <v>1</v>
      </c>
      <c r="AQ10" s="30">
        <f>(25%+25%+25%)/3</f>
        <v>0.25</v>
      </c>
      <c r="AR10" s="30">
        <f>(25%+25%+25%)/3</f>
        <v>0.25</v>
      </c>
      <c r="AS10" s="30">
        <f>(25%+25%+25%)/3</f>
        <v>0.25</v>
      </c>
      <c r="AT10" s="30">
        <f>(25%+25%+25%)/3</f>
        <v>0.25</v>
      </c>
      <c r="AU10" s="11">
        <f>1+1+1</f>
        <v>3</v>
      </c>
      <c r="AV10" s="33">
        <f t="shared" si="0"/>
        <v>1</v>
      </c>
      <c r="AW10" s="30">
        <f>(25%+25%+25%)/3</f>
        <v>0.25</v>
      </c>
      <c r="AX10" s="30">
        <f>(25%+25%+25%)/3</f>
        <v>0.25</v>
      </c>
      <c r="AY10" s="30">
        <f>(25%+25%+25%)/3</f>
        <v>0.25</v>
      </c>
      <c r="AZ10" s="30">
        <f>(25%+25%+25%)/3</f>
        <v>0.25</v>
      </c>
      <c r="BA10" s="11">
        <f>1+1+1</f>
        <v>3</v>
      </c>
      <c r="BB10" s="33">
        <f>(BC10+BD10+BE10+BF10)</f>
        <v>1</v>
      </c>
      <c r="BC10" s="69">
        <v>0.25</v>
      </c>
      <c r="BD10" s="69">
        <v>0.25</v>
      </c>
      <c r="BE10" s="69">
        <v>0.25</v>
      </c>
      <c r="BF10" s="69">
        <v>0.25</v>
      </c>
      <c r="BG10" s="20"/>
      <c r="BH10" s="69"/>
      <c r="BI10" s="69"/>
      <c r="BJ10" s="69"/>
      <c r="BK10" s="69"/>
      <c r="BL10" s="69"/>
      <c r="BM10" s="11">
        <f>1+1+1</f>
        <v>3</v>
      </c>
      <c r="BN10" s="10">
        <f>BO10+BP10+BQ10+BR10</f>
        <v>1</v>
      </c>
      <c r="BO10" s="30">
        <f>(25%+25%+25%)/3</f>
        <v>0.25</v>
      </c>
      <c r="BP10" s="30">
        <f>(25%+25%+25%)/3</f>
        <v>0.25</v>
      </c>
      <c r="BQ10" s="30">
        <f>(25%+25%+25%)/3</f>
        <v>0.25</v>
      </c>
      <c r="BR10" s="30">
        <f>(25%+25%+25%)/3</f>
        <v>0.25</v>
      </c>
      <c r="BS10" s="200">
        <f>1+1+1</f>
        <v>3</v>
      </c>
      <c r="BT10" s="10">
        <f>BU10+BV10+BW10+BX10</f>
        <v>1</v>
      </c>
      <c r="BU10" s="30">
        <f>(25%+25%+25%)/3</f>
        <v>0.25</v>
      </c>
      <c r="BV10" s="30">
        <f>(25%+25%+25%)/3</f>
        <v>0.25</v>
      </c>
      <c r="BW10" s="30">
        <f>(25%+25%+25%)/3</f>
        <v>0.25</v>
      </c>
      <c r="BX10" s="30">
        <f>(25%+25%+25%)/3</f>
        <v>0.25</v>
      </c>
      <c r="BY10" s="200">
        <f>1+1+1</f>
        <v>3</v>
      </c>
      <c r="BZ10" s="10">
        <v>1</v>
      </c>
      <c r="CA10" s="69">
        <v>0.25</v>
      </c>
      <c r="CB10" s="69">
        <v>0.25</v>
      </c>
      <c r="CC10" s="69">
        <v>0.25</v>
      </c>
      <c r="CD10" s="69">
        <v>0.25</v>
      </c>
      <c r="CE10" s="20"/>
      <c r="CF10" s="69"/>
      <c r="CG10" s="69"/>
      <c r="CH10" s="69"/>
      <c r="CI10" s="69"/>
      <c r="CJ10" s="69"/>
      <c r="CK10" s="45">
        <f>BS10+BM10+BY10</f>
        <v>9</v>
      </c>
      <c r="CL10" s="9">
        <f>9/12</f>
        <v>0.75</v>
      </c>
    </row>
    <row r="11" spans="1:90" ht="78" customHeight="1" x14ac:dyDescent="0.25">
      <c r="A11" s="133"/>
      <c r="B11" s="135"/>
      <c r="C11" s="135"/>
      <c r="D11" s="138"/>
      <c r="E11" s="141"/>
      <c r="F11" s="144"/>
      <c r="G11" s="156"/>
      <c r="H11" s="135"/>
      <c r="I11" s="157"/>
      <c r="J11" s="147"/>
      <c r="K11" s="11" t="s">
        <v>370</v>
      </c>
      <c r="L11" s="16" t="s">
        <v>38</v>
      </c>
      <c r="M11" s="153"/>
      <c r="N11" s="17" t="s">
        <v>369</v>
      </c>
      <c r="O11" s="37">
        <v>0.33329999999999999</v>
      </c>
      <c r="P11" s="44" t="s">
        <v>368</v>
      </c>
      <c r="Q11" s="11" t="s">
        <v>17</v>
      </c>
      <c r="R11" s="11" t="s">
        <v>17</v>
      </c>
      <c r="S11" s="44" t="s">
        <v>367</v>
      </c>
      <c r="T11" s="18" t="s">
        <v>22</v>
      </c>
      <c r="U11" s="44" t="s">
        <v>366</v>
      </c>
      <c r="V11" s="18" t="s">
        <v>20</v>
      </c>
      <c r="W11" s="18" t="s">
        <v>245</v>
      </c>
      <c r="X11" s="13" t="s">
        <v>18</v>
      </c>
      <c r="Y11" s="11" t="s">
        <v>17</v>
      </c>
      <c r="Z11" s="11" t="s">
        <v>17</v>
      </c>
      <c r="AA11" s="95" t="s">
        <v>30</v>
      </c>
      <c r="AB11" s="85"/>
      <c r="AC11" s="85"/>
      <c r="AD11" s="85"/>
      <c r="AE11" s="85"/>
      <c r="AF11" s="85"/>
      <c r="AG11" s="85">
        <v>1</v>
      </c>
      <c r="AH11" s="85"/>
      <c r="AI11" s="85"/>
      <c r="AJ11" s="85"/>
      <c r="AK11" s="85"/>
      <c r="AL11" s="85"/>
      <c r="AM11" s="85">
        <v>1</v>
      </c>
      <c r="AN11" s="85">
        <v>2</v>
      </c>
      <c r="AO11" s="8"/>
      <c r="AP11" s="8"/>
      <c r="AQ11" s="8"/>
      <c r="AR11" s="8"/>
      <c r="AS11" s="8"/>
      <c r="AT11" s="8"/>
      <c r="AU11" s="85">
        <v>1</v>
      </c>
      <c r="AV11" s="33">
        <f t="shared" si="0"/>
        <v>0.75</v>
      </c>
      <c r="AW11" s="9">
        <v>0.25</v>
      </c>
      <c r="AX11" s="9">
        <v>0.25</v>
      </c>
      <c r="AY11" s="9">
        <v>0.25</v>
      </c>
      <c r="AZ11" s="9">
        <v>0</v>
      </c>
      <c r="BA11" s="8"/>
      <c r="BB11" s="8"/>
      <c r="BC11" s="8"/>
      <c r="BD11" s="8"/>
      <c r="BE11" s="8"/>
      <c r="BF11" s="8"/>
      <c r="BG11" s="8"/>
      <c r="BH11" s="8"/>
      <c r="BI11" s="8"/>
      <c r="BJ11" s="8"/>
      <c r="BK11" s="8"/>
      <c r="BL11" s="8"/>
      <c r="BM11" s="8"/>
      <c r="BN11" s="8"/>
      <c r="BO11" s="8"/>
      <c r="BP11" s="8"/>
      <c r="BQ11" s="8"/>
      <c r="BR11" s="8"/>
      <c r="BS11" s="200">
        <v>1</v>
      </c>
      <c r="BT11" s="10">
        <f t="shared" ref="BT11:BT16" si="1">(BU11+BV11+BW11+BX11)</f>
        <v>1</v>
      </c>
      <c r="BU11" s="9">
        <v>0.25</v>
      </c>
      <c r="BV11" s="9">
        <v>0.25</v>
      </c>
      <c r="BW11" s="9">
        <v>0.25</v>
      </c>
      <c r="BX11" s="9">
        <v>0.25</v>
      </c>
      <c r="BY11" s="205"/>
      <c r="BZ11" s="8"/>
      <c r="CA11" s="8"/>
      <c r="CB11" s="8"/>
      <c r="CC11" s="8"/>
      <c r="CD11" s="8"/>
      <c r="CE11" s="8"/>
      <c r="CF11" s="8"/>
      <c r="CG11" s="8"/>
      <c r="CH11" s="8"/>
      <c r="CI11" s="8"/>
      <c r="CJ11" s="8"/>
      <c r="CK11" s="45">
        <f>BS11</f>
        <v>1</v>
      </c>
      <c r="CL11" s="9">
        <f>CK11/2</f>
        <v>0.5</v>
      </c>
    </row>
    <row r="12" spans="1:90" ht="78" customHeight="1" x14ac:dyDescent="0.25">
      <c r="A12" s="133"/>
      <c r="B12" s="135"/>
      <c r="C12" s="135"/>
      <c r="D12" s="138"/>
      <c r="E12" s="141"/>
      <c r="F12" s="144"/>
      <c r="G12" s="156"/>
      <c r="H12" s="135"/>
      <c r="I12" s="157"/>
      <c r="J12" s="147"/>
      <c r="K12" s="11" t="s">
        <v>365</v>
      </c>
      <c r="L12" s="16" t="s">
        <v>38</v>
      </c>
      <c r="M12" s="154"/>
      <c r="N12" s="17" t="s">
        <v>364</v>
      </c>
      <c r="O12" s="37">
        <v>0.33329999999999999</v>
      </c>
      <c r="P12" s="17" t="s">
        <v>363</v>
      </c>
      <c r="Q12" s="11" t="s">
        <v>17</v>
      </c>
      <c r="R12" s="11" t="s">
        <v>17</v>
      </c>
      <c r="S12" s="17" t="s">
        <v>362</v>
      </c>
      <c r="T12" s="16" t="s">
        <v>34</v>
      </c>
      <c r="U12" s="17" t="s">
        <v>361</v>
      </c>
      <c r="V12" s="16" t="s">
        <v>32</v>
      </c>
      <c r="W12" s="18" t="s">
        <v>214</v>
      </c>
      <c r="X12" s="13" t="s">
        <v>18</v>
      </c>
      <c r="Y12" s="11" t="s">
        <v>17</v>
      </c>
      <c r="Z12" s="11" t="s">
        <v>17</v>
      </c>
      <c r="AA12" s="13" t="s">
        <v>41</v>
      </c>
      <c r="AB12" s="13"/>
      <c r="AC12" s="13"/>
      <c r="AD12" s="15">
        <v>1</v>
      </c>
      <c r="AE12" s="13"/>
      <c r="AF12" s="13"/>
      <c r="AG12" s="15">
        <v>1</v>
      </c>
      <c r="AH12" s="13"/>
      <c r="AI12" s="13"/>
      <c r="AJ12" s="15">
        <v>1</v>
      </c>
      <c r="AK12" s="13"/>
      <c r="AL12" s="13"/>
      <c r="AM12" s="15">
        <v>1</v>
      </c>
      <c r="AN12" s="74">
        <v>1</v>
      </c>
      <c r="AO12" s="19">
        <f>40/40</f>
        <v>1</v>
      </c>
      <c r="AP12" s="69">
        <f>AQ12+AR12+AS12+AT12</f>
        <v>1</v>
      </c>
      <c r="AQ12" s="69">
        <v>0.25</v>
      </c>
      <c r="AR12" s="69">
        <v>0.25</v>
      </c>
      <c r="AS12" s="69">
        <v>0.25</v>
      </c>
      <c r="AT12" s="69">
        <v>0.25</v>
      </c>
      <c r="AU12" s="19">
        <f>40/40</f>
        <v>1</v>
      </c>
      <c r="AV12" s="33">
        <f t="shared" si="0"/>
        <v>1</v>
      </c>
      <c r="AW12" s="69">
        <v>0.25</v>
      </c>
      <c r="AX12" s="69">
        <v>0.25</v>
      </c>
      <c r="AY12" s="69">
        <v>0.25</v>
      </c>
      <c r="AZ12" s="69">
        <v>0.25</v>
      </c>
      <c r="BA12" s="19">
        <f>40/40</f>
        <v>1</v>
      </c>
      <c r="BB12" s="33">
        <f>(BC12+BD12+BE12+BF12)</f>
        <v>1</v>
      </c>
      <c r="BC12" s="69">
        <v>0.25</v>
      </c>
      <c r="BD12" s="69">
        <v>0.25</v>
      </c>
      <c r="BE12" s="69">
        <v>0.25</v>
      </c>
      <c r="BF12" s="69">
        <v>0.25</v>
      </c>
      <c r="BG12" s="8"/>
      <c r="BH12" s="8"/>
      <c r="BI12" s="8"/>
      <c r="BJ12" s="8"/>
      <c r="BK12" s="8"/>
      <c r="BL12" s="8"/>
      <c r="BM12" s="10">
        <f>40/40</f>
        <v>1</v>
      </c>
      <c r="BN12" s="10">
        <f>BO12+BP12+BQ12+BR12</f>
        <v>1</v>
      </c>
      <c r="BO12" s="69">
        <v>0.25</v>
      </c>
      <c r="BP12" s="69">
        <v>0.25</v>
      </c>
      <c r="BQ12" s="69">
        <v>0.25</v>
      </c>
      <c r="BR12" s="69">
        <v>0.25</v>
      </c>
      <c r="BS12" s="10">
        <f>40/40</f>
        <v>1</v>
      </c>
      <c r="BT12" s="10">
        <f t="shared" si="1"/>
        <v>1</v>
      </c>
      <c r="BU12" s="69">
        <v>0.25</v>
      </c>
      <c r="BV12" s="69">
        <v>0.25</v>
      </c>
      <c r="BW12" s="69">
        <v>0.25</v>
      </c>
      <c r="BX12" s="69">
        <v>0.25</v>
      </c>
      <c r="BY12" s="10">
        <f>40/40</f>
        <v>1</v>
      </c>
      <c r="BZ12" s="10">
        <f t="shared" ref="BZ12:BZ23" si="2">(CA12+CB12+CC12+CD12)</f>
        <v>1</v>
      </c>
      <c r="CA12" s="69">
        <v>0.25</v>
      </c>
      <c r="CB12" s="69">
        <v>0.25</v>
      </c>
      <c r="CC12" s="69">
        <v>0.25</v>
      </c>
      <c r="CD12" s="69">
        <v>0.25</v>
      </c>
      <c r="CE12" s="8"/>
      <c r="CF12" s="8"/>
      <c r="CG12" s="8"/>
      <c r="CH12" s="8"/>
      <c r="CI12" s="8"/>
      <c r="CJ12" s="8"/>
      <c r="CK12" s="48">
        <f>(BN12+BS12+BY12)/3</f>
        <v>1</v>
      </c>
      <c r="CL12" s="9">
        <f>+CK12/AJ12</f>
        <v>1</v>
      </c>
    </row>
    <row r="13" spans="1:90" ht="78" customHeight="1" x14ac:dyDescent="0.25">
      <c r="A13" s="133"/>
      <c r="B13" s="135"/>
      <c r="C13" s="135"/>
      <c r="D13" s="138"/>
      <c r="E13" s="141"/>
      <c r="F13" s="155"/>
      <c r="G13" s="37"/>
      <c r="H13" s="135"/>
      <c r="I13" s="94" t="s">
        <v>360</v>
      </c>
      <c r="J13" s="88" t="s">
        <v>28</v>
      </c>
      <c r="K13" s="11" t="s">
        <v>359</v>
      </c>
      <c r="L13" s="16" t="s">
        <v>26</v>
      </c>
      <c r="M13" s="9">
        <v>1</v>
      </c>
      <c r="N13" s="17" t="s">
        <v>358</v>
      </c>
      <c r="O13" s="93">
        <v>1</v>
      </c>
      <c r="P13" s="17" t="s">
        <v>357</v>
      </c>
      <c r="Q13" s="11" t="s">
        <v>17</v>
      </c>
      <c r="R13" s="11" t="s">
        <v>17</v>
      </c>
      <c r="S13" s="17" t="s">
        <v>356</v>
      </c>
      <c r="T13" s="16" t="s">
        <v>34</v>
      </c>
      <c r="U13" s="17" t="s">
        <v>355</v>
      </c>
      <c r="V13" s="16" t="s">
        <v>32</v>
      </c>
      <c r="W13" s="16" t="s">
        <v>296</v>
      </c>
      <c r="X13" s="13" t="s">
        <v>18</v>
      </c>
      <c r="Y13" s="11" t="s">
        <v>17</v>
      </c>
      <c r="Z13" s="11" t="s">
        <v>17</v>
      </c>
      <c r="AA13" s="13" t="s">
        <v>41</v>
      </c>
      <c r="AB13" s="13"/>
      <c r="AC13" s="13"/>
      <c r="AD13" s="92">
        <v>1</v>
      </c>
      <c r="AE13" s="13"/>
      <c r="AF13" s="13"/>
      <c r="AG13" s="92">
        <v>1</v>
      </c>
      <c r="AH13" s="13"/>
      <c r="AI13" s="13"/>
      <c r="AJ13" s="92">
        <v>1</v>
      </c>
      <c r="AK13" s="13"/>
      <c r="AL13" s="13"/>
      <c r="AM13" s="92">
        <v>1</v>
      </c>
      <c r="AN13" s="92">
        <v>1</v>
      </c>
      <c r="AO13" s="15">
        <f>385/385</f>
        <v>1</v>
      </c>
      <c r="AP13" s="15">
        <f>AQ13+AR13+AS13+AT13</f>
        <v>0.75</v>
      </c>
      <c r="AQ13" s="15">
        <v>0.25</v>
      </c>
      <c r="AR13" s="15">
        <v>0.25</v>
      </c>
      <c r="AS13" s="15">
        <v>0</v>
      </c>
      <c r="AT13" s="15">
        <v>0.25</v>
      </c>
      <c r="AU13" s="30">
        <v>1</v>
      </c>
      <c r="AV13" s="33">
        <f t="shared" si="0"/>
        <v>1</v>
      </c>
      <c r="AW13" s="33">
        <v>0.25</v>
      </c>
      <c r="AX13" s="33">
        <v>0.25</v>
      </c>
      <c r="AY13" s="33">
        <v>0.25</v>
      </c>
      <c r="AZ13" s="33">
        <v>0.25</v>
      </c>
      <c r="BA13" s="30">
        <f>237/237</f>
        <v>1</v>
      </c>
      <c r="BB13" s="33">
        <f>(BC13+BD13+BE13+BF13)</f>
        <v>1</v>
      </c>
      <c r="BC13" s="69">
        <v>0.25</v>
      </c>
      <c r="BD13" s="69">
        <v>0.25</v>
      </c>
      <c r="BE13" s="69">
        <v>0.25</v>
      </c>
      <c r="BF13" s="69">
        <v>0.25</v>
      </c>
      <c r="BG13" s="8"/>
      <c r="BH13" s="8"/>
      <c r="BI13" s="8"/>
      <c r="BJ13" s="8"/>
      <c r="BK13" s="8"/>
      <c r="BL13" s="8"/>
      <c r="BM13" s="10">
        <f>385/385</f>
        <v>1</v>
      </c>
      <c r="BN13" s="15">
        <f>BO13+BP13+BQ13+BR13</f>
        <v>0.75</v>
      </c>
      <c r="BO13" s="9">
        <v>0.25</v>
      </c>
      <c r="BP13" s="9">
        <v>0.25</v>
      </c>
      <c r="BQ13" s="9">
        <v>0</v>
      </c>
      <c r="BR13" s="9">
        <v>0.25</v>
      </c>
      <c r="BS13" s="10">
        <f>262/262</f>
        <v>1</v>
      </c>
      <c r="BT13" s="10">
        <f t="shared" si="1"/>
        <v>1</v>
      </c>
      <c r="BU13" s="9">
        <v>0.25</v>
      </c>
      <c r="BV13" s="9">
        <v>0.25</v>
      </c>
      <c r="BW13" s="9">
        <v>0.25</v>
      </c>
      <c r="BX13" s="9">
        <v>0.25</v>
      </c>
      <c r="BY13" s="10">
        <f>237/237</f>
        <v>1</v>
      </c>
      <c r="BZ13" s="10">
        <f t="shared" si="2"/>
        <v>1</v>
      </c>
      <c r="CA13" s="9">
        <v>0.25</v>
      </c>
      <c r="CB13" s="9">
        <v>0.25</v>
      </c>
      <c r="CC13" s="9">
        <v>0.25</v>
      </c>
      <c r="CD13" s="9">
        <v>0.25</v>
      </c>
      <c r="CE13" s="8"/>
      <c r="CF13" s="8"/>
      <c r="CG13" s="8"/>
      <c r="CH13" s="8"/>
      <c r="CI13" s="8"/>
      <c r="CJ13" s="8"/>
      <c r="CK13" s="9">
        <f>(BM13+BS13+BY13)/3</f>
        <v>1</v>
      </c>
      <c r="CL13" s="9">
        <f>+CK13/AJ13</f>
        <v>1</v>
      </c>
    </row>
    <row r="14" spans="1:90" ht="78" customHeight="1" x14ac:dyDescent="0.25">
      <c r="A14" s="133"/>
      <c r="B14" s="135"/>
      <c r="C14" s="135"/>
      <c r="D14" s="138"/>
      <c r="E14" s="141"/>
      <c r="F14" s="155"/>
      <c r="G14" s="158"/>
      <c r="H14" s="135"/>
      <c r="I14" s="159" t="s">
        <v>354</v>
      </c>
      <c r="J14" s="152" t="s">
        <v>28</v>
      </c>
      <c r="K14" s="11" t="s">
        <v>353</v>
      </c>
      <c r="L14" s="16" t="s">
        <v>26</v>
      </c>
      <c r="M14" s="146">
        <v>1</v>
      </c>
      <c r="N14" s="87" t="s">
        <v>352</v>
      </c>
      <c r="O14" s="9">
        <v>0.5</v>
      </c>
      <c r="P14" s="17" t="s">
        <v>351</v>
      </c>
      <c r="Q14" s="11" t="s">
        <v>17</v>
      </c>
      <c r="R14" s="11" t="s">
        <v>17</v>
      </c>
      <c r="S14" s="17" t="s">
        <v>350</v>
      </c>
      <c r="T14" s="91" t="s">
        <v>34</v>
      </c>
      <c r="U14" s="17" t="s">
        <v>349</v>
      </c>
      <c r="V14" s="16" t="s">
        <v>32</v>
      </c>
      <c r="W14" s="16" t="s">
        <v>296</v>
      </c>
      <c r="X14" s="13" t="s">
        <v>18</v>
      </c>
      <c r="Y14" s="11" t="s">
        <v>17</v>
      </c>
      <c r="Z14" s="11" t="s">
        <v>17</v>
      </c>
      <c r="AA14" s="13" t="s">
        <v>41</v>
      </c>
      <c r="AB14" s="13"/>
      <c r="AC14" s="13"/>
      <c r="AD14" s="15">
        <v>1</v>
      </c>
      <c r="AE14" s="13"/>
      <c r="AF14" s="13"/>
      <c r="AG14" s="15">
        <v>1</v>
      </c>
      <c r="AH14" s="13"/>
      <c r="AI14" s="13"/>
      <c r="AJ14" s="15">
        <v>1</v>
      </c>
      <c r="AK14" s="13"/>
      <c r="AL14" s="13"/>
      <c r="AM14" s="15">
        <v>1</v>
      </c>
      <c r="AN14" s="15">
        <v>1</v>
      </c>
      <c r="AO14" s="15">
        <f>13/13</f>
        <v>1</v>
      </c>
      <c r="AP14" s="15">
        <f>AQ14+AR14+AS14+AT14</f>
        <v>0.75</v>
      </c>
      <c r="AQ14" s="15">
        <v>0.25</v>
      </c>
      <c r="AR14" s="15">
        <v>0.25</v>
      </c>
      <c r="AS14" s="15">
        <v>0</v>
      </c>
      <c r="AT14" s="15">
        <v>0.25</v>
      </c>
      <c r="AU14" s="30">
        <v>1</v>
      </c>
      <c r="AV14" s="33">
        <f t="shared" si="0"/>
        <v>1</v>
      </c>
      <c r="AW14" s="33">
        <v>0.25</v>
      </c>
      <c r="AX14" s="33">
        <v>0.25</v>
      </c>
      <c r="AY14" s="33">
        <v>0.25</v>
      </c>
      <c r="AZ14" s="33">
        <v>0.25</v>
      </c>
      <c r="BA14" s="30">
        <f>7/7</f>
        <v>1</v>
      </c>
      <c r="BB14" s="33">
        <f>(BC14+BD14+BE14+BF14)</f>
        <v>1</v>
      </c>
      <c r="BC14" s="69">
        <v>0.25</v>
      </c>
      <c r="BD14" s="69">
        <v>0.25</v>
      </c>
      <c r="BE14" s="69">
        <v>0.25</v>
      </c>
      <c r="BF14" s="69">
        <v>0.25</v>
      </c>
      <c r="BG14" s="8"/>
      <c r="BH14" s="8"/>
      <c r="BI14" s="8"/>
      <c r="BJ14" s="8"/>
      <c r="BK14" s="8"/>
      <c r="BL14" s="8"/>
      <c r="BM14" s="15">
        <f>13/13</f>
        <v>1</v>
      </c>
      <c r="BN14" s="15">
        <f>BO14+BP14+BQ14+BR14</f>
        <v>0.75</v>
      </c>
      <c r="BO14" s="9">
        <v>0.25</v>
      </c>
      <c r="BP14" s="9">
        <v>0.25</v>
      </c>
      <c r="BQ14" s="9">
        <v>0</v>
      </c>
      <c r="BR14" s="9">
        <v>0.25</v>
      </c>
      <c r="BS14" s="10">
        <f>13/13</f>
        <v>1</v>
      </c>
      <c r="BT14" s="10">
        <f t="shared" si="1"/>
        <v>1</v>
      </c>
      <c r="BU14" s="9">
        <v>0.25</v>
      </c>
      <c r="BV14" s="9">
        <v>0.25</v>
      </c>
      <c r="BW14" s="9">
        <v>0.25</v>
      </c>
      <c r="BX14" s="9">
        <v>0.25</v>
      </c>
      <c r="BY14" s="10">
        <f>7/7</f>
        <v>1</v>
      </c>
      <c r="BZ14" s="10">
        <f t="shared" si="2"/>
        <v>1</v>
      </c>
      <c r="CA14" s="9">
        <v>0.25</v>
      </c>
      <c r="CB14" s="9">
        <v>0.25</v>
      </c>
      <c r="CC14" s="9">
        <v>0.25</v>
      </c>
      <c r="CD14" s="9">
        <v>0.25</v>
      </c>
      <c r="CE14" s="8"/>
      <c r="CF14" s="8"/>
      <c r="CG14" s="8"/>
      <c r="CH14" s="8"/>
      <c r="CI14" s="8"/>
      <c r="CJ14" s="8"/>
      <c r="CK14" s="9">
        <f>(BM14+BS14+BY14)/3</f>
        <v>1</v>
      </c>
      <c r="CL14" s="9">
        <f>+CK14/AJ14</f>
        <v>1</v>
      </c>
    </row>
    <row r="15" spans="1:90" ht="78" customHeight="1" x14ac:dyDescent="0.25">
      <c r="A15" s="133"/>
      <c r="B15" s="135"/>
      <c r="C15" s="135"/>
      <c r="D15" s="138"/>
      <c r="E15" s="141"/>
      <c r="F15" s="144"/>
      <c r="G15" s="158"/>
      <c r="H15" s="135"/>
      <c r="I15" s="160"/>
      <c r="J15" s="148"/>
      <c r="K15" s="11" t="s">
        <v>348</v>
      </c>
      <c r="L15" s="16" t="s">
        <v>26</v>
      </c>
      <c r="M15" s="154"/>
      <c r="N15" s="17" t="s">
        <v>347</v>
      </c>
      <c r="O15" s="9">
        <v>0.5</v>
      </c>
      <c r="P15" s="17" t="s">
        <v>346</v>
      </c>
      <c r="Q15" s="11" t="s">
        <v>17</v>
      </c>
      <c r="R15" s="11" t="s">
        <v>17</v>
      </c>
      <c r="S15" s="17" t="s">
        <v>345</v>
      </c>
      <c r="T15" s="18" t="s">
        <v>22</v>
      </c>
      <c r="U15" s="17" t="s">
        <v>344</v>
      </c>
      <c r="V15" s="16" t="s">
        <v>20</v>
      </c>
      <c r="W15" s="16" t="s">
        <v>160</v>
      </c>
      <c r="X15" s="13" t="s">
        <v>18</v>
      </c>
      <c r="Y15" s="11" t="s">
        <v>17</v>
      </c>
      <c r="Z15" s="11" t="s">
        <v>17</v>
      </c>
      <c r="AA15" s="13" t="s">
        <v>343</v>
      </c>
      <c r="AB15" s="90"/>
      <c r="AC15" s="90"/>
      <c r="AD15" s="26"/>
      <c r="AE15" s="90"/>
      <c r="AF15" s="90"/>
      <c r="AG15" s="26">
        <v>1</v>
      </c>
      <c r="AH15" s="90"/>
      <c r="AI15" s="90"/>
      <c r="AJ15" s="90"/>
      <c r="AK15" s="90"/>
      <c r="AL15" s="90"/>
      <c r="AM15" s="26"/>
      <c r="AN15" s="52">
        <v>1</v>
      </c>
      <c r="AO15" s="8"/>
      <c r="AP15" s="8"/>
      <c r="AQ15" s="8"/>
      <c r="AR15" s="8"/>
      <c r="AS15" s="8"/>
      <c r="AT15" s="8"/>
      <c r="AU15" s="27"/>
      <c r="AV15" s="32"/>
      <c r="AW15" s="32"/>
      <c r="AX15" s="32"/>
      <c r="AY15" s="32"/>
      <c r="AZ15" s="32"/>
      <c r="BA15" s="62">
        <f>1/1</f>
        <v>1</v>
      </c>
      <c r="BB15" s="33">
        <f>(BC15+BD15+BE15+BF15)</f>
        <v>0.95</v>
      </c>
      <c r="BC15" s="59">
        <v>0.25</v>
      </c>
      <c r="BD15" s="59">
        <v>0.25</v>
      </c>
      <c r="BE15" s="59">
        <v>0.2</v>
      </c>
      <c r="BF15" s="59">
        <v>0.25</v>
      </c>
      <c r="BG15" s="8"/>
      <c r="BH15" s="8"/>
      <c r="BI15" s="8"/>
      <c r="BJ15" s="8"/>
      <c r="BK15" s="8"/>
      <c r="BL15" s="8"/>
      <c r="BM15" s="8"/>
      <c r="BN15" s="8"/>
      <c r="BO15" s="8"/>
      <c r="BP15" s="8"/>
      <c r="BQ15" s="8"/>
      <c r="BR15" s="8"/>
      <c r="BS15" s="200">
        <v>0</v>
      </c>
      <c r="BT15" s="10">
        <f t="shared" si="1"/>
        <v>0</v>
      </c>
      <c r="BU15" s="9">
        <v>0</v>
      </c>
      <c r="BV15" s="9">
        <v>0</v>
      </c>
      <c r="BW15" s="9">
        <v>0</v>
      </c>
      <c r="BX15" s="9">
        <v>0</v>
      </c>
      <c r="BY15" s="201">
        <f>1/1</f>
        <v>1</v>
      </c>
      <c r="BZ15" s="10">
        <f t="shared" si="2"/>
        <v>0.75</v>
      </c>
      <c r="CA15" s="9">
        <v>0.25</v>
      </c>
      <c r="CB15" s="9">
        <v>0.25</v>
      </c>
      <c r="CC15" s="9">
        <v>0</v>
      </c>
      <c r="CD15" s="9">
        <v>0.25</v>
      </c>
      <c r="CE15" s="9"/>
      <c r="CF15" s="9"/>
      <c r="CG15" s="9"/>
      <c r="CH15" s="9"/>
      <c r="CI15" s="9"/>
      <c r="CJ15" s="9"/>
      <c r="CK15" s="9">
        <f>BY15</f>
        <v>1</v>
      </c>
      <c r="CL15" s="9">
        <f>+BY15/AG15</f>
        <v>1</v>
      </c>
    </row>
    <row r="16" spans="1:90" ht="78" customHeight="1" x14ac:dyDescent="0.25">
      <c r="A16" s="133"/>
      <c r="B16" s="135"/>
      <c r="C16" s="135"/>
      <c r="D16" s="138"/>
      <c r="E16" s="141"/>
      <c r="F16" s="144"/>
      <c r="G16" s="37"/>
      <c r="H16" s="135"/>
      <c r="I16" s="89" t="s">
        <v>342</v>
      </c>
      <c r="J16" s="88" t="s">
        <v>28</v>
      </c>
      <c r="K16" s="11" t="s">
        <v>341</v>
      </c>
      <c r="L16" s="16" t="s">
        <v>38</v>
      </c>
      <c r="M16" s="9">
        <v>1</v>
      </c>
      <c r="N16" s="87" t="s">
        <v>340</v>
      </c>
      <c r="O16" s="86">
        <v>1</v>
      </c>
      <c r="P16" s="17" t="s">
        <v>339</v>
      </c>
      <c r="Q16" s="11" t="s">
        <v>17</v>
      </c>
      <c r="R16" s="11" t="s">
        <v>17</v>
      </c>
      <c r="S16" s="17" t="s">
        <v>338</v>
      </c>
      <c r="T16" s="16" t="s">
        <v>34</v>
      </c>
      <c r="U16" s="17" t="s">
        <v>337</v>
      </c>
      <c r="V16" s="16" t="s">
        <v>32</v>
      </c>
      <c r="W16" s="58" t="s">
        <v>146</v>
      </c>
      <c r="X16" s="13" t="s">
        <v>18</v>
      </c>
      <c r="Y16" s="11" t="s">
        <v>17</v>
      </c>
      <c r="Z16" s="11" t="s">
        <v>17</v>
      </c>
      <c r="AA16" s="11" t="s">
        <v>41</v>
      </c>
      <c r="AB16" s="8"/>
      <c r="AC16" s="8"/>
      <c r="AD16" s="15">
        <v>1</v>
      </c>
      <c r="AE16" s="8"/>
      <c r="AF16" s="8"/>
      <c r="AG16" s="15">
        <v>1</v>
      </c>
      <c r="AH16" s="8"/>
      <c r="AI16" s="8"/>
      <c r="AJ16" s="15">
        <v>1</v>
      </c>
      <c r="AK16" s="8"/>
      <c r="AL16" s="8"/>
      <c r="AM16" s="15">
        <v>1</v>
      </c>
      <c r="AN16" s="15">
        <v>1</v>
      </c>
      <c r="AO16" s="9">
        <f>5/5</f>
        <v>1</v>
      </c>
      <c r="AP16" s="9">
        <f>AQ16+AR16+AS16+AT16</f>
        <v>1</v>
      </c>
      <c r="AQ16" s="9">
        <v>0.25</v>
      </c>
      <c r="AR16" s="9">
        <v>0.25</v>
      </c>
      <c r="AS16" s="9">
        <v>0.25</v>
      </c>
      <c r="AT16" s="9">
        <v>0.25</v>
      </c>
      <c r="AU16" s="10">
        <f>10/10</f>
        <v>1</v>
      </c>
      <c r="AV16" s="9">
        <f>(AW16+AX16+AY16+AZ16)</f>
        <v>1</v>
      </c>
      <c r="AW16" s="9">
        <v>0.25</v>
      </c>
      <c r="AX16" s="9">
        <v>0.25</v>
      </c>
      <c r="AY16" s="9">
        <v>0.25</v>
      </c>
      <c r="AZ16" s="9">
        <v>0.25</v>
      </c>
      <c r="BA16" s="10">
        <f>2/2</f>
        <v>1</v>
      </c>
      <c r="BB16" s="33">
        <f>(BC16+BD16+BE16+BF16)</f>
        <v>1</v>
      </c>
      <c r="BC16" s="59">
        <v>0.25</v>
      </c>
      <c r="BD16" s="59">
        <v>0.25</v>
      </c>
      <c r="BE16" s="59">
        <v>0.25</v>
      </c>
      <c r="BF16" s="59">
        <v>0.25</v>
      </c>
      <c r="BG16" s="8"/>
      <c r="BH16" s="8"/>
      <c r="BI16" s="8"/>
      <c r="BJ16" s="8"/>
      <c r="BK16" s="8"/>
      <c r="BL16" s="8"/>
      <c r="BM16" s="9">
        <f>5/5</f>
        <v>1</v>
      </c>
      <c r="BN16" s="10">
        <f t="shared" ref="BN16:BN23" si="3">BO16+BP16+BQ16+BR16</f>
        <v>1</v>
      </c>
      <c r="BO16" s="9">
        <v>0.25</v>
      </c>
      <c r="BP16" s="9">
        <v>0.25</v>
      </c>
      <c r="BQ16" s="9">
        <v>0.25</v>
      </c>
      <c r="BR16" s="9">
        <v>0.25</v>
      </c>
      <c r="BS16" s="201">
        <f>10/10</f>
        <v>1</v>
      </c>
      <c r="BT16" s="10">
        <f t="shared" si="1"/>
        <v>1</v>
      </c>
      <c r="BU16" s="9">
        <v>0.25</v>
      </c>
      <c r="BV16" s="9">
        <v>0.25</v>
      </c>
      <c r="BW16" s="9">
        <v>0.25</v>
      </c>
      <c r="BX16" s="9">
        <v>0.25</v>
      </c>
      <c r="BY16" s="201">
        <f>2/2</f>
        <v>1</v>
      </c>
      <c r="BZ16" s="10">
        <f t="shared" si="2"/>
        <v>1</v>
      </c>
      <c r="CA16" s="9">
        <v>0.25</v>
      </c>
      <c r="CB16" s="9">
        <v>0.25</v>
      </c>
      <c r="CC16" s="9">
        <v>0.25</v>
      </c>
      <c r="CD16" s="9">
        <v>0.25</v>
      </c>
      <c r="CE16" s="8"/>
      <c r="CF16" s="8"/>
      <c r="CG16" s="8"/>
      <c r="CH16" s="8"/>
      <c r="CI16" s="8"/>
      <c r="CJ16" s="8"/>
      <c r="CK16" s="9">
        <f>(BM16+BS16+BY16)/3</f>
        <v>1</v>
      </c>
      <c r="CL16" s="9">
        <f>+CK16/AJ16</f>
        <v>1</v>
      </c>
    </row>
    <row r="17" spans="1:90" ht="78" customHeight="1" x14ac:dyDescent="0.25">
      <c r="A17" s="134" t="s">
        <v>336</v>
      </c>
      <c r="B17" s="161" t="s">
        <v>243</v>
      </c>
      <c r="C17" s="161" t="s">
        <v>335</v>
      </c>
      <c r="D17" s="163" t="s">
        <v>334</v>
      </c>
      <c r="E17" s="165" t="s">
        <v>333</v>
      </c>
      <c r="F17" s="149" t="s">
        <v>332</v>
      </c>
      <c r="G17" s="156"/>
      <c r="H17" s="134" t="s">
        <v>331</v>
      </c>
      <c r="I17" s="159"/>
      <c r="J17" s="152" t="s">
        <v>28</v>
      </c>
      <c r="K17" s="11" t="s">
        <v>330</v>
      </c>
      <c r="L17" s="11" t="s">
        <v>26</v>
      </c>
      <c r="M17" s="146">
        <v>1</v>
      </c>
      <c r="N17" s="21" t="s">
        <v>329</v>
      </c>
      <c r="O17" s="37">
        <v>0.1666</v>
      </c>
      <c r="P17" s="21" t="s">
        <v>328</v>
      </c>
      <c r="Q17" s="11" t="s">
        <v>17</v>
      </c>
      <c r="R17" s="11" t="s">
        <v>17</v>
      </c>
      <c r="S17" s="21" t="s">
        <v>327</v>
      </c>
      <c r="T17" s="16" t="s">
        <v>22</v>
      </c>
      <c r="U17" s="21" t="s">
        <v>326</v>
      </c>
      <c r="V17" s="16" t="s">
        <v>43</v>
      </c>
      <c r="W17" s="18" t="s">
        <v>214</v>
      </c>
      <c r="X17" s="13" t="s">
        <v>18</v>
      </c>
      <c r="Y17" s="11" t="s">
        <v>17</v>
      </c>
      <c r="Z17" s="11" t="s">
        <v>17</v>
      </c>
      <c r="AA17" s="13" t="s">
        <v>194</v>
      </c>
      <c r="AB17" s="85">
        <v>60</v>
      </c>
      <c r="AC17" s="85">
        <v>60</v>
      </c>
      <c r="AD17" s="85">
        <v>60</v>
      </c>
      <c r="AE17" s="85">
        <v>60</v>
      </c>
      <c r="AF17" s="85">
        <v>60</v>
      </c>
      <c r="AG17" s="85">
        <v>60</v>
      </c>
      <c r="AH17" s="85">
        <v>60</v>
      </c>
      <c r="AI17" s="85">
        <v>60</v>
      </c>
      <c r="AJ17" s="85">
        <v>60</v>
      </c>
      <c r="AK17" s="85">
        <v>60</v>
      </c>
      <c r="AL17" s="85">
        <v>60</v>
      </c>
      <c r="AM17" s="85">
        <v>60</v>
      </c>
      <c r="AN17" s="85">
        <v>60</v>
      </c>
      <c r="AO17" s="82">
        <f>(37333.53+32721.6+49982.48)/(663+510+761)</f>
        <v>62.067016546018621</v>
      </c>
      <c r="AP17" s="33">
        <f>AQ17+AR17+AS17+AT17</f>
        <v>1</v>
      </c>
      <c r="AQ17" s="30">
        <f>(25%+25%+25%)/3</f>
        <v>0.25</v>
      </c>
      <c r="AR17" s="30">
        <f>(25%+25%+25%)/3</f>
        <v>0.25</v>
      </c>
      <c r="AS17" s="30">
        <f>(25%+25%+25%)/3</f>
        <v>0.25</v>
      </c>
      <c r="AT17" s="30">
        <f>(25%+25%+25%)/3</f>
        <v>0.25</v>
      </c>
      <c r="AU17" s="82">
        <f>(47023.8+44982+45327)/(724+714+561)</f>
        <v>68.700750375187582</v>
      </c>
      <c r="AV17" s="33">
        <f>AW17+AX17+AY17+AZ17</f>
        <v>1</v>
      </c>
      <c r="AW17" s="30">
        <f>(25%+25%+25%)/3</f>
        <v>0.25</v>
      </c>
      <c r="AX17" s="30">
        <f>(25%+25%+25%)/3</f>
        <v>0.25</v>
      </c>
      <c r="AY17" s="30">
        <f>(25%+25%+25%)/3</f>
        <v>0.25</v>
      </c>
      <c r="AZ17" s="30">
        <f>(25%+25%+25%)/3</f>
        <v>0.25</v>
      </c>
      <c r="BA17" s="82">
        <f>(38339.6+36239.24+45191.84)/(584+548+656)</f>
        <v>66.985838926174495</v>
      </c>
      <c r="BB17" s="33">
        <f t="shared" ref="BB17:BB23" si="4">BC17+BD17+BE17+BF17</f>
        <v>1</v>
      </c>
      <c r="BC17" s="59">
        <v>0.25</v>
      </c>
      <c r="BD17" s="59">
        <v>0.25</v>
      </c>
      <c r="BE17" s="59">
        <v>0.25</v>
      </c>
      <c r="BF17" s="59">
        <v>0.25</v>
      </c>
      <c r="BG17" s="82"/>
      <c r="BH17" s="30"/>
      <c r="BI17" s="69"/>
      <c r="BJ17" s="69"/>
      <c r="BK17" s="69"/>
      <c r="BL17" s="69"/>
      <c r="BM17" s="82">
        <f>(37333.53+32721.6+49982.48)/(663+510+761)</f>
        <v>62.067016546018621</v>
      </c>
      <c r="BN17" s="42">
        <f t="shared" si="3"/>
        <v>1</v>
      </c>
      <c r="BO17" s="30">
        <f>(25%+25%+25%)/3</f>
        <v>0.25</v>
      </c>
      <c r="BP17" s="30">
        <f>(25%+25%+25%)/3</f>
        <v>0.25</v>
      </c>
      <c r="BQ17" s="30">
        <f>(25%+25%+25%)/3</f>
        <v>0.25</v>
      </c>
      <c r="BR17" s="30">
        <f>(25%+25%+25%)/3</f>
        <v>0.25</v>
      </c>
      <c r="BS17" s="202">
        <f>(47023.8+44982+45327)/(724+714+561)</f>
        <v>68.700750375187582</v>
      </c>
      <c r="BT17" s="42">
        <f>BU17+BV17+BW17+BX17</f>
        <v>1</v>
      </c>
      <c r="BU17" s="30">
        <f>(25%+25%+25%)/3</f>
        <v>0.25</v>
      </c>
      <c r="BV17" s="30">
        <f>(25%+25%+25%)/3</f>
        <v>0.25</v>
      </c>
      <c r="BW17" s="30">
        <f>(25%+25%+25%)/3</f>
        <v>0.25</v>
      </c>
      <c r="BX17" s="30">
        <f>(25%+25%+25%)/3</f>
        <v>0.25</v>
      </c>
      <c r="BY17" s="202">
        <f>(38339.6+36239.24+45191.84)/(584+548+656)</f>
        <v>66.985838926174495</v>
      </c>
      <c r="BZ17" s="10">
        <f t="shared" si="2"/>
        <v>1</v>
      </c>
      <c r="CA17" s="9">
        <v>0.25</v>
      </c>
      <c r="CB17" s="9">
        <v>0.25</v>
      </c>
      <c r="CC17" s="9">
        <v>0.25</v>
      </c>
      <c r="CD17" s="9">
        <v>0.25</v>
      </c>
      <c r="CE17" s="82"/>
      <c r="CF17" s="69"/>
      <c r="CG17" s="69"/>
      <c r="CH17" s="69"/>
      <c r="CI17" s="69"/>
      <c r="CJ17" s="69"/>
      <c r="CK17" s="84">
        <f>(BM17+BS17+BY17)/3</f>
        <v>65.917868615793566</v>
      </c>
      <c r="CL17" s="83">
        <f>60/CK17</f>
        <v>0.91022360491832288</v>
      </c>
    </row>
    <row r="18" spans="1:90" ht="78" customHeight="1" x14ac:dyDescent="0.25">
      <c r="A18" s="135"/>
      <c r="B18" s="162"/>
      <c r="C18" s="162"/>
      <c r="D18" s="164"/>
      <c r="E18" s="166"/>
      <c r="F18" s="150"/>
      <c r="G18" s="156"/>
      <c r="H18" s="135"/>
      <c r="I18" s="167"/>
      <c r="J18" s="147"/>
      <c r="K18" s="11" t="s">
        <v>317</v>
      </c>
      <c r="L18" s="16" t="s">
        <v>38</v>
      </c>
      <c r="M18" s="153"/>
      <c r="N18" s="21" t="s">
        <v>325</v>
      </c>
      <c r="O18" s="37">
        <v>0.1666</v>
      </c>
      <c r="P18" s="21" t="s">
        <v>324</v>
      </c>
      <c r="Q18" s="11" t="s">
        <v>17</v>
      </c>
      <c r="R18" s="11" t="s">
        <v>17</v>
      </c>
      <c r="S18" s="21" t="s">
        <v>323</v>
      </c>
      <c r="T18" s="18" t="s">
        <v>22</v>
      </c>
      <c r="U18" s="21" t="s">
        <v>322</v>
      </c>
      <c r="V18" s="16" t="s">
        <v>43</v>
      </c>
      <c r="W18" s="16" t="s">
        <v>245</v>
      </c>
      <c r="X18" s="13" t="s">
        <v>18</v>
      </c>
      <c r="Y18" s="11" t="s">
        <v>17</v>
      </c>
      <c r="Z18" s="11" t="s">
        <v>17</v>
      </c>
      <c r="AA18" s="13" t="s">
        <v>194</v>
      </c>
      <c r="AB18" s="78">
        <v>60</v>
      </c>
      <c r="AC18" s="78">
        <v>60</v>
      </c>
      <c r="AD18" s="78">
        <v>60</v>
      </c>
      <c r="AE18" s="78">
        <v>60</v>
      </c>
      <c r="AF18" s="78">
        <v>60</v>
      </c>
      <c r="AG18" s="78">
        <v>60</v>
      </c>
      <c r="AH18" s="78">
        <v>60</v>
      </c>
      <c r="AI18" s="78">
        <v>60</v>
      </c>
      <c r="AJ18" s="78">
        <v>60</v>
      </c>
      <c r="AK18" s="78">
        <v>60</v>
      </c>
      <c r="AL18" s="78">
        <v>60</v>
      </c>
      <c r="AM18" s="78">
        <v>60</v>
      </c>
      <c r="AN18" s="78">
        <v>60</v>
      </c>
      <c r="AO18" s="82">
        <f>(0+0+172)/(0+0+5)</f>
        <v>34.4</v>
      </c>
      <c r="AP18" s="42">
        <f>AQ18+AR18+AS18+AT18</f>
        <v>0.75</v>
      </c>
      <c r="AQ18" s="23">
        <f t="shared" ref="AQ18:AS20" si="5">(25%+25%+25%)/3</f>
        <v>0.25</v>
      </c>
      <c r="AR18" s="23">
        <f t="shared" si="5"/>
        <v>0.25</v>
      </c>
      <c r="AS18" s="23">
        <f t="shared" si="5"/>
        <v>0.25</v>
      </c>
      <c r="AT18" s="23">
        <v>0</v>
      </c>
      <c r="AU18" s="82">
        <f>(345+774+1003)/(10+11+19)</f>
        <v>53.05</v>
      </c>
      <c r="AV18" s="42">
        <f>AW18+AX18+AY18+AZ18</f>
        <v>0.75</v>
      </c>
      <c r="AW18" s="23">
        <f>(25%+25%+25%)/3</f>
        <v>0.25</v>
      </c>
      <c r="AX18" s="23">
        <f>(25%+25%+25%)/3</f>
        <v>0.25</v>
      </c>
      <c r="AY18" s="23">
        <f>(25%+25%+25%)/3</f>
        <v>0.25</v>
      </c>
      <c r="AZ18" s="23">
        <v>0</v>
      </c>
      <c r="BA18" s="82">
        <f>(2242+3866+6694)/(39+55+88)</f>
        <v>70.340659340659343</v>
      </c>
      <c r="BB18" s="33">
        <f t="shared" si="4"/>
        <v>1</v>
      </c>
      <c r="BC18" s="59">
        <v>0.25</v>
      </c>
      <c r="BD18" s="59">
        <v>0.25</v>
      </c>
      <c r="BE18" s="59">
        <v>0.25</v>
      </c>
      <c r="BF18" s="59">
        <v>0.25</v>
      </c>
      <c r="BG18" s="82"/>
      <c r="BH18" s="33"/>
      <c r="BI18" s="69"/>
      <c r="BJ18" s="69"/>
      <c r="BK18" s="69"/>
      <c r="BL18" s="69"/>
      <c r="BM18" s="82">
        <f>+(0+0+172)/(0+0+5)</f>
        <v>34.4</v>
      </c>
      <c r="BN18" s="42">
        <f t="shared" si="3"/>
        <v>0.75</v>
      </c>
      <c r="BO18" s="23">
        <f t="shared" ref="BO18:BQ20" si="6">(25%+25%+25%)/3</f>
        <v>0.25</v>
      </c>
      <c r="BP18" s="23">
        <f t="shared" si="6"/>
        <v>0.25</v>
      </c>
      <c r="BQ18" s="23">
        <f t="shared" si="6"/>
        <v>0.25</v>
      </c>
      <c r="BR18" s="23">
        <f>(0%+0%+0%)/3</f>
        <v>0</v>
      </c>
      <c r="BS18" s="202">
        <f>+(345+774+1003)/(10+11+19)</f>
        <v>53.05</v>
      </c>
      <c r="BT18" s="42">
        <f>BU18+BV18+BW18+BX18</f>
        <v>0.75</v>
      </c>
      <c r="BU18" s="23">
        <f>(25%+25%+25%)/3</f>
        <v>0.25</v>
      </c>
      <c r="BV18" s="23">
        <f>(25%+25%+25%)/3</f>
        <v>0.25</v>
      </c>
      <c r="BW18" s="23">
        <f>(25%+25%+25%)/3</f>
        <v>0.25</v>
      </c>
      <c r="BX18" s="23">
        <f>(0%+0%+0%)/3</f>
        <v>0</v>
      </c>
      <c r="BY18" s="202">
        <f>(2242+3866+6694)/(39+55+88)</f>
        <v>70.340659340659343</v>
      </c>
      <c r="BZ18" s="10">
        <f t="shared" si="2"/>
        <v>1</v>
      </c>
      <c r="CA18" s="9">
        <v>0.25</v>
      </c>
      <c r="CB18" s="9">
        <v>0.25</v>
      </c>
      <c r="CC18" s="9">
        <v>0.25</v>
      </c>
      <c r="CD18" s="9">
        <v>0.25</v>
      </c>
      <c r="CE18" s="82"/>
      <c r="CF18" s="33"/>
      <c r="CG18" s="69"/>
      <c r="CH18" s="69"/>
      <c r="CI18" s="69"/>
      <c r="CJ18" s="69"/>
      <c r="CK18" s="82">
        <f>(BM18+BS18+BY18)/3</f>
        <v>52.596886446886437</v>
      </c>
      <c r="CL18" s="10">
        <f>60/CK18</f>
        <v>1.1407519352041759</v>
      </c>
    </row>
    <row r="19" spans="1:90" ht="78" customHeight="1" x14ac:dyDescent="0.25">
      <c r="A19" s="135"/>
      <c r="B19" s="162"/>
      <c r="C19" s="162"/>
      <c r="D19" s="164"/>
      <c r="E19" s="166"/>
      <c r="F19" s="150"/>
      <c r="G19" s="156"/>
      <c r="H19" s="135"/>
      <c r="I19" s="167"/>
      <c r="J19" s="147"/>
      <c r="K19" s="11" t="s">
        <v>317</v>
      </c>
      <c r="L19" s="11" t="s">
        <v>26</v>
      </c>
      <c r="M19" s="153"/>
      <c r="N19" s="21" t="s">
        <v>321</v>
      </c>
      <c r="O19" s="37">
        <v>0.1666</v>
      </c>
      <c r="P19" s="21" t="s">
        <v>320</v>
      </c>
      <c r="Q19" s="11" t="s">
        <v>17</v>
      </c>
      <c r="R19" s="11" t="s">
        <v>17</v>
      </c>
      <c r="S19" s="21" t="s">
        <v>319</v>
      </c>
      <c r="T19" s="16" t="s">
        <v>34</v>
      </c>
      <c r="U19" s="21" t="s">
        <v>318</v>
      </c>
      <c r="V19" s="16" t="s">
        <v>43</v>
      </c>
      <c r="W19" s="16" t="s">
        <v>245</v>
      </c>
      <c r="X19" s="13" t="s">
        <v>18</v>
      </c>
      <c r="Y19" s="11" t="s">
        <v>17</v>
      </c>
      <c r="Z19" s="11" t="s">
        <v>17</v>
      </c>
      <c r="AA19" s="13" t="s">
        <v>194</v>
      </c>
      <c r="AB19" s="79">
        <v>8.3299999999999999E-2</v>
      </c>
      <c r="AC19" s="79">
        <v>0.1666</v>
      </c>
      <c r="AD19" s="79">
        <v>0.24990000000000001</v>
      </c>
      <c r="AE19" s="79">
        <v>0.3332</v>
      </c>
      <c r="AF19" s="79">
        <v>0.41649999999999998</v>
      </c>
      <c r="AG19" s="79">
        <v>0.49979999999999997</v>
      </c>
      <c r="AH19" s="79">
        <v>0.58309999999999995</v>
      </c>
      <c r="AI19" s="79">
        <v>0.66639999999999999</v>
      </c>
      <c r="AJ19" s="79">
        <v>0.74970000000000003</v>
      </c>
      <c r="AK19" s="79">
        <v>0.83300000000000007</v>
      </c>
      <c r="AL19" s="79">
        <v>0.91630000000000011</v>
      </c>
      <c r="AM19" s="79">
        <v>0.99960000000000016</v>
      </c>
      <c r="AN19" s="24">
        <v>1</v>
      </c>
      <c r="AO19" s="38">
        <f>(0+17+125)/745</f>
        <v>0.1906040268456376</v>
      </c>
      <c r="AP19" s="42">
        <f>AQ19+AR19+AS19+AT19</f>
        <v>0.75</v>
      </c>
      <c r="AQ19" s="23">
        <f t="shared" si="5"/>
        <v>0.25</v>
      </c>
      <c r="AR19" s="23">
        <f t="shared" si="5"/>
        <v>0.25</v>
      </c>
      <c r="AS19" s="23">
        <f t="shared" si="5"/>
        <v>0.25</v>
      </c>
      <c r="AT19" s="23">
        <v>0</v>
      </c>
      <c r="AU19" s="23">
        <f>(389)/745</f>
        <v>0.52214765100671146</v>
      </c>
      <c r="AV19" s="33">
        <v>0.75</v>
      </c>
      <c r="AW19" s="30">
        <v>0.25</v>
      </c>
      <c r="AX19" s="30">
        <v>0.25</v>
      </c>
      <c r="AY19" s="30">
        <v>0.25</v>
      </c>
      <c r="AZ19" s="30">
        <v>0</v>
      </c>
      <c r="BA19" s="37">
        <f>(662)/(936)</f>
        <v>0.70726495726495731</v>
      </c>
      <c r="BB19" s="33">
        <f t="shared" si="4"/>
        <v>1</v>
      </c>
      <c r="BC19" s="59">
        <v>0.25</v>
      </c>
      <c r="BD19" s="59">
        <v>0.25</v>
      </c>
      <c r="BE19" s="59">
        <v>0.25</v>
      </c>
      <c r="BF19" s="59">
        <v>0.25</v>
      </c>
      <c r="BG19" s="9"/>
      <c r="BH19" s="33"/>
      <c r="BI19" s="69"/>
      <c r="BJ19" s="69"/>
      <c r="BK19" s="69"/>
      <c r="BL19" s="69"/>
      <c r="BM19" s="77">
        <f>(0+17+125)/745</f>
        <v>0.1906040268456376</v>
      </c>
      <c r="BN19" s="42">
        <f t="shared" si="3"/>
        <v>0.75</v>
      </c>
      <c r="BO19" s="23">
        <f t="shared" si="6"/>
        <v>0.25</v>
      </c>
      <c r="BP19" s="23">
        <f t="shared" si="6"/>
        <v>0.25</v>
      </c>
      <c r="BQ19" s="23">
        <f t="shared" si="6"/>
        <v>0.25</v>
      </c>
      <c r="BR19" s="23">
        <f>(0%+0%+0%)/3</f>
        <v>0</v>
      </c>
      <c r="BS19" s="203">
        <f>(389)/(745)</f>
        <v>0.52214765100671146</v>
      </c>
      <c r="BT19" s="10">
        <f>(BU19+BV19+BW19+BX19)</f>
        <v>1</v>
      </c>
      <c r="BU19" s="23">
        <v>0.25</v>
      </c>
      <c r="BV19" s="23">
        <v>0.25</v>
      </c>
      <c r="BW19" s="23">
        <v>0.25</v>
      </c>
      <c r="BX19" s="23">
        <v>0.25</v>
      </c>
      <c r="BY19" s="207">
        <f>(662)/(936)</f>
        <v>0.70726495726495731</v>
      </c>
      <c r="BZ19" s="10">
        <f t="shared" si="2"/>
        <v>1</v>
      </c>
      <c r="CA19" s="9">
        <v>0.25</v>
      </c>
      <c r="CB19" s="9">
        <v>0.25</v>
      </c>
      <c r="CC19" s="9">
        <v>0.25</v>
      </c>
      <c r="CD19" s="9">
        <v>0.25</v>
      </c>
      <c r="CE19" s="10"/>
      <c r="CF19" s="33"/>
      <c r="CG19" s="69"/>
      <c r="CH19" s="69"/>
      <c r="CI19" s="69"/>
      <c r="CJ19" s="69"/>
      <c r="CK19" s="38">
        <f>(662)/936</f>
        <v>0.70726495726495731</v>
      </c>
      <c r="CL19" s="9">
        <f>+CK19/AJ19</f>
        <v>0.94339730194071936</v>
      </c>
    </row>
    <row r="20" spans="1:90" ht="78" customHeight="1" x14ac:dyDescent="0.25">
      <c r="A20" s="135"/>
      <c r="B20" s="162"/>
      <c r="C20" s="162"/>
      <c r="D20" s="164"/>
      <c r="E20" s="166"/>
      <c r="F20" s="150"/>
      <c r="G20" s="156"/>
      <c r="H20" s="135"/>
      <c r="I20" s="167"/>
      <c r="J20" s="147"/>
      <c r="K20" s="11" t="s">
        <v>317</v>
      </c>
      <c r="L20" s="16" t="s">
        <v>38</v>
      </c>
      <c r="M20" s="153"/>
      <c r="N20" s="21" t="s">
        <v>316</v>
      </c>
      <c r="O20" s="37">
        <v>0.1666</v>
      </c>
      <c r="P20" s="21" t="s">
        <v>315</v>
      </c>
      <c r="Q20" s="11" t="s">
        <v>17</v>
      </c>
      <c r="R20" s="11" t="s">
        <v>17</v>
      </c>
      <c r="S20" s="21" t="s">
        <v>314</v>
      </c>
      <c r="T20" s="16" t="s">
        <v>34</v>
      </c>
      <c r="U20" s="21" t="s">
        <v>313</v>
      </c>
      <c r="V20" s="16" t="s">
        <v>43</v>
      </c>
      <c r="W20" s="16" t="s">
        <v>245</v>
      </c>
      <c r="X20" s="13" t="s">
        <v>18</v>
      </c>
      <c r="Y20" s="11" t="s">
        <v>17</v>
      </c>
      <c r="Z20" s="11" t="s">
        <v>17</v>
      </c>
      <c r="AA20" s="13" t="s">
        <v>194</v>
      </c>
      <c r="AB20" s="25">
        <v>1</v>
      </c>
      <c r="AC20" s="25">
        <v>1</v>
      </c>
      <c r="AD20" s="25">
        <v>1</v>
      </c>
      <c r="AE20" s="25">
        <v>1</v>
      </c>
      <c r="AF20" s="25">
        <v>1</v>
      </c>
      <c r="AG20" s="25">
        <v>1</v>
      </c>
      <c r="AH20" s="25">
        <v>1</v>
      </c>
      <c r="AI20" s="25">
        <v>1</v>
      </c>
      <c r="AJ20" s="25">
        <v>1</v>
      </c>
      <c r="AK20" s="25">
        <v>1</v>
      </c>
      <c r="AL20" s="25">
        <v>1</v>
      </c>
      <c r="AM20" s="25">
        <v>1</v>
      </c>
      <c r="AN20" s="25">
        <v>1</v>
      </c>
      <c r="AO20" s="38">
        <f>(8+10+23)/(28+40+71)</f>
        <v>0.29496402877697842</v>
      </c>
      <c r="AP20" s="42">
        <f>AR20+AS20+AT20+AU20</f>
        <v>0.95132743362831862</v>
      </c>
      <c r="AQ20" s="23">
        <f t="shared" si="5"/>
        <v>0.25</v>
      </c>
      <c r="AR20" s="23">
        <f t="shared" si="5"/>
        <v>0.25</v>
      </c>
      <c r="AS20" s="23">
        <f t="shared" si="5"/>
        <v>0.25</v>
      </c>
      <c r="AT20" s="23">
        <v>0</v>
      </c>
      <c r="AU20" s="38">
        <f>(7+15+29)/(29+43+41)</f>
        <v>0.45132743362831856</v>
      </c>
      <c r="AV20" s="42">
        <f>AW20+AX20+AY20+AZ20</f>
        <v>0.5</v>
      </c>
      <c r="AW20" s="23">
        <f>(25%+25%+25%)/3</f>
        <v>0.25</v>
      </c>
      <c r="AX20" s="23">
        <f>(25%+25%+25%)/3</f>
        <v>0.25</v>
      </c>
      <c r="AY20" s="23">
        <v>0</v>
      </c>
      <c r="AZ20" s="23">
        <v>0</v>
      </c>
      <c r="BA20" s="79">
        <f>(26+44+28)/(36+59+35)</f>
        <v>0.75384615384615383</v>
      </c>
      <c r="BB20" s="33">
        <f t="shared" si="4"/>
        <v>0.75</v>
      </c>
      <c r="BC20" s="59">
        <v>0.25</v>
      </c>
      <c r="BD20" s="59">
        <v>0.25</v>
      </c>
      <c r="BE20" s="33">
        <v>0</v>
      </c>
      <c r="BF20" s="59">
        <v>0.25</v>
      </c>
      <c r="BG20" s="79"/>
      <c r="BH20" s="33"/>
      <c r="BI20" s="69"/>
      <c r="BJ20" s="69"/>
      <c r="BK20" s="69"/>
      <c r="BL20" s="69"/>
      <c r="BM20" s="38">
        <f>(8+10+23)/(28+40+71)</f>
        <v>0.29496402877697842</v>
      </c>
      <c r="BN20" s="42">
        <f t="shared" si="3"/>
        <v>0.75</v>
      </c>
      <c r="BO20" s="23">
        <f t="shared" si="6"/>
        <v>0.25</v>
      </c>
      <c r="BP20" s="23">
        <f t="shared" si="6"/>
        <v>0.25</v>
      </c>
      <c r="BQ20" s="23">
        <f t="shared" si="6"/>
        <v>0.25</v>
      </c>
      <c r="BR20" s="23">
        <f>(0%+0%+0%)/3</f>
        <v>0</v>
      </c>
      <c r="BS20" s="38">
        <f>(7+15+29)/(29+43+41)</f>
        <v>0.45132743362831856</v>
      </c>
      <c r="BT20" s="42">
        <f>BU20+BV20+BW20+BX20</f>
        <v>1</v>
      </c>
      <c r="BU20" s="23">
        <f>(25%+25%+25%)/3</f>
        <v>0.25</v>
      </c>
      <c r="BV20" s="23">
        <f>(25%+25%+25%)/3</f>
        <v>0.25</v>
      </c>
      <c r="BW20" s="23">
        <v>0.25</v>
      </c>
      <c r="BX20" s="23">
        <v>0.25</v>
      </c>
      <c r="BY20" s="79">
        <f>(26+44+28)/(36+59+35)</f>
        <v>0.75384615384615383</v>
      </c>
      <c r="BZ20" s="10">
        <f t="shared" si="2"/>
        <v>0.75</v>
      </c>
      <c r="CA20" s="9">
        <v>0.25</v>
      </c>
      <c r="CB20" s="9">
        <v>0.25</v>
      </c>
      <c r="CC20" s="9">
        <v>0.25</v>
      </c>
      <c r="CD20" s="9">
        <v>0</v>
      </c>
      <c r="CE20" s="79"/>
      <c r="CF20" s="33"/>
      <c r="CG20" s="69"/>
      <c r="CH20" s="69"/>
      <c r="CI20" s="69"/>
      <c r="CJ20" s="69"/>
      <c r="CK20" s="9">
        <f>(BM20+BS20+BY20)/3</f>
        <v>0.5000458720838169</v>
      </c>
      <c r="CL20" s="9">
        <f>+CK20/AJ20</f>
        <v>0.5000458720838169</v>
      </c>
    </row>
    <row r="21" spans="1:90" ht="78" customHeight="1" x14ac:dyDescent="0.25">
      <c r="A21" s="135"/>
      <c r="B21" s="162"/>
      <c r="C21" s="162"/>
      <c r="D21" s="164"/>
      <c r="E21" s="166"/>
      <c r="F21" s="150"/>
      <c r="G21" s="156"/>
      <c r="H21" s="135"/>
      <c r="I21" s="167"/>
      <c r="J21" s="147"/>
      <c r="K21" s="11" t="s">
        <v>307</v>
      </c>
      <c r="L21" s="16" t="s">
        <v>38</v>
      </c>
      <c r="M21" s="153"/>
      <c r="N21" s="21" t="s">
        <v>312</v>
      </c>
      <c r="O21" s="37">
        <v>0.1666</v>
      </c>
      <c r="P21" s="21" t="s">
        <v>311</v>
      </c>
      <c r="Q21" s="11" t="s">
        <v>17</v>
      </c>
      <c r="R21" s="11" t="s">
        <v>17</v>
      </c>
      <c r="S21" s="21" t="s">
        <v>310</v>
      </c>
      <c r="T21" s="16" t="s">
        <v>34</v>
      </c>
      <c r="U21" s="21" t="s">
        <v>309</v>
      </c>
      <c r="V21" s="16" t="s">
        <v>43</v>
      </c>
      <c r="W21" s="16" t="s">
        <v>225</v>
      </c>
      <c r="X21" s="13" t="s">
        <v>18</v>
      </c>
      <c r="Y21" s="11" t="s">
        <v>308</v>
      </c>
      <c r="Z21" s="81">
        <v>1725000000</v>
      </c>
      <c r="AA21" s="13" t="s">
        <v>41</v>
      </c>
      <c r="AB21" s="78"/>
      <c r="AC21" s="78"/>
      <c r="AD21" s="25">
        <v>1</v>
      </c>
      <c r="AE21" s="78"/>
      <c r="AF21" s="78"/>
      <c r="AG21" s="25">
        <v>1</v>
      </c>
      <c r="AH21" s="78"/>
      <c r="AI21" s="78"/>
      <c r="AJ21" s="25">
        <v>1</v>
      </c>
      <c r="AK21" s="78"/>
      <c r="AL21" s="78"/>
      <c r="AM21" s="25">
        <v>1</v>
      </c>
      <c r="AN21" s="24">
        <v>1</v>
      </c>
      <c r="AO21" s="77">
        <f>22/24</f>
        <v>0.91666666666666663</v>
      </c>
      <c r="AP21" s="25">
        <f>AQ21+AR21+AS21+AT21</f>
        <v>0.75</v>
      </c>
      <c r="AQ21" s="25">
        <v>0.25</v>
      </c>
      <c r="AR21" s="25">
        <v>0.25</v>
      </c>
      <c r="AS21" s="25">
        <v>0</v>
      </c>
      <c r="AT21" s="25">
        <v>0.25</v>
      </c>
      <c r="AU21" s="30">
        <f>17/20</f>
        <v>0.85</v>
      </c>
      <c r="AV21" s="25">
        <f>AW21+AX21+AY21+AZ21</f>
        <v>1</v>
      </c>
      <c r="AW21" s="25">
        <v>0.25</v>
      </c>
      <c r="AX21" s="25">
        <v>0.25</v>
      </c>
      <c r="AY21" s="25">
        <v>0.25</v>
      </c>
      <c r="AZ21" s="25">
        <v>0.25</v>
      </c>
      <c r="BA21" s="77">
        <f>25/33</f>
        <v>0.75757575757575757</v>
      </c>
      <c r="BB21" s="33">
        <f t="shared" si="4"/>
        <v>1</v>
      </c>
      <c r="BC21" s="59">
        <v>0.25</v>
      </c>
      <c r="BD21" s="59">
        <v>0.25</v>
      </c>
      <c r="BE21" s="59">
        <v>0.25</v>
      </c>
      <c r="BF21" s="59">
        <v>0.25</v>
      </c>
      <c r="BG21" s="77"/>
      <c r="BH21" s="30"/>
      <c r="BI21" s="30"/>
      <c r="BJ21" s="30"/>
      <c r="BK21" s="30"/>
      <c r="BL21" s="30"/>
      <c r="BM21" s="77">
        <f>22/24</f>
        <v>0.91666666666666663</v>
      </c>
      <c r="BN21" s="25">
        <f t="shared" si="3"/>
        <v>0.75</v>
      </c>
      <c r="BO21" s="25">
        <v>0.25</v>
      </c>
      <c r="BP21" s="25">
        <v>0.25</v>
      </c>
      <c r="BQ21" s="25">
        <v>0</v>
      </c>
      <c r="BR21" s="25">
        <v>0.25</v>
      </c>
      <c r="BS21" s="10">
        <f>17/20</f>
        <v>0.85</v>
      </c>
      <c r="BT21" s="42">
        <f>BU21+BV21+BW21+BX21</f>
        <v>1</v>
      </c>
      <c r="BU21" s="23">
        <v>0.25</v>
      </c>
      <c r="BV21" s="23">
        <v>0.25</v>
      </c>
      <c r="BW21" s="23">
        <v>0.25</v>
      </c>
      <c r="BX21" s="23">
        <v>0.25</v>
      </c>
      <c r="BY21" s="77">
        <f>25/33</f>
        <v>0.75757575757575757</v>
      </c>
      <c r="BZ21" s="10">
        <f t="shared" si="2"/>
        <v>1</v>
      </c>
      <c r="CA21" s="9">
        <v>0.25</v>
      </c>
      <c r="CB21" s="9">
        <v>0.25</v>
      </c>
      <c r="CC21" s="9">
        <v>0.25</v>
      </c>
      <c r="CD21" s="9">
        <v>0.25</v>
      </c>
      <c r="CE21" s="77"/>
      <c r="CF21" s="30"/>
      <c r="CG21" s="30"/>
      <c r="CH21" s="30"/>
      <c r="CI21" s="30"/>
      <c r="CJ21" s="30"/>
      <c r="CK21" s="38">
        <f>(BM21+BS21+BY21)/3</f>
        <v>0.8414141414141415</v>
      </c>
      <c r="CL21" s="47">
        <f>+CK21/AJ21</f>
        <v>0.8414141414141415</v>
      </c>
    </row>
    <row r="22" spans="1:90" ht="78" customHeight="1" x14ac:dyDescent="0.25">
      <c r="A22" s="135"/>
      <c r="B22" s="162"/>
      <c r="C22" s="162"/>
      <c r="D22" s="164"/>
      <c r="E22" s="166"/>
      <c r="F22" s="150"/>
      <c r="G22" s="156"/>
      <c r="H22" s="135"/>
      <c r="I22" s="160"/>
      <c r="J22" s="148"/>
      <c r="K22" s="11" t="s">
        <v>307</v>
      </c>
      <c r="L22" s="16" t="s">
        <v>38</v>
      </c>
      <c r="M22" s="154"/>
      <c r="N22" s="21" t="s">
        <v>306</v>
      </c>
      <c r="O22" s="37">
        <v>0.1666</v>
      </c>
      <c r="P22" s="21" t="s">
        <v>305</v>
      </c>
      <c r="Q22" s="11" t="s">
        <v>17</v>
      </c>
      <c r="R22" s="11" t="s">
        <v>17</v>
      </c>
      <c r="S22" s="21" t="s">
        <v>304</v>
      </c>
      <c r="T22" s="16" t="s">
        <v>34</v>
      </c>
      <c r="U22" s="21" t="s">
        <v>303</v>
      </c>
      <c r="V22" s="16" t="s">
        <v>43</v>
      </c>
      <c r="W22" s="16" t="s">
        <v>225</v>
      </c>
      <c r="X22" s="13" t="s">
        <v>18</v>
      </c>
      <c r="Y22" s="11" t="s">
        <v>17</v>
      </c>
      <c r="Z22" s="11" t="s">
        <v>17</v>
      </c>
      <c r="AA22" s="13" t="s">
        <v>194</v>
      </c>
      <c r="AB22" s="25">
        <v>1</v>
      </c>
      <c r="AC22" s="25">
        <v>1</v>
      </c>
      <c r="AD22" s="25">
        <v>1</v>
      </c>
      <c r="AE22" s="25">
        <v>1</v>
      </c>
      <c r="AF22" s="25">
        <v>1</v>
      </c>
      <c r="AG22" s="25">
        <v>1</v>
      </c>
      <c r="AH22" s="25">
        <v>1</v>
      </c>
      <c r="AI22" s="25">
        <v>1</v>
      </c>
      <c r="AJ22" s="25">
        <v>1</v>
      </c>
      <c r="AK22" s="25">
        <v>1</v>
      </c>
      <c r="AL22" s="25">
        <v>1</v>
      </c>
      <c r="AM22" s="25">
        <v>1</v>
      </c>
      <c r="AN22" s="24">
        <v>1</v>
      </c>
      <c r="AO22" s="61">
        <f>(306+126+184)/(320+140+201)</f>
        <v>0.9319213313161876</v>
      </c>
      <c r="AP22" s="25">
        <f>AQ22+AR22+AS22+AT22</f>
        <v>1</v>
      </c>
      <c r="AQ22" s="25">
        <v>0.25</v>
      </c>
      <c r="AR22" s="25">
        <v>0.25</v>
      </c>
      <c r="AS22" s="25">
        <v>0.25</v>
      </c>
      <c r="AT22" s="25">
        <v>0.25</v>
      </c>
      <c r="AU22" s="61">
        <f>(252+258+233)/(320+284+254)</f>
        <v>0.86596736596736601</v>
      </c>
      <c r="AV22" s="25">
        <f>AW22+AX22+AY22+AZ22</f>
        <v>1</v>
      </c>
      <c r="AW22" s="25">
        <v>0.25</v>
      </c>
      <c r="AX22" s="25">
        <v>0.25</v>
      </c>
      <c r="AY22" s="25">
        <v>0.25</v>
      </c>
      <c r="AZ22" s="25">
        <v>0.25</v>
      </c>
      <c r="BA22" s="77">
        <f>(280+185+452)/(314+258+493)</f>
        <v>0.8610328638497653</v>
      </c>
      <c r="BB22" s="33">
        <f t="shared" si="4"/>
        <v>1</v>
      </c>
      <c r="BC22" s="59">
        <v>0.25</v>
      </c>
      <c r="BD22" s="59">
        <v>0.25</v>
      </c>
      <c r="BE22" s="59">
        <v>0.25</v>
      </c>
      <c r="BF22" s="59">
        <v>0.25</v>
      </c>
      <c r="BG22" s="77"/>
      <c r="BH22" s="30"/>
      <c r="BI22" s="30"/>
      <c r="BJ22" s="30"/>
      <c r="BK22" s="30"/>
      <c r="BL22" s="30"/>
      <c r="BM22" s="38">
        <f>(306+126+184)/(320+140+201)</f>
        <v>0.9319213313161876</v>
      </c>
      <c r="BN22" s="42">
        <f t="shared" si="3"/>
        <v>1</v>
      </c>
      <c r="BO22" s="23">
        <v>0.25</v>
      </c>
      <c r="BP22" s="23">
        <v>0.25</v>
      </c>
      <c r="BQ22" s="23">
        <v>0.25</v>
      </c>
      <c r="BR22" s="23">
        <v>0.25</v>
      </c>
      <c r="BS22" s="38">
        <f>(252+258+233)/(320+284+254)</f>
        <v>0.86596736596736601</v>
      </c>
      <c r="BT22" s="42">
        <f>BU22+BV22+BW22+BX22</f>
        <v>1</v>
      </c>
      <c r="BU22" s="23">
        <v>0.25</v>
      </c>
      <c r="BV22" s="23">
        <v>0.25</v>
      </c>
      <c r="BW22" s="23">
        <v>0.25</v>
      </c>
      <c r="BX22" s="23">
        <v>0.25</v>
      </c>
      <c r="BY22" s="77">
        <f>(280+185+452)/(314+258+493)</f>
        <v>0.8610328638497653</v>
      </c>
      <c r="BZ22" s="10">
        <f t="shared" si="2"/>
        <v>1</v>
      </c>
      <c r="CA22" s="9">
        <v>0.25</v>
      </c>
      <c r="CB22" s="9">
        <v>0.25</v>
      </c>
      <c r="CC22" s="9">
        <v>0.25</v>
      </c>
      <c r="CD22" s="9">
        <v>0.25</v>
      </c>
      <c r="CE22" s="77"/>
      <c r="CF22" s="30"/>
      <c r="CG22" s="30"/>
      <c r="CH22" s="30"/>
      <c r="CI22" s="30"/>
      <c r="CJ22" s="30"/>
      <c r="CK22" s="37">
        <f>(BM22+BS22+BY22)/3</f>
        <v>0.88630718704443956</v>
      </c>
      <c r="CL22" s="47">
        <f>+CK22/AJ22</f>
        <v>0.88630718704443956</v>
      </c>
    </row>
    <row r="23" spans="1:90" ht="95.25" customHeight="1" x14ac:dyDescent="0.25">
      <c r="A23" s="135"/>
      <c r="B23" s="162"/>
      <c r="C23" s="162"/>
      <c r="D23" s="164"/>
      <c r="E23" s="166"/>
      <c r="F23" s="150"/>
      <c r="G23" s="168"/>
      <c r="H23" s="135"/>
      <c r="I23" s="159" t="s">
        <v>302</v>
      </c>
      <c r="J23" s="147"/>
      <c r="K23" s="11" t="s">
        <v>301</v>
      </c>
      <c r="L23" s="16" t="s">
        <v>38</v>
      </c>
      <c r="M23" s="146">
        <v>1</v>
      </c>
      <c r="N23" s="21" t="s">
        <v>300</v>
      </c>
      <c r="O23" s="37">
        <v>8.3299999999999999E-2</v>
      </c>
      <c r="P23" s="21" t="s">
        <v>299</v>
      </c>
      <c r="Q23" s="11" t="s">
        <v>17</v>
      </c>
      <c r="R23" s="11" t="s">
        <v>17</v>
      </c>
      <c r="S23" s="21" t="s">
        <v>298</v>
      </c>
      <c r="T23" s="18" t="s">
        <v>34</v>
      </c>
      <c r="U23" s="21" t="s">
        <v>297</v>
      </c>
      <c r="V23" s="16" t="s">
        <v>32</v>
      </c>
      <c r="W23" s="16" t="s">
        <v>296</v>
      </c>
      <c r="X23" s="13" t="s">
        <v>18</v>
      </c>
      <c r="Y23" s="11" t="s">
        <v>17</v>
      </c>
      <c r="Z23" s="11" t="s">
        <v>17</v>
      </c>
      <c r="AA23" s="13" t="s">
        <v>41</v>
      </c>
      <c r="AB23" s="15"/>
      <c r="AC23" s="15"/>
      <c r="AD23" s="15">
        <v>1</v>
      </c>
      <c r="AE23" s="15"/>
      <c r="AF23" s="15"/>
      <c r="AG23" s="15">
        <v>1</v>
      </c>
      <c r="AH23" s="15"/>
      <c r="AI23" s="15"/>
      <c r="AJ23" s="15">
        <v>1</v>
      </c>
      <c r="AK23" s="15"/>
      <c r="AL23" s="15"/>
      <c r="AM23" s="15">
        <v>1</v>
      </c>
      <c r="AN23" s="15">
        <v>1</v>
      </c>
      <c r="AO23" s="15">
        <f>1/1</f>
        <v>1</v>
      </c>
      <c r="AP23" s="15">
        <f>AQ23+AR23+AS23+AT23</f>
        <v>0.75</v>
      </c>
      <c r="AQ23" s="15">
        <v>0.25</v>
      </c>
      <c r="AR23" s="15">
        <v>0.25</v>
      </c>
      <c r="AS23" s="15">
        <v>0</v>
      </c>
      <c r="AT23" s="15">
        <v>0.25</v>
      </c>
      <c r="AU23" s="30">
        <v>1</v>
      </c>
      <c r="AV23" s="30">
        <f>(AW23+AX23+AY23+AZ23)</f>
        <v>1</v>
      </c>
      <c r="AW23" s="33">
        <v>0.25</v>
      </c>
      <c r="AX23" s="33">
        <v>0.25</v>
      </c>
      <c r="AY23" s="33">
        <v>0.25</v>
      </c>
      <c r="AZ23" s="33">
        <v>0.25</v>
      </c>
      <c r="BA23" s="30">
        <f>1/1</f>
        <v>1</v>
      </c>
      <c r="BB23" s="33">
        <f t="shared" si="4"/>
        <v>1</v>
      </c>
      <c r="BC23" s="59">
        <v>0.25</v>
      </c>
      <c r="BD23" s="59">
        <v>0.25</v>
      </c>
      <c r="BE23" s="59">
        <v>0.25</v>
      </c>
      <c r="BF23" s="59">
        <v>0.25</v>
      </c>
      <c r="BG23" s="8"/>
      <c r="BH23" s="8"/>
      <c r="BI23" s="8"/>
      <c r="BJ23" s="8"/>
      <c r="BK23" s="8"/>
      <c r="BL23" s="8"/>
      <c r="BM23" s="9">
        <f>1/1</f>
        <v>1</v>
      </c>
      <c r="BN23" s="15">
        <f t="shared" si="3"/>
        <v>0.75</v>
      </c>
      <c r="BO23" s="9">
        <v>0.25</v>
      </c>
      <c r="BP23" s="9">
        <v>0.25</v>
      </c>
      <c r="BQ23" s="9">
        <v>0</v>
      </c>
      <c r="BR23" s="9">
        <v>0.25</v>
      </c>
      <c r="BS23" s="201">
        <f>1/1</f>
        <v>1</v>
      </c>
      <c r="BT23" s="10">
        <f>(BU23+BV23+BW23+BX23)</f>
        <v>1</v>
      </c>
      <c r="BU23" s="9">
        <v>0.25</v>
      </c>
      <c r="BV23" s="9">
        <v>0.25</v>
      </c>
      <c r="BW23" s="9">
        <v>0.25</v>
      </c>
      <c r="BX23" s="9">
        <v>0.25</v>
      </c>
      <c r="BY23" s="10">
        <f>1/1</f>
        <v>1</v>
      </c>
      <c r="BZ23" s="10">
        <f t="shared" si="2"/>
        <v>1</v>
      </c>
      <c r="CA23" s="9">
        <v>0.25</v>
      </c>
      <c r="CB23" s="9">
        <v>0.25</v>
      </c>
      <c r="CC23" s="9">
        <v>0.25</v>
      </c>
      <c r="CD23" s="9">
        <v>0.25</v>
      </c>
      <c r="CE23" s="8"/>
      <c r="CF23" s="8"/>
      <c r="CG23" s="8"/>
      <c r="CH23" s="8"/>
      <c r="CI23" s="8"/>
      <c r="CJ23" s="8"/>
      <c r="CK23" s="9">
        <f>(BM23+BS23+BY23)/3</f>
        <v>1</v>
      </c>
      <c r="CL23" s="9">
        <f>+CK23/AJ23</f>
        <v>1</v>
      </c>
    </row>
    <row r="24" spans="1:90" ht="78" customHeight="1" x14ac:dyDescent="0.25">
      <c r="A24" s="135"/>
      <c r="B24" s="162"/>
      <c r="C24" s="162"/>
      <c r="D24" s="164"/>
      <c r="E24" s="166"/>
      <c r="F24" s="150"/>
      <c r="G24" s="168"/>
      <c r="H24" s="135"/>
      <c r="I24" s="167"/>
      <c r="J24" s="147"/>
      <c r="K24" s="11" t="s">
        <v>295</v>
      </c>
      <c r="L24" s="16" t="s">
        <v>38</v>
      </c>
      <c r="M24" s="153"/>
      <c r="N24" s="21" t="s">
        <v>294</v>
      </c>
      <c r="O24" s="37">
        <v>8.3299999999999999E-2</v>
      </c>
      <c r="P24" s="21" t="s">
        <v>293</v>
      </c>
      <c r="Q24" s="11" t="s">
        <v>17</v>
      </c>
      <c r="R24" s="11" t="s">
        <v>17</v>
      </c>
      <c r="S24" s="21" t="s">
        <v>292</v>
      </c>
      <c r="T24" s="18" t="s">
        <v>34</v>
      </c>
      <c r="U24" s="21" t="s">
        <v>291</v>
      </c>
      <c r="V24" s="16" t="s">
        <v>32</v>
      </c>
      <c r="W24" s="16" t="s">
        <v>214</v>
      </c>
      <c r="X24" s="13" t="s">
        <v>18</v>
      </c>
      <c r="Y24" s="11" t="s">
        <v>17</v>
      </c>
      <c r="Z24" s="11" t="s">
        <v>17</v>
      </c>
      <c r="AA24" s="13" t="s">
        <v>30</v>
      </c>
      <c r="AB24" s="15"/>
      <c r="AC24" s="15"/>
      <c r="AD24" s="15"/>
      <c r="AE24" s="15"/>
      <c r="AF24" s="15"/>
      <c r="AG24" s="15">
        <v>1</v>
      </c>
      <c r="AH24" s="15"/>
      <c r="AI24" s="15"/>
      <c r="AJ24" s="15"/>
      <c r="AK24" s="15"/>
      <c r="AL24" s="15"/>
      <c r="AM24" s="15">
        <v>1</v>
      </c>
      <c r="AN24" s="15">
        <v>1</v>
      </c>
      <c r="AO24" s="9"/>
      <c r="AP24" s="69"/>
      <c r="AQ24" s="69"/>
      <c r="AR24" s="69"/>
      <c r="AS24" s="69"/>
      <c r="AT24" s="69"/>
      <c r="AU24" s="70">
        <f>501/891</f>
        <v>0.56228956228956228</v>
      </c>
      <c r="AV24" s="33">
        <f>AW24+AX24+AY24+AZ24</f>
        <v>1</v>
      </c>
      <c r="AW24" s="30">
        <f>(25%+25%+25%)/3</f>
        <v>0.25</v>
      </c>
      <c r="AX24" s="30">
        <f>(25%+25%+25%)/3</f>
        <v>0.25</v>
      </c>
      <c r="AY24" s="30">
        <f>(25%+25%+25%)/3</f>
        <v>0.25</v>
      </c>
      <c r="AZ24" s="30">
        <f>(25%+25%+25%)/3</f>
        <v>0.25</v>
      </c>
      <c r="BA24" s="8"/>
      <c r="BB24" s="8"/>
      <c r="BC24" s="8"/>
      <c r="BD24" s="8"/>
      <c r="BE24" s="8"/>
      <c r="BF24" s="8"/>
      <c r="BG24" s="8"/>
      <c r="BH24" s="8"/>
      <c r="BI24" s="8"/>
      <c r="BJ24" s="8"/>
      <c r="BK24" s="8"/>
      <c r="BL24" s="8"/>
      <c r="BM24" s="9"/>
      <c r="BN24" s="10"/>
      <c r="BO24" s="23"/>
      <c r="BP24" s="23"/>
      <c r="BQ24" s="23"/>
      <c r="BR24" s="23"/>
      <c r="BS24" s="204">
        <f>501/891</f>
        <v>0.56228956228956228</v>
      </c>
      <c r="BT24" s="10">
        <f>BU24+BV24+BW24+BX24</f>
        <v>1</v>
      </c>
      <c r="BU24" s="30">
        <f t="shared" ref="BU24:BX27" si="7">(25%+25%+25%)/3</f>
        <v>0.25</v>
      </c>
      <c r="BV24" s="30">
        <f t="shared" si="7"/>
        <v>0.25</v>
      </c>
      <c r="BW24" s="30">
        <f t="shared" si="7"/>
        <v>0.25</v>
      </c>
      <c r="BX24" s="30">
        <f t="shared" si="7"/>
        <v>0.25</v>
      </c>
      <c r="BY24" s="200"/>
      <c r="BZ24" s="8"/>
      <c r="CA24" s="8"/>
      <c r="CB24" s="8"/>
      <c r="CC24" s="8"/>
      <c r="CD24" s="8"/>
      <c r="CE24" s="8"/>
      <c r="CF24" s="8"/>
      <c r="CG24" s="8"/>
      <c r="CH24" s="8"/>
      <c r="CI24" s="8"/>
      <c r="CJ24" s="8"/>
      <c r="CK24" s="37">
        <f>BS24</f>
        <v>0.56228956228956228</v>
      </c>
      <c r="CL24" s="37">
        <f>+BS24/AG24</f>
        <v>0.56228956228956228</v>
      </c>
    </row>
    <row r="25" spans="1:90" ht="78" customHeight="1" x14ac:dyDescent="0.25">
      <c r="A25" s="135"/>
      <c r="B25" s="162"/>
      <c r="C25" s="162"/>
      <c r="D25" s="164"/>
      <c r="E25" s="166"/>
      <c r="F25" s="150"/>
      <c r="G25" s="168"/>
      <c r="H25" s="135"/>
      <c r="I25" s="167"/>
      <c r="J25" s="147"/>
      <c r="K25" s="11" t="s">
        <v>256</v>
      </c>
      <c r="L25" s="16" t="s">
        <v>38</v>
      </c>
      <c r="M25" s="153"/>
      <c r="N25" s="21" t="s">
        <v>290</v>
      </c>
      <c r="O25" s="37">
        <v>8.3299999999999999E-2</v>
      </c>
      <c r="P25" s="21" t="s">
        <v>289</v>
      </c>
      <c r="Q25" s="11" t="s">
        <v>17</v>
      </c>
      <c r="R25" s="11" t="s">
        <v>17</v>
      </c>
      <c r="S25" s="21" t="s">
        <v>288</v>
      </c>
      <c r="T25" s="18" t="s">
        <v>34</v>
      </c>
      <c r="U25" s="21" t="s">
        <v>287</v>
      </c>
      <c r="V25" s="16" t="s">
        <v>32</v>
      </c>
      <c r="W25" s="16" t="s">
        <v>225</v>
      </c>
      <c r="X25" s="13" t="s">
        <v>18</v>
      </c>
      <c r="Y25" s="11" t="s">
        <v>17</v>
      </c>
      <c r="Z25" s="11" t="s">
        <v>17</v>
      </c>
      <c r="AA25" s="13" t="s">
        <v>194</v>
      </c>
      <c r="AB25" s="15">
        <v>1</v>
      </c>
      <c r="AC25" s="15">
        <v>1</v>
      </c>
      <c r="AD25" s="15">
        <v>1</v>
      </c>
      <c r="AE25" s="15">
        <v>1</v>
      </c>
      <c r="AF25" s="15">
        <v>1</v>
      </c>
      <c r="AG25" s="15">
        <v>1</v>
      </c>
      <c r="AH25" s="15">
        <v>1</v>
      </c>
      <c r="AI25" s="15">
        <v>1</v>
      </c>
      <c r="AJ25" s="15">
        <v>1</v>
      </c>
      <c r="AK25" s="15">
        <v>1</v>
      </c>
      <c r="AL25" s="15">
        <v>1</v>
      </c>
      <c r="AM25" s="15">
        <v>1</v>
      </c>
      <c r="AN25" s="15">
        <v>1</v>
      </c>
      <c r="AO25" s="61">
        <f>(17+17+20)/(17+18+21)</f>
        <v>0.9642857142857143</v>
      </c>
      <c r="AP25" s="25">
        <f>AQ25+AR25+AS25+AT25</f>
        <v>1</v>
      </c>
      <c r="AQ25" s="25">
        <v>0.25</v>
      </c>
      <c r="AR25" s="25">
        <v>0.25</v>
      </c>
      <c r="AS25" s="25">
        <v>0.25</v>
      </c>
      <c r="AT25" s="25">
        <v>0.25</v>
      </c>
      <c r="AU25" s="61">
        <f>(24+24+31)/(27+24+32)</f>
        <v>0.95180722891566261</v>
      </c>
      <c r="AV25" s="25">
        <f>AW25+AX25+AY25+AZ25</f>
        <v>1</v>
      </c>
      <c r="AW25" s="25">
        <v>0.25</v>
      </c>
      <c r="AX25" s="25">
        <v>0.25</v>
      </c>
      <c r="AY25" s="25">
        <v>0.25</v>
      </c>
      <c r="AZ25" s="25">
        <v>0.25</v>
      </c>
      <c r="BA25" s="77">
        <f>(29+22+29)/(36+30+30)</f>
        <v>0.83333333333333337</v>
      </c>
      <c r="BB25" s="33">
        <f>BC25+BD25+BE25+BF25</f>
        <v>1</v>
      </c>
      <c r="BC25" s="59">
        <v>0.25</v>
      </c>
      <c r="BD25" s="59">
        <v>0.25</v>
      </c>
      <c r="BE25" s="59">
        <v>0.25</v>
      </c>
      <c r="BF25" s="59">
        <v>0.25</v>
      </c>
      <c r="BG25" s="77"/>
      <c r="BH25" s="30"/>
      <c r="BI25" s="30"/>
      <c r="BJ25" s="30"/>
      <c r="BK25" s="30"/>
      <c r="BL25" s="30"/>
      <c r="BM25" s="38">
        <f>(17+17+20)/(17+18+21)</f>
        <v>0.9642857142857143</v>
      </c>
      <c r="BN25" s="42">
        <f>BO25+BP25+BQ25+BR25</f>
        <v>1</v>
      </c>
      <c r="BO25" s="23">
        <f t="shared" ref="BO25:BR26" si="8">(25%+25%+25%)/3</f>
        <v>0.25</v>
      </c>
      <c r="BP25" s="23">
        <f t="shared" si="8"/>
        <v>0.25</v>
      </c>
      <c r="BQ25" s="23">
        <f t="shared" si="8"/>
        <v>0.25</v>
      </c>
      <c r="BR25" s="23">
        <f t="shared" si="8"/>
        <v>0.25</v>
      </c>
      <c r="BS25" s="38">
        <f>(24+24+31)/(27+24+32)</f>
        <v>0.95180722891566261</v>
      </c>
      <c r="BT25" s="25">
        <f>BU25+BV25+BW25+BX25</f>
        <v>1</v>
      </c>
      <c r="BU25" s="23">
        <f t="shared" si="7"/>
        <v>0.25</v>
      </c>
      <c r="BV25" s="23">
        <f t="shared" si="7"/>
        <v>0.25</v>
      </c>
      <c r="BW25" s="23">
        <f t="shared" si="7"/>
        <v>0.25</v>
      </c>
      <c r="BX25" s="23">
        <f t="shared" si="7"/>
        <v>0.25</v>
      </c>
      <c r="BY25" s="77">
        <f>(29+22+29)/(36+30+30)</f>
        <v>0.83333333333333337</v>
      </c>
      <c r="BZ25" s="10">
        <f>(CA25+CB25+CC25+CD25)</f>
        <v>1</v>
      </c>
      <c r="CA25" s="9">
        <v>0.25</v>
      </c>
      <c r="CB25" s="9">
        <v>0.25</v>
      </c>
      <c r="CC25" s="9">
        <v>0.25</v>
      </c>
      <c r="CD25" s="9">
        <v>0.25</v>
      </c>
      <c r="CE25" s="77"/>
      <c r="CF25" s="30"/>
      <c r="CG25" s="30"/>
      <c r="CH25" s="30"/>
      <c r="CI25" s="30"/>
      <c r="CJ25" s="30"/>
      <c r="CK25" s="37">
        <f>(BM25+BS25+BY25)/3</f>
        <v>0.91647542551157013</v>
      </c>
      <c r="CL25" s="47">
        <f>+CK25/AJ25</f>
        <v>0.91647542551157013</v>
      </c>
    </row>
    <row r="26" spans="1:90" ht="78" customHeight="1" x14ac:dyDescent="0.25">
      <c r="A26" s="135"/>
      <c r="B26" s="162"/>
      <c r="C26" s="162"/>
      <c r="D26" s="164"/>
      <c r="E26" s="166"/>
      <c r="F26" s="150"/>
      <c r="G26" s="168"/>
      <c r="H26" s="135"/>
      <c r="I26" s="167"/>
      <c r="J26" s="147"/>
      <c r="K26" s="11" t="s">
        <v>256</v>
      </c>
      <c r="L26" s="16" t="s">
        <v>38</v>
      </c>
      <c r="M26" s="153"/>
      <c r="N26" s="21" t="s">
        <v>286</v>
      </c>
      <c r="O26" s="37">
        <v>8.3299999999999999E-2</v>
      </c>
      <c r="P26" s="21" t="s">
        <v>285</v>
      </c>
      <c r="Q26" s="11" t="s">
        <v>17</v>
      </c>
      <c r="R26" s="11" t="s">
        <v>17</v>
      </c>
      <c r="S26" s="21" t="s">
        <v>284</v>
      </c>
      <c r="T26" s="18" t="s">
        <v>34</v>
      </c>
      <c r="U26" s="21" t="s">
        <v>283</v>
      </c>
      <c r="V26" s="16" t="s">
        <v>43</v>
      </c>
      <c r="W26" s="16" t="s">
        <v>225</v>
      </c>
      <c r="X26" s="13" t="s">
        <v>18</v>
      </c>
      <c r="Y26" s="11" t="s">
        <v>17</v>
      </c>
      <c r="Z26" s="11" t="s">
        <v>17</v>
      </c>
      <c r="AA26" s="13" t="s">
        <v>194</v>
      </c>
      <c r="AB26" s="15">
        <v>1</v>
      </c>
      <c r="AC26" s="15">
        <v>1</v>
      </c>
      <c r="AD26" s="15">
        <v>1</v>
      </c>
      <c r="AE26" s="15">
        <v>1</v>
      </c>
      <c r="AF26" s="15">
        <v>1</v>
      </c>
      <c r="AG26" s="15">
        <v>1</v>
      </c>
      <c r="AH26" s="15">
        <v>1</v>
      </c>
      <c r="AI26" s="15">
        <v>1</v>
      </c>
      <c r="AJ26" s="15">
        <v>1</v>
      </c>
      <c r="AK26" s="15">
        <v>1</v>
      </c>
      <c r="AL26" s="15">
        <v>1</v>
      </c>
      <c r="AM26" s="15">
        <v>1</v>
      </c>
      <c r="AN26" s="15">
        <v>1</v>
      </c>
      <c r="AO26" s="61">
        <f>(67+67+126)/(77+77+135)</f>
        <v>0.89965397923875434</v>
      </c>
      <c r="AP26" s="25">
        <f>AQ26+AR26+AS26+AT26</f>
        <v>1</v>
      </c>
      <c r="AQ26" s="25">
        <v>0.25</v>
      </c>
      <c r="AR26" s="25">
        <v>0.25</v>
      </c>
      <c r="AS26" s="25">
        <v>0.25</v>
      </c>
      <c r="AT26" s="25">
        <v>0.25</v>
      </c>
      <c r="AU26" s="61">
        <f>(103+90+113)/(114+100+125)</f>
        <v>0.90265486725663713</v>
      </c>
      <c r="AV26" s="25">
        <f>AW26+AX26+AY26+AZ26</f>
        <v>1</v>
      </c>
      <c r="AW26" s="25">
        <v>0.25</v>
      </c>
      <c r="AX26" s="25">
        <v>0.25</v>
      </c>
      <c r="AY26" s="25">
        <v>0.25</v>
      </c>
      <c r="AZ26" s="25">
        <v>0.25</v>
      </c>
      <c r="BA26" s="30">
        <f>(100+66+254)/(121+106+277)</f>
        <v>0.83333333333333337</v>
      </c>
      <c r="BB26" s="33">
        <f>BC26+BD26+BE26+BF26</f>
        <v>1</v>
      </c>
      <c r="BC26" s="59">
        <v>0.25</v>
      </c>
      <c r="BD26" s="59">
        <v>0.25</v>
      </c>
      <c r="BE26" s="59">
        <v>0.25</v>
      </c>
      <c r="BF26" s="59">
        <v>0.25</v>
      </c>
      <c r="BG26" s="77"/>
      <c r="BH26" s="30"/>
      <c r="BI26" s="30"/>
      <c r="BJ26" s="30"/>
      <c r="BK26" s="30"/>
      <c r="BL26" s="30"/>
      <c r="BM26" s="38">
        <f>(67+67+126)/(77+77+135)</f>
        <v>0.89965397923875434</v>
      </c>
      <c r="BN26" s="42">
        <f>BO26+BP26+BQ26+BR26</f>
        <v>1</v>
      </c>
      <c r="BO26" s="23">
        <f t="shared" si="8"/>
        <v>0.25</v>
      </c>
      <c r="BP26" s="23">
        <f t="shared" si="8"/>
        <v>0.25</v>
      </c>
      <c r="BQ26" s="23">
        <f t="shared" si="8"/>
        <v>0.25</v>
      </c>
      <c r="BR26" s="23">
        <f t="shared" si="8"/>
        <v>0.25</v>
      </c>
      <c r="BS26" s="38">
        <f>(103+90+113)/(114+100+125)</f>
        <v>0.90265486725663713</v>
      </c>
      <c r="BT26" s="25">
        <f>BU26+BV26+BW26+BX26</f>
        <v>1</v>
      </c>
      <c r="BU26" s="23">
        <f t="shared" si="7"/>
        <v>0.25</v>
      </c>
      <c r="BV26" s="23">
        <f t="shared" si="7"/>
        <v>0.25</v>
      </c>
      <c r="BW26" s="23">
        <f t="shared" si="7"/>
        <v>0.25</v>
      </c>
      <c r="BX26" s="23">
        <f t="shared" si="7"/>
        <v>0.25</v>
      </c>
      <c r="BY26" s="30">
        <f>(100+66+254)/(121+106+277)</f>
        <v>0.83333333333333337</v>
      </c>
      <c r="BZ26" s="10">
        <f>(CA26+CB26+CC26+CD26)</f>
        <v>1</v>
      </c>
      <c r="CA26" s="9">
        <v>0.25</v>
      </c>
      <c r="CB26" s="9">
        <v>0.25</v>
      </c>
      <c r="CC26" s="9">
        <v>0.25</v>
      </c>
      <c r="CD26" s="9">
        <v>0.25</v>
      </c>
      <c r="CE26" s="77"/>
      <c r="CF26" s="30"/>
      <c r="CG26" s="30"/>
      <c r="CH26" s="30"/>
      <c r="CI26" s="30"/>
      <c r="CJ26" s="30"/>
      <c r="CK26" s="37">
        <f>(BM26+BS26+BY26)/3</f>
        <v>0.87854739327624165</v>
      </c>
      <c r="CL26" s="37">
        <f>+CK26/AJ26</f>
        <v>0.87854739327624165</v>
      </c>
    </row>
    <row r="27" spans="1:90" ht="78" customHeight="1" x14ac:dyDescent="0.25">
      <c r="A27" s="135"/>
      <c r="B27" s="162"/>
      <c r="C27" s="162"/>
      <c r="D27" s="164"/>
      <c r="E27" s="166"/>
      <c r="F27" s="150"/>
      <c r="G27" s="168"/>
      <c r="H27" s="135"/>
      <c r="I27" s="167"/>
      <c r="J27" s="147"/>
      <c r="K27" s="11" t="s">
        <v>256</v>
      </c>
      <c r="L27" s="16" t="s">
        <v>38</v>
      </c>
      <c r="M27" s="153"/>
      <c r="N27" s="21" t="s">
        <v>282</v>
      </c>
      <c r="O27" s="37">
        <v>8.3299999999999999E-2</v>
      </c>
      <c r="P27" s="21" t="s">
        <v>281</v>
      </c>
      <c r="Q27" s="11" t="s">
        <v>17</v>
      </c>
      <c r="R27" s="11" t="s">
        <v>17</v>
      </c>
      <c r="S27" s="21" t="s">
        <v>280</v>
      </c>
      <c r="T27" s="16" t="s">
        <v>34</v>
      </c>
      <c r="U27" s="21" t="s">
        <v>279</v>
      </c>
      <c r="V27" s="16" t="s">
        <v>32</v>
      </c>
      <c r="W27" s="16" t="s">
        <v>225</v>
      </c>
      <c r="X27" s="13" t="s">
        <v>18</v>
      </c>
      <c r="Y27" s="11" t="s">
        <v>17</v>
      </c>
      <c r="Z27" s="11" t="s">
        <v>17</v>
      </c>
      <c r="AA27" s="13" t="s">
        <v>41</v>
      </c>
      <c r="AB27" s="80"/>
      <c r="AC27" s="80"/>
      <c r="AD27" s="25">
        <v>1</v>
      </c>
      <c r="AE27" s="80"/>
      <c r="AF27" s="80"/>
      <c r="AG27" s="25">
        <v>1</v>
      </c>
      <c r="AH27" s="80"/>
      <c r="AI27" s="80"/>
      <c r="AJ27" s="25">
        <v>1</v>
      </c>
      <c r="AK27" s="80"/>
      <c r="AL27" s="80"/>
      <c r="AM27" s="25">
        <v>1</v>
      </c>
      <c r="AN27" s="24">
        <v>1</v>
      </c>
      <c r="AO27" s="30">
        <f>621/621</f>
        <v>1</v>
      </c>
      <c r="AP27" s="25">
        <f>AQ27+AR27+AS27+AT27</f>
        <v>0.75</v>
      </c>
      <c r="AQ27" s="25">
        <v>0.25</v>
      </c>
      <c r="AR27" s="25">
        <v>0.25</v>
      </c>
      <c r="AS27" s="25">
        <v>0</v>
      </c>
      <c r="AT27" s="25">
        <v>0.25</v>
      </c>
      <c r="AU27" s="30">
        <f>858/858</f>
        <v>1</v>
      </c>
      <c r="AV27" s="25">
        <f>AW27+AX27+AY27+AZ27</f>
        <v>1</v>
      </c>
      <c r="AW27" s="25">
        <v>0.25</v>
      </c>
      <c r="AX27" s="25">
        <v>0.25</v>
      </c>
      <c r="AY27" s="25">
        <v>0.25</v>
      </c>
      <c r="AZ27" s="25">
        <v>0.25</v>
      </c>
      <c r="BA27" s="9">
        <f>1065/1065</f>
        <v>1</v>
      </c>
      <c r="BB27" s="33">
        <f>BC27+BD27+BE27+BF27</f>
        <v>1</v>
      </c>
      <c r="BC27" s="59">
        <v>0.25</v>
      </c>
      <c r="BD27" s="59">
        <v>0.25</v>
      </c>
      <c r="BE27" s="59">
        <v>0.25</v>
      </c>
      <c r="BF27" s="59">
        <v>0.25</v>
      </c>
      <c r="BG27" s="9"/>
      <c r="BH27" s="30"/>
      <c r="BI27" s="30"/>
      <c r="BJ27" s="30"/>
      <c r="BK27" s="30"/>
      <c r="BL27" s="30"/>
      <c r="BM27" s="30">
        <f>621/621</f>
        <v>1</v>
      </c>
      <c r="BN27" s="25">
        <f>BO27+BP27+BQ27+BR27</f>
        <v>0.75</v>
      </c>
      <c r="BO27" s="25">
        <v>0.25</v>
      </c>
      <c r="BP27" s="25">
        <v>0.25</v>
      </c>
      <c r="BQ27" s="25">
        <v>0</v>
      </c>
      <c r="BR27" s="25">
        <v>0.25</v>
      </c>
      <c r="BS27" s="10">
        <f>858/858</f>
        <v>1</v>
      </c>
      <c r="BT27" s="25">
        <f>BU27+BV27+BW27+BX27</f>
        <v>1</v>
      </c>
      <c r="BU27" s="23">
        <f t="shared" si="7"/>
        <v>0.25</v>
      </c>
      <c r="BV27" s="23">
        <f t="shared" si="7"/>
        <v>0.25</v>
      </c>
      <c r="BW27" s="23">
        <f t="shared" si="7"/>
        <v>0.25</v>
      </c>
      <c r="BX27" s="23">
        <f t="shared" si="7"/>
        <v>0.25</v>
      </c>
      <c r="BY27" s="201">
        <f>1065/1065</f>
        <v>1</v>
      </c>
      <c r="BZ27" s="10">
        <f>(CA27+CB27+CC27+CD27)</f>
        <v>1</v>
      </c>
      <c r="CA27" s="9">
        <v>0.25</v>
      </c>
      <c r="CB27" s="9">
        <v>0.25</v>
      </c>
      <c r="CC27" s="9">
        <v>0.25</v>
      </c>
      <c r="CD27" s="9">
        <v>0.25</v>
      </c>
      <c r="CE27" s="30"/>
      <c r="CF27" s="30"/>
      <c r="CG27" s="30"/>
      <c r="CH27" s="30"/>
      <c r="CI27" s="30"/>
      <c r="CJ27" s="30"/>
      <c r="CK27" s="10">
        <f>(BM27+BS27+BY27)/3</f>
        <v>1</v>
      </c>
      <c r="CL27" s="9">
        <f>+CK27/AJ27</f>
        <v>1</v>
      </c>
    </row>
    <row r="28" spans="1:90" ht="78" customHeight="1" x14ac:dyDescent="0.25">
      <c r="A28" s="135"/>
      <c r="B28" s="162"/>
      <c r="C28" s="162"/>
      <c r="D28" s="164"/>
      <c r="E28" s="166"/>
      <c r="F28" s="150"/>
      <c r="G28" s="168"/>
      <c r="H28" s="135"/>
      <c r="I28" s="167"/>
      <c r="J28" s="147"/>
      <c r="K28" s="11" t="s">
        <v>250</v>
      </c>
      <c r="L28" s="16" t="s">
        <v>38</v>
      </c>
      <c r="M28" s="153"/>
      <c r="N28" s="21" t="s">
        <v>278</v>
      </c>
      <c r="O28" s="37">
        <v>8.3299999999999999E-2</v>
      </c>
      <c r="P28" s="21" t="s">
        <v>277</v>
      </c>
      <c r="Q28" s="11" t="s">
        <v>17</v>
      </c>
      <c r="R28" s="11" t="s">
        <v>17</v>
      </c>
      <c r="S28" s="21" t="s">
        <v>276</v>
      </c>
      <c r="T28" s="16" t="s">
        <v>34</v>
      </c>
      <c r="U28" s="21" t="s">
        <v>275</v>
      </c>
      <c r="V28" s="16" t="s">
        <v>32</v>
      </c>
      <c r="W28" s="16" t="s">
        <v>245</v>
      </c>
      <c r="X28" s="13" t="s">
        <v>18</v>
      </c>
      <c r="Y28" s="11" t="s">
        <v>17</v>
      </c>
      <c r="Z28" s="11" t="s">
        <v>17</v>
      </c>
      <c r="AA28" s="13" t="s">
        <v>41</v>
      </c>
      <c r="AB28" s="8"/>
      <c r="AC28" s="8"/>
      <c r="AD28" s="25">
        <v>1</v>
      </c>
      <c r="AE28" s="80"/>
      <c r="AF28" s="80"/>
      <c r="AG28" s="25">
        <v>1</v>
      </c>
      <c r="AH28" s="80"/>
      <c r="AI28" s="80"/>
      <c r="AJ28" s="25">
        <v>1</v>
      </c>
      <c r="AK28" s="80"/>
      <c r="AL28" s="80"/>
      <c r="AM28" s="25">
        <v>1</v>
      </c>
      <c r="AN28" s="24">
        <v>1</v>
      </c>
      <c r="AO28" s="79">
        <f>47/161</f>
        <v>0.29192546583850931</v>
      </c>
      <c r="AP28" s="25">
        <f>AQ28+AR28+AS28+AT28</f>
        <v>0.75</v>
      </c>
      <c r="AQ28" s="25">
        <v>0.25</v>
      </c>
      <c r="AR28" s="25">
        <v>0.25</v>
      </c>
      <c r="AS28" s="25">
        <v>0</v>
      </c>
      <c r="AT28" s="25">
        <v>0.25</v>
      </c>
      <c r="AU28" s="37">
        <f>98/130</f>
        <v>0.75384615384615383</v>
      </c>
      <c r="AV28" s="33">
        <f>(AW28+AX28+AY28+AZ28)</f>
        <v>0.5</v>
      </c>
      <c r="AW28" s="23">
        <f>(25%+25%+25%)/3</f>
        <v>0.25</v>
      </c>
      <c r="AX28" s="23">
        <f>(25%+25%+25%)/3</f>
        <v>0.25</v>
      </c>
      <c r="AY28" s="23">
        <v>0</v>
      </c>
      <c r="AZ28" s="23">
        <v>0</v>
      </c>
      <c r="BA28" s="37">
        <f>113/147</f>
        <v>0.76870748299319724</v>
      </c>
      <c r="BB28" s="33">
        <f>BC28+BD28+BE28+BF28</f>
        <v>1</v>
      </c>
      <c r="BC28" s="59">
        <v>0.25</v>
      </c>
      <c r="BD28" s="59">
        <v>0.25</v>
      </c>
      <c r="BE28" s="59">
        <v>0.25</v>
      </c>
      <c r="BF28" s="59">
        <v>0.25</v>
      </c>
      <c r="BG28" s="8"/>
      <c r="BH28" s="8"/>
      <c r="BI28" s="8"/>
      <c r="BJ28" s="8"/>
      <c r="BK28" s="8"/>
      <c r="BL28" s="8"/>
      <c r="BM28" s="37">
        <f>47/161</f>
        <v>0.29192546583850931</v>
      </c>
      <c r="BN28" s="9">
        <f>BO28+BP28+BQ28+BR28</f>
        <v>0.75</v>
      </c>
      <c r="BO28" s="25">
        <v>0.25</v>
      </c>
      <c r="BP28" s="25">
        <v>0.25</v>
      </c>
      <c r="BQ28" s="25">
        <v>0</v>
      </c>
      <c r="BR28" s="25">
        <v>0.25</v>
      </c>
      <c r="BS28" s="38">
        <f>98/130</f>
        <v>0.75384615384615383</v>
      </c>
      <c r="BT28" s="10">
        <f>(BU28+BV28+BW28+BX28)</f>
        <v>0.5</v>
      </c>
      <c r="BU28" s="9">
        <v>0.25</v>
      </c>
      <c r="BV28" s="9">
        <v>0.25</v>
      </c>
      <c r="BW28" s="9">
        <v>0</v>
      </c>
      <c r="BX28" s="9">
        <v>0</v>
      </c>
      <c r="BY28" s="207">
        <f>113/147</f>
        <v>0.76870748299319724</v>
      </c>
      <c r="BZ28" s="10">
        <f>(CA28+CB28+CC28+CD28)</f>
        <v>1</v>
      </c>
      <c r="CA28" s="9">
        <v>0.25</v>
      </c>
      <c r="CB28" s="9">
        <v>0.25</v>
      </c>
      <c r="CC28" s="9">
        <v>0.25</v>
      </c>
      <c r="CD28" s="9">
        <v>0.25</v>
      </c>
      <c r="CE28" s="8"/>
      <c r="CF28" s="8"/>
      <c r="CG28" s="8"/>
      <c r="CH28" s="8"/>
      <c r="CI28" s="8"/>
      <c r="CJ28" s="8"/>
      <c r="CK28" s="38">
        <f>(BM28+BS28+BY28)/3</f>
        <v>0.60482636755928676</v>
      </c>
      <c r="CL28" s="37">
        <f>+CK28/AJ28</f>
        <v>0.60482636755928676</v>
      </c>
    </row>
    <row r="29" spans="1:90" ht="78" customHeight="1" x14ac:dyDescent="0.25">
      <c r="A29" s="135"/>
      <c r="B29" s="162"/>
      <c r="C29" s="162"/>
      <c r="D29" s="164"/>
      <c r="E29" s="166"/>
      <c r="F29" s="150"/>
      <c r="G29" s="168"/>
      <c r="H29" s="135"/>
      <c r="I29" s="167"/>
      <c r="J29" s="147"/>
      <c r="K29" s="11" t="s">
        <v>274</v>
      </c>
      <c r="L29" s="11" t="s">
        <v>26</v>
      </c>
      <c r="M29" s="153"/>
      <c r="N29" s="21" t="s">
        <v>273</v>
      </c>
      <c r="O29" s="37">
        <v>8.3299999999999999E-2</v>
      </c>
      <c r="P29" s="21" t="s">
        <v>272</v>
      </c>
      <c r="Q29" s="11" t="s">
        <v>17</v>
      </c>
      <c r="R29" s="11" t="s">
        <v>17</v>
      </c>
      <c r="S29" s="21" t="s">
        <v>271</v>
      </c>
      <c r="T29" s="16" t="s">
        <v>34</v>
      </c>
      <c r="U29" s="21" t="s">
        <v>270</v>
      </c>
      <c r="V29" s="16" t="s">
        <v>32</v>
      </c>
      <c r="W29" s="16" t="s">
        <v>269</v>
      </c>
      <c r="X29" s="13" t="s">
        <v>18</v>
      </c>
      <c r="Y29" s="11" t="s">
        <v>17</v>
      </c>
      <c r="Z29" s="11" t="s">
        <v>17</v>
      </c>
      <c r="AA29" s="13" t="s">
        <v>16</v>
      </c>
      <c r="AB29" s="15"/>
      <c r="AC29" s="15"/>
      <c r="AD29" s="78"/>
      <c r="AE29" s="15"/>
      <c r="AF29" s="15"/>
      <c r="AG29" s="15"/>
      <c r="AH29" s="15"/>
      <c r="AI29" s="15"/>
      <c r="AJ29" s="25"/>
      <c r="AK29" s="15"/>
      <c r="AL29" s="15"/>
      <c r="AM29" s="25">
        <v>1</v>
      </c>
      <c r="AN29" s="25">
        <v>1</v>
      </c>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205"/>
      <c r="BT29" s="8"/>
      <c r="BU29" s="8"/>
      <c r="BV29" s="8"/>
      <c r="BW29" s="8"/>
      <c r="BX29" s="8"/>
      <c r="BY29" s="205"/>
      <c r="BZ29" s="8"/>
      <c r="CA29" s="8"/>
      <c r="CB29" s="8"/>
      <c r="CC29" s="8"/>
      <c r="CD29" s="8"/>
      <c r="CE29" s="8"/>
      <c r="CF29" s="8"/>
      <c r="CG29" s="8"/>
      <c r="CH29" s="8"/>
      <c r="CI29" s="8"/>
      <c r="CJ29" s="8"/>
      <c r="CK29" s="11"/>
      <c r="CL29" s="9">
        <v>0</v>
      </c>
    </row>
    <row r="30" spans="1:90" ht="78" customHeight="1" x14ac:dyDescent="0.25">
      <c r="A30" s="135"/>
      <c r="B30" s="162"/>
      <c r="C30" s="162"/>
      <c r="D30" s="164"/>
      <c r="E30" s="166"/>
      <c r="F30" s="150"/>
      <c r="G30" s="168"/>
      <c r="H30" s="135"/>
      <c r="I30" s="167"/>
      <c r="J30" s="147"/>
      <c r="K30" s="11" t="s">
        <v>268</v>
      </c>
      <c r="L30" s="16" t="s">
        <v>38</v>
      </c>
      <c r="M30" s="153"/>
      <c r="N30" s="21" t="s">
        <v>267</v>
      </c>
      <c r="O30" s="37">
        <v>8.3299999999999999E-2</v>
      </c>
      <c r="P30" s="21" t="s">
        <v>266</v>
      </c>
      <c r="Q30" s="11" t="s">
        <v>17</v>
      </c>
      <c r="R30" s="11" t="s">
        <v>17</v>
      </c>
      <c r="S30" s="21" t="s">
        <v>265</v>
      </c>
      <c r="T30" s="18" t="s">
        <v>22</v>
      </c>
      <c r="U30" s="21" t="s">
        <v>265</v>
      </c>
      <c r="V30" s="16" t="s">
        <v>20</v>
      </c>
      <c r="W30" s="16" t="s">
        <v>31</v>
      </c>
      <c r="X30" s="13" t="s">
        <v>18</v>
      </c>
      <c r="Y30" s="11" t="s">
        <v>17</v>
      </c>
      <c r="Z30" s="11" t="s">
        <v>17</v>
      </c>
      <c r="AA30" s="13" t="s">
        <v>16</v>
      </c>
      <c r="AB30" s="15"/>
      <c r="AC30" s="15"/>
      <c r="AD30" s="78"/>
      <c r="AE30" s="15"/>
      <c r="AF30" s="15"/>
      <c r="AG30" s="15"/>
      <c r="AH30" s="15"/>
      <c r="AI30" s="15"/>
      <c r="AJ30" s="25"/>
      <c r="AK30" s="15"/>
      <c r="AL30" s="15"/>
      <c r="AM30" s="78">
        <v>1</v>
      </c>
      <c r="AN30" s="78">
        <v>1</v>
      </c>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205"/>
      <c r="BT30" s="8"/>
      <c r="BU30" s="8"/>
      <c r="BV30" s="8"/>
      <c r="BW30" s="8"/>
      <c r="BX30" s="8"/>
      <c r="BY30" s="205"/>
      <c r="BZ30" s="8"/>
      <c r="CA30" s="8"/>
      <c r="CB30" s="8"/>
      <c r="CC30" s="8"/>
      <c r="CD30" s="8"/>
      <c r="CE30" s="8"/>
      <c r="CF30" s="8"/>
      <c r="CG30" s="8"/>
      <c r="CH30" s="8"/>
      <c r="CI30" s="8"/>
      <c r="CJ30" s="8"/>
      <c r="CK30" s="11"/>
      <c r="CL30" s="9">
        <v>0</v>
      </c>
    </row>
    <row r="31" spans="1:90" ht="78" customHeight="1" x14ac:dyDescent="0.25">
      <c r="A31" s="135"/>
      <c r="B31" s="162"/>
      <c r="C31" s="162"/>
      <c r="D31" s="164"/>
      <c r="E31" s="166"/>
      <c r="F31" s="150"/>
      <c r="G31" s="168"/>
      <c r="H31" s="135"/>
      <c r="I31" s="167"/>
      <c r="J31" s="147"/>
      <c r="K31" s="11" t="s">
        <v>264</v>
      </c>
      <c r="L31" s="16" t="s">
        <v>38</v>
      </c>
      <c r="M31" s="153"/>
      <c r="N31" s="8" t="s">
        <v>263</v>
      </c>
      <c r="O31" s="37">
        <v>8.3299999999999999E-2</v>
      </c>
      <c r="P31" s="8" t="s">
        <v>262</v>
      </c>
      <c r="Q31" s="11" t="s">
        <v>17</v>
      </c>
      <c r="R31" s="11" t="s">
        <v>17</v>
      </c>
      <c r="S31" s="21" t="s">
        <v>262</v>
      </c>
      <c r="T31" s="18" t="s">
        <v>34</v>
      </c>
      <c r="U31" s="21" t="s">
        <v>261</v>
      </c>
      <c r="V31" s="16" t="s">
        <v>43</v>
      </c>
      <c r="W31" s="16" t="s">
        <v>49</v>
      </c>
      <c r="X31" s="13" t="s">
        <v>18</v>
      </c>
      <c r="Y31" s="11" t="s">
        <v>17</v>
      </c>
      <c r="Z31" s="11" t="s">
        <v>17</v>
      </c>
      <c r="AA31" s="11" t="s">
        <v>30</v>
      </c>
      <c r="AB31" s="8"/>
      <c r="AC31" s="8"/>
      <c r="AD31" s="8"/>
      <c r="AE31" s="8"/>
      <c r="AF31" s="8"/>
      <c r="AG31" s="9">
        <v>0.5</v>
      </c>
      <c r="AH31" s="59"/>
      <c r="AI31" s="8"/>
      <c r="AJ31" s="8"/>
      <c r="AK31" s="8"/>
      <c r="AL31" s="8"/>
      <c r="AM31" s="9">
        <v>0.5</v>
      </c>
      <c r="AN31" s="9">
        <v>1</v>
      </c>
      <c r="AO31" s="8"/>
      <c r="AP31" s="8"/>
      <c r="AQ31" s="8"/>
      <c r="AR31" s="8"/>
      <c r="AS31" s="8"/>
      <c r="AT31" s="8"/>
      <c r="AU31" s="10">
        <f>98/100</f>
        <v>0.98</v>
      </c>
      <c r="AV31" s="59">
        <f>(AW31+AX31+AY31+AZ31)</f>
        <v>1</v>
      </c>
      <c r="AW31" s="59">
        <v>0.25</v>
      </c>
      <c r="AX31" s="59">
        <v>0.25</v>
      </c>
      <c r="AY31" s="59">
        <v>0.25</v>
      </c>
      <c r="AZ31" s="59">
        <v>0.25</v>
      </c>
      <c r="BA31" s="8"/>
      <c r="BB31" s="8"/>
      <c r="BC31" s="8"/>
      <c r="BD31" s="8"/>
      <c r="BE31" s="8"/>
      <c r="BF31" s="8"/>
      <c r="BG31" s="8"/>
      <c r="BH31" s="8"/>
      <c r="BI31" s="8"/>
      <c r="BJ31" s="8"/>
      <c r="BK31" s="8"/>
      <c r="BL31" s="8"/>
      <c r="BM31" s="8"/>
      <c r="BN31" s="8"/>
      <c r="BO31" s="8"/>
      <c r="BP31" s="8"/>
      <c r="BQ31" s="8"/>
      <c r="BR31" s="8"/>
      <c r="BS31" s="10">
        <f>98/100</f>
        <v>0.98</v>
      </c>
      <c r="BT31" s="59">
        <f>(BU31+BV31+BW31+BX31)</f>
        <v>1</v>
      </c>
      <c r="BU31" s="59">
        <v>0.25</v>
      </c>
      <c r="BV31" s="59">
        <v>0.25</v>
      </c>
      <c r="BW31" s="59">
        <v>0.25</v>
      </c>
      <c r="BX31" s="59">
        <v>0.25</v>
      </c>
      <c r="BY31" s="205"/>
      <c r="BZ31" s="8"/>
      <c r="CA31" s="8"/>
      <c r="CB31" s="8"/>
      <c r="CC31" s="8"/>
      <c r="CD31" s="8"/>
      <c r="CE31" s="8"/>
      <c r="CF31" s="8"/>
      <c r="CG31" s="8"/>
      <c r="CH31" s="8"/>
      <c r="CI31" s="8"/>
      <c r="CJ31" s="8"/>
      <c r="CK31" s="9">
        <f>BS31</f>
        <v>0.98</v>
      </c>
      <c r="CL31" s="9">
        <v>1</v>
      </c>
    </row>
    <row r="32" spans="1:90" ht="78" customHeight="1" x14ac:dyDescent="0.25">
      <c r="A32" s="135"/>
      <c r="B32" s="162"/>
      <c r="C32" s="162"/>
      <c r="D32" s="164"/>
      <c r="E32" s="166"/>
      <c r="F32" s="150"/>
      <c r="G32" s="168"/>
      <c r="H32" s="135"/>
      <c r="I32" s="167"/>
      <c r="J32" s="147"/>
      <c r="K32" s="11" t="s">
        <v>256</v>
      </c>
      <c r="L32" s="16" t="s">
        <v>38</v>
      </c>
      <c r="M32" s="153"/>
      <c r="N32" s="21" t="s">
        <v>260</v>
      </c>
      <c r="O32" s="37">
        <v>8.3299999999999999E-2</v>
      </c>
      <c r="P32" s="17" t="s">
        <v>259</v>
      </c>
      <c r="Q32" s="53"/>
      <c r="R32" s="75"/>
      <c r="S32" s="17" t="s">
        <v>258</v>
      </c>
      <c r="T32" s="16" t="s">
        <v>34</v>
      </c>
      <c r="U32" s="21" t="s">
        <v>257</v>
      </c>
      <c r="V32" s="16" t="s">
        <v>43</v>
      </c>
      <c r="W32" s="16" t="s">
        <v>225</v>
      </c>
      <c r="X32" s="13" t="s">
        <v>18</v>
      </c>
      <c r="Y32" s="11" t="s">
        <v>17</v>
      </c>
      <c r="Z32" s="11" t="s">
        <v>17</v>
      </c>
      <c r="AA32" s="13" t="s">
        <v>41</v>
      </c>
      <c r="AB32" s="78"/>
      <c r="AC32" s="78"/>
      <c r="AD32" s="25">
        <v>1</v>
      </c>
      <c r="AE32" s="78"/>
      <c r="AF32" s="78"/>
      <c r="AG32" s="25">
        <v>1</v>
      </c>
      <c r="AH32" s="78"/>
      <c r="AI32" s="78"/>
      <c r="AJ32" s="25">
        <v>1</v>
      </c>
      <c r="AK32" s="78"/>
      <c r="AL32" s="78"/>
      <c r="AM32" s="25">
        <v>1</v>
      </c>
      <c r="AN32" s="24">
        <v>1</v>
      </c>
      <c r="AO32" s="77">
        <f>5/6</f>
        <v>0.83333333333333337</v>
      </c>
      <c r="AP32" s="25">
        <f>AQ32+AR32+AS32+AT32</f>
        <v>0.75</v>
      </c>
      <c r="AQ32" s="25">
        <v>0.25</v>
      </c>
      <c r="AR32" s="25">
        <v>0.25</v>
      </c>
      <c r="AS32" s="25">
        <v>0</v>
      </c>
      <c r="AT32" s="25">
        <v>0.25</v>
      </c>
      <c r="AU32" s="30">
        <f>0/11</f>
        <v>0</v>
      </c>
      <c r="AV32" s="25">
        <f>AW32+AX32+AY32+AZ32</f>
        <v>1</v>
      </c>
      <c r="AW32" s="25">
        <v>0.25</v>
      </c>
      <c r="AX32" s="25">
        <v>0.25</v>
      </c>
      <c r="AY32" s="25">
        <v>0.25</v>
      </c>
      <c r="AZ32" s="25">
        <v>0.25</v>
      </c>
      <c r="BA32" s="9">
        <v>0</v>
      </c>
      <c r="BB32" s="33">
        <f>BC32+BD32+BE32+BF32</f>
        <v>1</v>
      </c>
      <c r="BC32" s="59">
        <v>0.25</v>
      </c>
      <c r="BD32" s="59">
        <v>0.25</v>
      </c>
      <c r="BE32" s="59">
        <v>0.25</v>
      </c>
      <c r="BF32" s="59">
        <v>0.25</v>
      </c>
      <c r="BG32" s="9"/>
      <c r="BH32" s="30"/>
      <c r="BI32" s="30"/>
      <c r="BJ32" s="30"/>
      <c r="BK32" s="30"/>
      <c r="BL32" s="30"/>
      <c r="BM32" s="77">
        <f>5/6</f>
        <v>0.83333333333333337</v>
      </c>
      <c r="BN32" s="25">
        <f>BO32+BP32+BQ32+BR32</f>
        <v>0.75</v>
      </c>
      <c r="BO32" s="25">
        <v>0.25</v>
      </c>
      <c r="BP32" s="25">
        <v>0.25</v>
      </c>
      <c r="BQ32" s="25">
        <v>0</v>
      </c>
      <c r="BR32" s="25">
        <v>0.25</v>
      </c>
      <c r="BS32" s="10">
        <f>0/11</f>
        <v>0</v>
      </c>
      <c r="BT32" s="10">
        <f>(BU32+BV32+BW32+BX32)</f>
        <v>1</v>
      </c>
      <c r="BU32" s="23">
        <f t="shared" ref="BU32:BX33" si="9">(25%+25%+25%)/3</f>
        <v>0.25</v>
      </c>
      <c r="BV32" s="23">
        <f t="shared" si="9"/>
        <v>0.25</v>
      </c>
      <c r="BW32" s="23">
        <f t="shared" si="9"/>
        <v>0.25</v>
      </c>
      <c r="BX32" s="23">
        <f t="shared" si="9"/>
        <v>0.25</v>
      </c>
      <c r="BY32" s="30">
        <v>0</v>
      </c>
      <c r="BZ32" s="10">
        <f>(CA32+CB32+CC32+CD32)</f>
        <v>1</v>
      </c>
      <c r="CA32" s="9">
        <v>0.25</v>
      </c>
      <c r="CB32" s="9">
        <v>0.25</v>
      </c>
      <c r="CC32" s="9">
        <v>0.25</v>
      </c>
      <c r="CD32" s="9">
        <v>0.25</v>
      </c>
      <c r="CE32" s="30"/>
      <c r="CF32" s="30"/>
      <c r="CG32" s="30"/>
      <c r="CH32" s="30"/>
      <c r="CI32" s="30"/>
      <c r="CJ32" s="30"/>
      <c r="CK32" s="38">
        <f>(BM32+BS32+BY32)/3</f>
        <v>0.27777777777777779</v>
      </c>
      <c r="CL32" s="47">
        <f>+ CK32/AJ32</f>
        <v>0.27777777777777779</v>
      </c>
    </row>
    <row r="33" spans="1:90" ht="78" customHeight="1" x14ac:dyDescent="0.25">
      <c r="A33" s="135"/>
      <c r="B33" s="162"/>
      <c r="C33" s="162"/>
      <c r="D33" s="164"/>
      <c r="E33" s="166"/>
      <c r="F33" s="150"/>
      <c r="G33" s="168"/>
      <c r="H33" s="135"/>
      <c r="I33" s="167"/>
      <c r="J33" s="147"/>
      <c r="K33" s="11" t="s">
        <v>256</v>
      </c>
      <c r="L33" s="16" t="s">
        <v>38</v>
      </c>
      <c r="M33" s="153"/>
      <c r="N33" s="21" t="s">
        <v>255</v>
      </c>
      <c r="O33" s="37">
        <v>8.3299999999999999E-2</v>
      </c>
      <c r="P33" s="17" t="s">
        <v>254</v>
      </c>
      <c r="Q33" s="76">
        <v>1692500000</v>
      </c>
      <c r="R33" s="75" t="s">
        <v>251</v>
      </c>
      <c r="S33" s="17" t="s">
        <v>253</v>
      </c>
      <c r="T33" s="16" t="s">
        <v>34</v>
      </c>
      <c r="U33" s="17" t="s">
        <v>252</v>
      </c>
      <c r="V33" s="16" t="s">
        <v>43</v>
      </c>
      <c r="W33" s="16" t="s">
        <v>225</v>
      </c>
      <c r="X33" s="13" t="s">
        <v>18</v>
      </c>
      <c r="Y33" s="76">
        <v>1692500000</v>
      </c>
      <c r="Z33" s="75" t="s">
        <v>251</v>
      </c>
      <c r="AA33" s="13" t="s">
        <v>30</v>
      </c>
      <c r="AB33" s="13"/>
      <c r="AC33" s="13"/>
      <c r="AD33" s="15"/>
      <c r="AE33" s="13"/>
      <c r="AF33" s="13"/>
      <c r="AG33" s="15">
        <v>1</v>
      </c>
      <c r="AH33" s="13"/>
      <c r="AI33" s="13"/>
      <c r="AJ33" s="15"/>
      <c r="AK33" s="13"/>
      <c r="AL33" s="13"/>
      <c r="AM33" s="15">
        <v>1</v>
      </c>
      <c r="AN33" s="74">
        <v>1</v>
      </c>
      <c r="AO33" s="8"/>
      <c r="AP33" s="8"/>
      <c r="AQ33" s="8"/>
      <c r="AR33" s="8"/>
      <c r="AS33" s="8"/>
      <c r="AT33" s="8"/>
      <c r="AU33" s="61">
        <f>257/287</f>
        <v>0.89547038327526129</v>
      </c>
      <c r="AV33" s="25">
        <f>AW33+AX33+AY33+AZ33</f>
        <v>1</v>
      </c>
      <c r="AW33" s="25">
        <v>0.25</v>
      </c>
      <c r="AX33" s="25">
        <v>0.25</v>
      </c>
      <c r="AY33" s="25">
        <v>0.25</v>
      </c>
      <c r="AZ33" s="25">
        <v>0.25</v>
      </c>
      <c r="BA33" s="8"/>
      <c r="BB33" s="8"/>
      <c r="BC33" s="8"/>
      <c r="BD33" s="8"/>
      <c r="BE33" s="8"/>
      <c r="BF33" s="8"/>
      <c r="BG33" s="61"/>
      <c r="BH33" s="32"/>
      <c r="BI33" s="32"/>
      <c r="BJ33" s="32"/>
      <c r="BK33" s="32"/>
      <c r="BL33" s="32"/>
      <c r="BM33" s="8"/>
      <c r="BN33" s="8"/>
      <c r="BO33" s="8"/>
      <c r="BP33" s="8"/>
      <c r="BQ33" s="8"/>
      <c r="BR33" s="8"/>
      <c r="BS33" s="64">
        <f>257/287</f>
        <v>0.89547038327526129</v>
      </c>
      <c r="BT33" s="10">
        <f>(BU33+BV33+BW33+BX33)</f>
        <v>1</v>
      </c>
      <c r="BU33" s="23">
        <f t="shared" si="9"/>
        <v>0.25</v>
      </c>
      <c r="BV33" s="23">
        <f t="shared" si="9"/>
        <v>0.25</v>
      </c>
      <c r="BW33" s="23">
        <f t="shared" si="9"/>
        <v>0.25</v>
      </c>
      <c r="BX33" s="23">
        <f t="shared" si="9"/>
        <v>0.25</v>
      </c>
      <c r="BY33" s="200"/>
      <c r="BZ33" s="8"/>
      <c r="CA33" s="8"/>
      <c r="CB33" s="8"/>
      <c r="CC33" s="8"/>
      <c r="CD33" s="8"/>
      <c r="CE33" s="38"/>
      <c r="CF33" s="10"/>
      <c r="CG33" s="30"/>
      <c r="CH33" s="30"/>
      <c r="CI33" s="30"/>
      <c r="CJ33" s="30"/>
      <c r="CK33" s="38">
        <f>BS33</f>
        <v>0.89547038327526129</v>
      </c>
      <c r="CL33" s="37">
        <f>CK33/AG33</f>
        <v>0.89547038327526129</v>
      </c>
    </row>
    <row r="34" spans="1:90" ht="78" customHeight="1" x14ac:dyDescent="0.25">
      <c r="A34" s="135"/>
      <c r="B34" s="162"/>
      <c r="C34" s="162"/>
      <c r="D34" s="164"/>
      <c r="E34" s="166"/>
      <c r="F34" s="150"/>
      <c r="G34" s="169"/>
      <c r="H34" s="135"/>
      <c r="I34" s="160"/>
      <c r="J34" s="148"/>
      <c r="K34" s="11" t="s">
        <v>250</v>
      </c>
      <c r="L34" s="16" t="s">
        <v>38</v>
      </c>
      <c r="M34" s="154"/>
      <c r="N34" s="21" t="s">
        <v>249</v>
      </c>
      <c r="O34" s="37">
        <v>8.3299999999999999E-2</v>
      </c>
      <c r="P34" s="21" t="s">
        <v>248</v>
      </c>
      <c r="Q34" s="11" t="s">
        <v>17</v>
      </c>
      <c r="R34" s="11" t="s">
        <v>17</v>
      </c>
      <c r="S34" s="21" t="s">
        <v>247</v>
      </c>
      <c r="T34" s="16" t="s">
        <v>34</v>
      </c>
      <c r="U34" s="21" t="s">
        <v>246</v>
      </c>
      <c r="V34" s="16" t="s">
        <v>43</v>
      </c>
      <c r="W34" s="16" t="s">
        <v>245</v>
      </c>
      <c r="X34" s="13" t="s">
        <v>18</v>
      </c>
      <c r="Y34" s="11" t="s">
        <v>17</v>
      </c>
      <c r="Z34" s="11" t="s">
        <v>17</v>
      </c>
      <c r="AA34" s="13" t="s">
        <v>194</v>
      </c>
      <c r="AB34" s="25">
        <v>1</v>
      </c>
      <c r="AC34" s="25">
        <v>1</v>
      </c>
      <c r="AD34" s="25">
        <v>1</v>
      </c>
      <c r="AE34" s="25">
        <v>1</v>
      </c>
      <c r="AF34" s="25">
        <v>1</v>
      </c>
      <c r="AG34" s="25">
        <v>1</v>
      </c>
      <c r="AH34" s="25">
        <v>1</v>
      </c>
      <c r="AI34" s="25">
        <v>1</v>
      </c>
      <c r="AJ34" s="25">
        <v>1</v>
      </c>
      <c r="AK34" s="25">
        <v>1</v>
      </c>
      <c r="AL34" s="25">
        <v>1</v>
      </c>
      <c r="AM34" s="25">
        <v>1</v>
      </c>
      <c r="AN34" s="25">
        <v>1</v>
      </c>
      <c r="AO34" s="38">
        <f>(0+2+4)/(3+7+12)</f>
        <v>0.27272727272727271</v>
      </c>
      <c r="AP34" s="42">
        <f>AQ34+AR34+AS34+AT34</f>
        <v>0.75</v>
      </c>
      <c r="AQ34" s="23">
        <f>(25%+25%+25%)/3</f>
        <v>0.25</v>
      </c>
      <c r="AR34" s="23">
        <f>(25%+25%+25%)/3</f>
        <v>0.25</v>
      </c>
      <c r="AS34" s="23">
        <f>(25%+25%+25%)/3</f>
        <v>0.25</v>
      </c>
      <c r="AT34" s="23">
        <v>0</v>
      </c>
      <c r="AU34" s="38">
        <f>(1+2+3)/(4+5+8)</f>
        <v>0.35294117647058826</v>
      </c>
      <c r="AV34" s="42">
        <f>AW34+AX34+AY34+AZ34</f>
        <v>1</v>
      </c>
      <c r="AW34" s="23">
        <f>(25%+25%+25%)/3</f>
        <v>0.25</v>
      </c>
      <c r="AX34" s="23">
        <f>(25%+25%+25%)/3</f>
        <v>0.25</v>
      </c>
      <c r="AY34" s="23">
        <v>0.25</v>
      </c>
      <c r="AZ34" s="23">
        <v>0.25</v>
      </c>
      <c r="BA34" s="37">
        <f>(5+2+0)/(11+5+1)</f>
        <v>0.41176470588235292</v>
      </c>
      <c r="BB34" s="33">
        <f>BC34+BD34+BE34+BF34</f>
        <v>1</v>
      </c>
      <c r="BC34" s="59">
        <v>0.25</v>
      </c>
      <c r="BD34" s="59">
        <v>0.25</v>
      </c>
      <c r="BE34" s="59">
        <v>0.25</v>
      </c>
      <c r="BF34" s="59">
        <v>0.25</v>
      </c>
      <c r="BG34" s="38"/>
      <c r="BH34" s="33"/>
      <c r="BI34" s="69"/>
      <c r="BJ34" s="69"/>
      <c r="BK34" s="69"/>
      <c r="BL34" s="69"/>
      <c r="BM34" s="38">
        <f>(0+2+4)/(3+7+12)</f>
        <v>0.27272727272727271</v>
      </c>
      <c r="BN34" s="42">
        <f>BO34+BP34+BQ34+BR34</f>
        <v>0.75</v>
      </c>
      <c r="BO34" s="23">
        <f>(25%+25%+25%)/3</f>
        <v>0.25</v>
      </c>
      <c r="BP34" s="23">
        <f>(25%+25%+25%)/3</f>
        <v>0.25</v>
      </c>
      <c r="BQ34" s="23">
        <f>(25%+25%+25%)/3</f>
        <v>0.25</v>
      </c>
      <c r="BR34" s="23">
        <f>(0%+0%+0%)/3</f>
        <v>0</v>
      </c>
      <c r="BS34" s="38">
        <f>(1+2+3)/(4+5+8)</f>
        <v>0.35294117647058826</v>
      </c>
      <c r="BT34" s="42">
        <f>BU34+BV34+BW34+BX34</f>
        <v>1</v>
      </c>
      <c r="BU34" s="23">
        <f>(25%+25%+25%)/3</f>
        <v>0.25</v>
      </c>
      <c r="BV34" s="23">
        <f>(25%+25%+25%)/3</f>
        <v>0.25</v>
      </c>
      <c r="BW34" s="23">
        <v>0.25</v>
      </c>
      <c r="BX34" s="23">
        <v>0.25</v>
      </c>
      <c r="BY34" s="207">
        <f>(5+2+0)/(11+5+1)</f>
        <v>0.41176470588235292</v>
      </c>
      <c r="BZ34" s="10">
        <f>(CA34+CB34+CC34+CD34)</f>
        <v>1</v>
      </c>
      <c r="CA34" s="9">
        <v>0.25</v>
      </c>
      <c r="CB34" s="9">
        <v>0.25</v>
      </c>
      <c r="CC34" s="9">
        <v>0.25</v>
      </c>
      <c r="CD34" s="9">
        <v>0.25</v>
      </c>
      <c r="CE34" s="38"/>
      <c r="CF34" s="33"/>
      <c r="CG34" s="69"/>
      <c r="CH34" s="69"/>
      <c r="CI34" s="69"/>
      <c r="CJ34" s="69"/>
      <c r="CK34" s="37">
        <f>(BM34+BS34+BY34)/3</f>
        <v>0.3458110516934047</v>
      </c>
      <c r="CL34" s="47">
        <f>+CK34/AJ34</f>
        <v>0.3458110516934047</v>
      </c>
    </row>
    <row r="35" spans="1:90" ht="78" customHeight="1" x14ac:dyDescent="0.25">
      <c r="A35" s="159" t="s">
        <v>244</v>
      </c>
      <c r="B35" s="159" t="s">
        <v>243</v>
      </c>
      <c r="C35" s="159" t="s">
        <v>242</v>
      </c>
      <c r="D35" s="159" t="s">
        <v>241</v>
      </c>
      <c r="E35" s="135" t="s">
        <v>240</v>
      </c>
      <c r="F35" s="159" t="s">
        <v>239</v>
      </c>
      <c r="G35" s="9"/>
      <c r="H35" s="65" t="s">
        <v>208</v>
      </c>
      <c r="I35" s="17" t="s">
        <v>238</v>
      </c>
      <c r="J35" s="11" t="s">
        <v>237</v>
      </c>
      <c r="K35" s="11" t="s">
        <v>236</v>
      </c>
      <c r="L35" s="16" t="s">
        <v>38</v>
      </c>
      <c r="M35" s="9">
        <v>1</v>
      </c>
      <c r="N35" s="21" t="s">
        <v>235</v>
      </c>
      <c r="O35" s="9">
        <v>1</v>
      </c>
      <c r="P35" s="17" t="s">
        <v>234</v>
      </c>
      <c r="Q35" s="11" t="s">
        <v>17</v>
      </c>
      <c r="R35" s="11" t="s">
        <v>17</v>
      </c>
      <c r="S35" s="17" t="s">
        <v>233</v>
      </c>
      <c r="T35" s="18" t="s">
        <v>22</v>
      </c>
      <c r="U35" s="17" t="s">
        <v>233</v>
      </c>
      <c r="V35" s="16" t="s">
        <v>20</v>
      </c>
      <c r="W35" s="16" t="s">
        <v>232</v>
      </c>
      <c r="X35" s="13" t="s">
        <v>18</v>
      </c>
      <c r="Y35" s="11" t="s">
        <v>17</v>
      </c>
      <c r="Z35" s="11" t="s">
        <v>17</v>
      </c>
      <c r="AA35" s="13" t="s">
        <v>30</v>
      </c>
      <c r="AB35" s="8"/>
      <c r="AC35" s="8"/>
      <c r="AD35" s="11"/>
      <c r="AE35" s="8"/>
      <c r="AF35" s="8"/>
      <c r="AG35" s="11">
        <v>2</v>
      </c>
      <c r="AH35" s="8"/>
      <c r="AI35" s="8"/>
      <c r="AJ35" s="11"/>
      <c r="AK35" s="8"/>
      <c r="AL35" s="8"/>
      <c r="AM35" s="11">
        <v>2</v>
      </c>
      <c r="AN35" s="11">
        <v>4</v>
      </c>
      <c r="AO35" s="8"/>
      <c r="AP35" s="8"/>
      <c r="AQ35" s="8"/>
      <c r="AR35" s="8"/>
      <c r="AS35" s="8"/>
      <c r="AT35" s="8"/>
      <c r="AU35" s="27">
        <v>2</v>
      </c>
      <c r="AV35" s="33">
        <v>1</v>
      </c>
      <c r="AW35" s="33">
        <v>0.25</v>
      </c>
      <c r="AX35" s="33">
        <v>0.25</v>
      </c>
      <c r="AY35" s="33">
        <v>0.25</v>
      </c>
      <c r="AZ35" s="33">
        <v>0.25</v>
      </c>
      <c r="BA35" s="8"/>
      <c r="BB35" s="8"/>
      <c r="BC35" s="8"/>
      <c r="BD35" s="8"/>
      <c r="BE35" s="8"/>
      <c r="BF35" s="8"/>
      <c r="BG35" s="8"/>
      <c r="BH35" s="8"/>
      <c r="BI35" s="8"/>
      <c r="BJ35" s="8"/>
      <c r="BK35" s="8"/>
      <c r="BL35" s="8"/>
      <c r="BM35" s="8"/>
      <c r="BN35" s="8"/>
      <c r="BO35" s="8"/>
      <c r="BP35" s="8"/>
      <c r="BQ35" s="8"/>
      <c r="BR35" s="8"/>
      <c r="BS35" s="200">
        <v>2</v>
      </c>
      <c r="BT35" s="10"/>
      <c r="BU35" s="33">
        <v>0.25</v>
      </c>
      <c r="BV35" s="33">
        <v>0.25</v>
      </c>
      <c r="BW35" s="33">
        <v>0.25</v>
      </c>
      <c r="BX35" s="33">
        <v>0.25</v>
      </c>
      <c r="BY35" s="205"/>
      <c r="BZ35" s="8"/>
      <c r="CA35" s="8"/>
      <c r="CB35" s="8"/>
      <c r="CC35" s="8"/>
      <c r="CD35" s="8"/>
      <c r="CE35" s="8"/>
      <c r="CF35" s="8"/>
      <c r="CG35" s="8"/>
      <c r="CH35" s="8"/>
      <c r="CI35" s="8"/>
      <c r="CJ35" s="8"/>
      <c r="CK35" s="45">
        <v>2</v>
      </c>
      <c r="CL35" s="9">
        <f>2/4</f>
        <v>0.5</v>
      </c>
    </row>
    <row r="36" spans="1:90" ht="78" customHeight="1" x14ac:dyDescent="0.25">
      <c r="A36" s="167"/>
      <c r="B36" s="167"/>
      <c r="C36" s="167"/>
      <c r="D36" s="167"/>
      <c r="E36" s="135"/>
      <c r="F36" s="167"/>
      <c r="G36" s="29"/>
      <c r="H36" s="29"/>
      <c r="I36" s="159" t="s">
        <v>231</v>
      </c>
      <c r="J36" s="152" t="s">
        <v>28</v>
      </c>
      <c r="K36" s="11" t="s">
        <v>230</v>
      </c>
      <c r="L36" s="16" t="s">
        <v>38</v>
      </c>
      <c r="M36" s="146">
        <v>1</v>
      </c>
      <c r="N36" s="21" t="s">
        <v>229</v>
      </c>
      <c r="O36" s="37">
        <v>0.33329999999999999</v>
      </c>
      <c r="P36" s="17" t="s">
        <v>228</v>
      </c>
      <c r="Q36" s="11" t="s">
        <v>17</v>
      </c>
      <c r="R36" s="11" t="s">
        <v>17</v>
      </c>
      <c r="S36" s="17" t="s">
        <v>227</v>
      </c>
      <c r="T36" s="18" t="s">
        <v>34</v>
      </c>
      <c r="U36" s="17" t="s">
        <v>226</v>
      </c>
      <c r="V36" s="16" t="s">
        <v>43</v>
      </c>
      <c r="W36" s="16" t="s">
        <v>225</v>
      </c>
      <c r="X36" s="13" t="s">
        <v>18</v>
      </c>
      <c r="Y36" s="11" t="s">
        <v>17</v>
      </c>
      <c r="Z36" s="11" t="s">
        <v>17</v>
      </c>
      <c r="AA36" s="13" t="s">
        <v>30</v>
      </c>
      <c r="AB36" s="13"/>
      <c r="AC36" s="13"/>
      <c r="AD36" s="15"/>
      <c r="AE36" s="13"/>
      <c r="AF36" s="13"/>
      <c r="AG36" s="15">
        <v>1</v>
      </c>
      <c r="AH36" s="13"/>
      <c r="AI36" s="13"/>
      <c r="AJ36" s="15"/>
      <c r="AK36" s="13"/>
      <c r="AL36" s="13"/>
      <c r="AM36" s="15">
        <v>1</v>
      </c>
      <c r="AN36" s="15">
        <v>1</v>
      </c>
      <c r="AO36" s="8"/>
      <c r="AP36" s="8"/>
      <c r="AQ36" s="8"/>
      <c r="AR36" s="8"/>
      <c r="AS36" s="8"/>
      <c r="AT36" s="8"/>
      <c r="AU36" s="30">
        <f>1/1</f>
        <v>1</v>
      </c>
      <c r="AV36" s="25">
        <f>AW36+AX36+AY36+AZ36</f>
        <v>1</v>
      </c>
      <c r="AW36" s="25">
        <v>0.25</v>
      </c>
      <c r="AX36" s="25">
        <v>0.25</v>
      </c>
      <c r="AY36" s="25">
        <v>0.25</v>
      </c>
      <c r="AZ36" s="25">
        <v>0.25</v>
      </c>
      <c r="BA36" s="8"/>
      <c r="BB36" s="8"/>
      <c r="BC36" s="8"/>
      <c r="BD36" s="8"/>
      <c r="BE36" s="8"/>
      <c r="BF36" s="8"/>
      <c r="BG36" s="74"/>
      <c r="BH36" s="30"/>
      <c r="BI36" s="30"/>
      <c r="BJ36" s="30"/>
      <c r="BK36" s="30"/>
      <c r="BL36" s="30"/>
      <c r="BM36" s="8"/>
      <c r="BN36" s="8"/>
      <c r="BO36" s="8"/>
      <c r="BP36" s="8"/>
      <c r="BQ36" s="8"/>
      <c r="BR36" s="8"/>
      <c r="BS36" s="30">
        <f>1/1</f>
        <v>1</v>
      </c>
      <c r="BT36" s="10">
        <f>(BU36+BV36+BW36+BX36)</f>
        <v>1</v>
      </c>
      <c r="BU36" s="23">
        <f>(25%+25%+25%)/3</f>
        <v>0.25</v>
      </c>
      <c r="BV36" s="23">
        <f>(25%+25%+25%)/3</f>
        <v>0.25</v>
      </c>
      <c r="BW36" s="23">
        <f>(25%+25%+25%)/3</f>
        <v>0.25</v>
      </c>
      <c r="BX36" s="23">
        <f>(25%+25%+25%)/3</f>
        <v>0.25</v>
      </c>
      <c r="BY36" s="200"/>
      <c r="BZ36" s="8"/>
      <c r="CA36" s="8"/>
      <c r="CB36" s="8"/>
      <c r="CC36" s="8"/>
      <c r="CD36" s="8"/>
      <c r="CE36" s="9"/>
      <c r="CF36" s="10"/>
      <c r="CG36" s="9"/>
      <c r="CH36" s="9"/>
      <c r="CI36" s="9"/>
      <c r="CJ36" s="9"/>
      <c r="CK36" s="38">
        <f>BS36</f>
        <v>1</v>
      </c>
      <c r="CL36" s="37">
        <f>CK36/AG36</f>
        <v>1</v>
      </c>
    </row>
    <row r="37" spans="1:90" ht="78" customHeight="1" x14ac:dyDescent="0.25">
      <c r="A37" s="167"/>
      <c r="B37" s="167"/>
      <c r="C37" s="167"/>
      <c r="D37" s="167"/>
      <c r="E37" s="135"/>
      <c r="F37" s="167"/>
      <c r="G37" s="29"/>
      <c r="H37" s="29"/>
      <c r="I37" s="167"/>
      <c r="J37" s="147"/>
      <c r="K37" s="11" t="s">
        <v>224</v>
      </c>
      <c r="L37" s="16" t="s">
        <v>38</v>
      </c>
      <c r="M37" s="153"/>
      <c r="N37" s="21" t="s">
        <v>223</v>
      </c>
      <c r="O37" s="37">
        <v>0.33329999999999999</v>
      </c>
      <c r="P37" s="17" t="s">
        <v>222</v>
      </c>
      <c r="Q37" s="11" t="s">
        <v>17</v>
      </c>
      <c r="R37" s="11" t="s">
        <v>17</v>
      </c>
      <c r="S37" s="17" t="s">
        <v>221</v>
      </c>
      <c r="T37" s="18" t="s">
        <v>34</v>
      </c>
      <c r="U37" s="17" t="s">
        <v>220</v>
      </c>
      <c r="V37" s="16" t="s">
        <v>32</v>
      </c>
      <c r="W37" s="16" t="s">
        <v>160</v>
      </c>
      <c r="X37" s="13" t="s">
        <v>18</v>
      </c>
      <c r="Y37" s="11" t="s">
        <v>17</v>
      </c>
      <c r="Z37" s="11" t="s">
        <v>17</v>
      </c>
      <c r="AA37" s="13" t="s">
        <v>41</v>
      </c>
      <c r="AB37" s="13"/>
      <c r="AC37" s="13"/>
      <c r="AD37" s="15">
        <v>1</v>
      </c>
      <c r="AE37" s="13"/>
      <c r="AF37" s="13"/>
      <c r="AG37" s="15">
        <v>1</v>
      </c>
      <c r="AH37" s="13"/>
      <c r="AI37" s="13"/>
      <c r="AJ37" s="15">
        <v>1</v>
      </c>
      <c r="AK37" s="13"/>
      <c r="AL37" s="13"/>
      <c r="AM37" s="15">
        <v>1</v>
      </c>
      <c r="AN37" s="15">
        <v>1</v>
      </c>
      <c r="AO37" s="15">
        <f>3/3</f>
        <v>1</v>
      </c>
      <c r="AP37" s="15">
        <f>AQ37+AR37+AS37+AT37</f>
        <v>0.75</v>
      </c>
      <c r="AQ37" s="15">
        <v>0.25</v>
      </c>
      <c r="AR37" s="15">
        <v>0.25</v>
      </c>
      <c r="AS37" s="15">
        <v>0</v>
      </c>
      <c r="AT37" s="15">
        <v>0.25</v>
      </c>
      <c r="AU37" s="33">
        <f>3/3</f>
        <v>1</v>
      </c>
      <c r="AV37" s="33">
        <f>(AW37+AX37+AY37+AZ37)</f>
        <v>1</v>
      </c>
      <c r="AW37" s="33">
        <v>0.25</v>
      </c>
      <c r="AX37" s="33">
        <v>0.25</v>
      </c>
      <c r="AY37" s="33">
        <v>0.25</v>
      </c>
      <c r="AZ37" s="33">
        <v>0.25</v>
      </c>
      <c r="BA37" s="10">
        <f>5/5</f>
        <v>1</v>
      </c>
      <c r="BB37" s="33">
        <f>BC37+BD37+BE37+BF37</f>
        <v>1</v>
      </c>
      <c r="BC37" s="59">
        <v>0.25</v>
      </c>
      <c r="BD37" s="59">
        <v>0.25</v>
      </c>
      <c r="BE37" s="59">
        <v>0.25</v>
      </c>
      <c r="BF37" s="59">
        <v>0.25</v>
      </c>
      <c r="BG37" s="8"/>
      <c r="BH37" s="8"/>
      <c r="BI37" s="8"/>
      <c r="BJ37" s="8"/>
      <c r="BK37" s="8"/>
      <c r="BL37" s="8"/>
      <c r="BM37" s="9">
        <f>3/3</f>
        <v>1</v>
      </c>
      <c r="BN37" s="10">
        <f t="shared" ref="BN37:BN43" si="10">BO37+BP37+BQ37+BR37</f>
        <v>0.75</v>
      </c>
      <c r="BO37" s="15">
        <v>0.25</v>
      </c>
      <c r="BP37" s="15">
        <v>0.25</v>
      </c>
      <c r="BQ37" s="15">
        <v>0</v>
      </c>
      <c r="BR37" s="15">
        <v>0.25</v>
      </c>
      <c r="BS37" s="206">
        <f>3/3</f>
        <v>1</v>
      </c>
      <c r="BT37" s="10">
        <f>(BU37+BV37+BW37+BX37)</f>
        <v>1</v>
      </c>
      <c r="BU37" s="9">
        <v>0.25</v>
      </c>
      <c r="BV37" s="9">
        <v>0.25</v>
      </c>
      <c r="BW37" s="9">
        <v>0.25</v>
      </c>
      <c r="BX37" s="9">
        <v>0.25</v>
      </c>
      <c r="BY37" s="10">
        <f>5/5</f>
        <v>1</v>
      </c>
      <c r="BZ37" s="10">
        <f>(CA37+CB37+CC37+CD37)</f>
        <v>1</v>
      </c>
      <c r="CA37" s="9">
        <v>0.25</v>
      </c>
      <c r="CB37" s="9">
        <v>0.25</v>
      </c>
      <c r="CC37" s="9">
        <v>0.25</v>
      </c>
      <c r="CD37" s="9">
        <v>0.25</v>
      </c>
      <c r="CE37" s="8"/>
      <c r="CF37" s="8"/>
      <c r="CG37" s="8"/>
      <c r="CH37" s="8"/>
      <c r="CI37" s="8"/>
      <c r="CJ37" s="8"/>
      <c r="CK37" s="10">
        <f>(BM37+BS37+BY37)/3</f>
        <v>1</v>
      </c>
      <c r="CL37" s="9">
        <f>+CK37/AJ37</f>
        <v>1</v>
      </c>
    </row>
    <row r="38" spans="1:90" ht="78" customHeight="1" x14ac:dyDescent="0.25">
      <c r="A38" s="160"/>
      <c r="B38" s="160"/>
      <c r="C38" s="160"/>
      <c r="D38" s="160"/>
      <c r="E38" s="135"/>
      <c r="F38" s="160"/>
      <c r="G38" s="29"/>
      <c r="H38" s="29"/>
      <c r="I38" s="160"/>
      <c r="J38" s="148"/>
      <c r="K38" s="11" t="s">
        <v>219</v>
      </c>
      <c r="L38" s="16" t="s">
        <v>38</v>
      </c>
      <c r="M38" s="154"/>
      <c r="N38" s="21" t="s">
        <v>218</v>
      </c>
      <c r="O38" s="37">
        <v>0.33329999999999999</v>
      </c>
      <c r="P38" s="17" t="s">
        <v>217</v>
      </c>
      <c r="Q38" s="11" t="s">
        <v>17</v>
      </c>
      <c r="R38" s="11" t="s">
        <v>17</v>
      </c>
      <c r="S38" s="17" t="s">
        <v>216</v>
      </c>
      <c r="T38" s="18" t="s">
        <v>34</v>
      </c>
      <c r="U38" s="17" t="s">
        <v>215</v>
      </c>
      <c r="V38" s="16" t="s">
        <v>32</v>
      </c>
      <c r="W38" s="16" t="s">
        <v>214</v>
      </c>
      <c r="X38" s="13" t="s">
        <v>18</v>
      </c>
      <c r="Y38" s="11" t="s">
        <v>17</v>
      </c>
      <c r="Z38" s="11" t="s">
        <v>17</v>
      </c>
      <c r="AA38" s="13" t="s">
        <v>194</v>
      </c>
      <c r="AB38" s="15">
        <v>1</v>
      </c>
      <c r="AC38" s="15">
        <v>1</v>
      </c>
      <c r="AD38" s="15">
        <v>1</v>
      </c>
      <c r="AE38" s="15">
        <v>1</v>
      </c>
      <c r="AF38" s="15">
        <v>1</v>
      </c>
      <c r="AG38" s="15">
        <v>1</v>
      </c>
      <c r="AH38" s="15">
        <v>1</v>
      </c>
      <c r="AI38" s="15">
        <v>1</v>
      </c>
      <c r="AJ38" s="15">
        <v>1</v>
      </c>
      <c r="AK38" s="15">
        <v>1</v>
      </c>
      <c r="AL38" s="15">
        <v>1</v>
      </c>
      <c r="AM38" s="15">
        <v>1</v>
      </c>
      <c r="AN38" s="15">
        <v>1</v>
      </c>
      <c r="AO38" s="70">
        <f>(1+1+7)/(188+190+184)</f>
        <v>1.601423487544484E-2</v>
      </c>
      <c r="AP38" s="33">
        <f>AQ38+AR38+AS38+AT38</f>
        <v>1</v>
      </c>
      <c r="AQ38" s="23">
        <f>(25%+25%+25%)/3</f>
        <v>0.25</v>
      </c>
      <c r="AR38" s="23">
        <f>(25%+25%+25%)/3</f>
        <v>0.25</v>
      </c>
      <c r="AS38" s="23">
        <f>(25%+25%+25%)/3</f>
        <v>0.25</v>
      </c>
      <c r="AT38" s="23">
        <f>(25%+25%+25%)/3</f>
        <v>0.25</v>
      </c>
      <c r="AU38" s="70">
        <f>(3+7+12)/(191+219+221)</f>
        <v>3.486529318541997E-2</v>
      </c>
      <c r="AV38" s="33">
        <f>AW38+AX38+AY38+AZ38</f>
        <v>1</v>
      </c>
      <c r="AW38" s="23">
        <f>(25%+25%+25%)/3</f>
        <v>0.25</v>
      </c>
      <c r="AX38" s="23">
        <f>(25%+25%+25%)/3</f>
        <v>0.25</v>
      </c>
      <c r="AY38" s="23">
        <f>(25%+25%+25%)/3</f>
        <v>0.25</v>
      </c>
      <c r="AZ38" s="23">
        <f>(25%+25%+25%)/3</f>
        <v>0.25</v>
      </c>
      <c r="BA38" s="73">
        <f>(14+7+5)/(223+223+223)</f>
        <v>3.8863976083707022E-2</v>
      </c>
      <c r="BB38" s="33">
        <f>BC38+BD38+BE38+BF38</f>
        <v>1</v>
      </c>
      <c r="BC38" s="59">
        <v>0.25</v>
      </c>
      <c r="BD38" s="59">
        <v>0.25</v>
      </c>
      <c r="BE38" s="59">
        <v>0.25</v>
      </c>
      <c r="BF38" s="59">
        <v>0.25</v>
      </c>
      <c r="BG38" s="73"/>
      <c r="BH38" s="69"/>
      <c r="BI38" s="69"/>
      <c r="BJ38" s="69"/>
      <c r="BK38" s="69"/>
      <c r="BL38" s="69"/>
      <c r="BM38" s="70">
        <f>(1+1+7)/(188+190+184)</f>
        <v>1.601423487544484E-2</v>
      </c>
      <c r="BN38" s="10">
        <f t="shared" si="10"/>
        <v>1</v>
      </c>
      <c r="BO38" s="30">
        <f>(25%+25%+25%)/3</f>
        <v>0.25</v>
      </c>
      <c r="BP38" s="30">
        <f>(25%+25%+25%)/3</f>
        <v>0.25</v>
      </c>
      <c r="BQ38" s="30">
        <f>(25%+25%+25%)/3</f>
        <v>0.25</v>
      </c>
      <c r="BR38" s="30">
        <f>(25%+25%+25%)/3</f>
        <v>0.25</v>
      </c>
      <c r="BS38" s="204">
        <f>(3+7+12)/(191+219+221)</f>
        <v>3.486529318541997E-2</v>
      </c>
      <c r="BT38" s="42">
        <f>BU38+BV38+BW38+BX38</f>
        <v>1</v>
      </c>
      <c r="BU38" s="30">
        <f>(25%+25%+25%)/3</f>
        <v>0.25</v>
      </c>
      <c r="BV38" s="30">
        <f>(25%+25%+25%)/3</f>
        <v>0.25</v>
      </c>
      <c r="BW38" s="30">
        <f>(25%+25%+25%)/3</f>
        <v>0.25</v>
      </c>
      <c r="BX38" s="30">
        <f>(25%+25%+25%)/3</f>
        <v>0.25</v>
      </c>
      <c r="BY38" s="73">
        <f>(14+7+5)/(223+223+223)</f>
        <v>3.8863976083707022E-2</v>
      </c>
      <c r="BZ38" s="10">
        <f>(CA38+CB38+CC38+CD38)</f>
        <v>1</v>
      </c>
      <c r="CA38" s="9">
        <v>0.25</v>
      </c>
      <c r="CB38" s="9">
        <v>0.25</v>
      </c>
      <c r="CC38" s="9">
        <v>0.25</v>
      </c>
      <c r="CD38" s="9">
        <v>0.25</v>
      </c>
      <c r="CE38" s="73"/>
      <c r="CF38" s="69"/>
      <c r="CG38" s="69"/>
      <c r="CH38" s="69"/>
      <c r="CI38" s="69"/>
      <c r="CJ38" s="69"/>
      <c r="CK38" s="37">
        <f>(BM38+BS38+BY38)/3</f>
        <v>2.9914501381523944E-2</v>
      </c>
      <c r="CL38" s="37">
        <f>+CK38/AJ38</f>
        <v>2.9914501381523944E-2</v>
      </c>
    </row>
    <row r="39" spans="1:90" ht="78" customHeight="1" x14ac:dyDescent="0.25">
      <c r="A39" s="134" t="s">
        <v>213</v>
      </c>
      <c r="B39" s="134" t="s">
        <v>212</v>
      </c>
      <c r="C39" s="134" t="s">
        <v>211</v>
      </c>
      <c r="D39" s="134" t="s">
        <v>210</v>
      </c>
      <c r="E39" s="135"/>
      <c r="F39" s="159" t="s">
        <v>209</v>
      </c>
      <c r="G39" s="9"/>
      <c r="H39" s="65" t="s">
        <v>208</v>
      </c>
      <c r="I39" s="12" t="s">
        <v>207</v>
      </c>
      <c r="J39" s="11" t="s">
        <v>28</v>
      </c>
      <c r="K39" s="11" t="s">
        <v>206</v>
      </c>
      <c r="L39" s="16" t="s">
        <v>26</v>
      </c>
      <c r="M39" s="9">
        <v>1</v>
      </c>
      <c r="N39" s="72" t="s">
        <v>205</v>
      </c>
      <c r="O39" s="9">
        <v>1</v>
      </c>
      <c r="P39" s="12" t="s">
        <v>204</v>
      </c>
      <c r="Q39" s="11" t="s">
        <v>17</v>
      </c>
      <c r="R39" s="11" t="s">
        <v>17</v>
      </c>
      <c r="S39" s="17" t="s">
        <v>203</v>
      </c>
      <c r="T39" s="35" t="s">
        <v>34</v>
      </c>
      <c r="U39" s="17" t="s">
        <v>202</v>
      </c>
      <c r="V39" s="28" t="s">
        <v>32</v>
      </c>
      <c r="W39" s="16" t="s">
        <v>201</v>
      </c>
      <c r="X39" s="13" t="s">
        <v>18</v>
      </c>
      <c r="Y39" s="11" t="s">
        <v>17</v>
      </c>
      <c r="Z39" s="11" t="s">
        <v>17</v>
      </c>
      <c r="AA39" s="27" t="s">
        <v>41</v>
      </c>
      <c r="AB39" s="34"/>
      <c r="AC39" s="34"/>
      <c r="AD39" s="15">
        <v>0.85</v>
      </c>
      <c r="AE39" s="34"/>
      <c r="AF39" s="34"/>
      <c r="AG39" s="15">
        <v>0.85</v>
      </c>
      <c r="AH39" s="34"/>
      <c r="AI39" s="34"/>
      <c r="AJ39" s="15">
        <v>0.85</v>
      </c>
      <c r="AK39" s="34"/>
      <c r="AL39" s="34"/>
      <c r="AM39" s="15">
        <v>0.85</v>
      </c>
      <c r="AN39" s="15">
        <v>0.85</v>
      </c>
      <c r="AO39" s="30">
        <f>39/39</f>
        <v>1</v>
      </c>
      <c r="AP39" s="30">
        <f>AQ39+AR39+AS39+AT39</f>
        <v>1</v>
      </c>
      <c r="AQ39" s="30">
        <v>0.25</v>
      </c>
      <c r="AR39" s="30">
        <v>0.25</v>
      </c>
      <c r="AS39" s="30">
        <v>0.25</v>
      </c>
      <c r="AT39" s="30">
        <v>0.25</v>
      </c>
      <c r="AU39" s="10">
        <f>14/14</f>
        <v>1</v>
      </c>
      <c r="AV39" s="33">
        <f>(AW39+AX39+AY39+AZ39)</f>
        <v>1</v>
      </c>
      <c r="AW39" s="30">
        <v>0.25</v>
      </c>
      <c r="AX39" s="30">
        <v>0.25</v>
      </c>
      <c r="AY39" s="30">
        <v>0.25</v>
      </c>
      <c r="AZ39" s="30">
        <v>0.25</v>
      </c>
      <c r="BA39" s="30">
        <f>9/9</f>
        <v>1</v>
      </c>
      <c r="BB39" s="33">
        <f>BC39+BD39+BE39+BF39</f>
        <v>1</v>
      </c>
      <c r="BC39" s="59">
        <v>0.25</v>
      </c>
      <c r="BD39" s="59">
        <v>0.25</v>
      </c>
      <c r="BE39" s="59">
        <v>0.25</v>
      </c>
      <c r="BF39" s="59">
        <v>0.25</v>
      </c>
      <c r="BG39" s="30"/>
      <c r="BH39" s="33"/>
      <c r="BI39" s="33"/>
      <c r="BJ39" s="33"/>
      <c r="BK39" s="33"/>
      <c r="BL39" s="33"/>
      <c r="BM39" s="10">
        <f>39/39</f>
        <v>1</v>
      </c>
      <c r="BN39" s="10">
        <f t="shared" si="10"/>
        <v>1</v>
      </c>
      <c r="BO39" s="30">
        <v>0.25</v>
      </c>
      <c r="BP39" s="30">
        <v>0.25</v>
      </c>
      <c r="BQ39" s="30">
        <v>0.25</v>
      </c>
      <c r="BR39" s="30">
        <v>0.25</v>
      </c>
      <c r="BS39" s="71">
        <f>14/14</f>
        <v>1</v>
      </c>
      <c r="BT39" s="71">
        <f>(BU39+BV39+BW39+BX39)</f>
        <v>1</v>
      </c>
      <c r="BU39" s="23">
        <v>0.25</v>
      </c>
      <c r="BV39" s="23">
        <v>0.25</v>
      </c>
      <c r="BW39" s="23">
        <v>0.25</v>
      </c>
      <c r="BX39" s="23">
        <v>0.25</v>
      </c>
      <c r="BY39" s="30">
        <f>9/9</f>
        <v>1</v>
      </c>
      <c r="BZ39" s="10">
        <f>(CA39+CB39+CC39+CD39)</f>
        <v>1</v>
      </c>
      <c r="CA39" s="9">
        <v>0.25</v>
      </c>
      <c r="CB39" s="9">
        <v>0.25</v>
      </c>
      <c r="CC39" s="9">
        <v>0.25</v>
      </c>
      <c r="CD39" s="9">
        <v>0.25</v>
      </c>
      <c r="CE39" s="30"/>
      <c r="CF39" s="69"/>
      <c r="CG39" s="30"/>
      <c r="CH39" s="30"/>
      <c r="CI39" s="30"/>
      <c r="CJ39" s="30"/>
      <c r="CK39" s="10">
        <f>(BM39+BS39+BY39)/3</f>
        <v>1</v>
      </c>
      <c r="CL39" s="37">
        <f>+CK39/AJ39</f>
        <v>1.1764705882352942</v>
      </c>
    </row>
    <row r="40" spans="1:90" ht="78" customHeight="1" x14ac:dyDescent="0.25">
      <c r="A40" s="135"/>
      <c r="B40" s="135"/>
      <c r="C40" s="135"/>
      <c r="D40" s="135"/>
      <c r="E40" s="135"/>
      <c r="F40" s="167"/>
      <c r="G40" s="9"/>
      <c r="H40" s="29"/>
      <c r="I40" s="68" t="s">
        <v>200</v>
      </c>
      <c r="J40" s="11" t="s">
        <v>199</v>
      </c>
      <c r="K40" s="11" t="s">
        <v>198</v>
      </c>
      <c r="L40" s="8" t="s">
        <v>38</v>
      </c>
      <c r="M40" s="9">
        <v>1</v>
      </c>
      <c r="N40" s="12" t="s">
        <v>197</v>
      </c>
      <c r="O40" s="9">
        <v>1</v>
      </c>
      <c r="P40" s="12" t="s">
        <v>196</v>
      </c>
      <c r="Q40" s="11" t="s">
        <v>17</v>
      </c>
      <c r="R40" s="11" t="s">
        <v>17</v>
      </c>
      <c r="S40" s="12" t="s">
        <v>195</v>
      </c>
      <c r="T40" s="18" t="s">
        <v>22</v>
      </c>
      <c r="U40" s="12" t="s">
        <v>195</v>
      </c>
      <c r="V40" s="11" t="s">
        <v>20</v>
      </c>
      <c r="W40" s="11" t="s">
        <v>31</v>
      </c>
      <c r="X40" s="13" t="s">
        <v>18</v>
      </c>
      <c r="Y40" s="11" t="s">
        <v>17</v>
      </c>
      <c r="Z40" s="11" t="s">
        <v>17</v>
      </c>
      <c r="AA40" s="11" t="s">
        <v>194</v>
      </c>
      <c r="AB40" s="11">
        <v>1</v>
      </c>
      <c r="AC40" s="11">
        <v>1</v>
      </c>
      <c r="AD40" s="11">
        <v>1</v>
      </c>
      <c r="AE40" s="11">
        <v>1</v>
      </c>
      <c r="AF40" s="11">
        <v>1</v>
      </c>
      <c r="AG40" s="11">
        <v>1</v>
      </c>
      <c r="AH40" s="11">
        <v>1</v>
      </c>
      <c r="AI40" s="11">
        <v>1</v>
      </c>
      <c r="AJ40" s="11">
        <v>1</v>
      </c>
      <c r="AK40" s="11">
        <v>1</v>
      </c>
      <c r="AL40" s="11">
        <v>1</v>
      </c>
      <c r="AM40" s="11">
        <v>1</v>
      </c>
      <c r="AN40" s="11">
        <v>12</v>
      </c>
      <c r="AO40" s="11">
        <f>1+1+1</f>
        <v>3</v>
      </c>
      <c r="AP40" s="9">
        <f>SUBTOTAL(9,AQ40:AT40)</f>
        <v>1</v>
      </c>
      <c r="AQ40" s="23">
        <f>(25%+25%+25%)/3</f>
        <v>0.25</v>
      </c>
      <c r="AR40" s="23">
        <f>(25%+25%+25%)/3</f>
        <v>0.25</v>
      </c>
      <c r="AS40" s="23">
        <f>(25%+25%+25%)/3</f>
        <v>0.25</v>
      </c>
      <c r="AT40" s="23">
        <f>(25%+25%+25%)/3</f>
        <v>0.25</v>
      </c>
      <c r="AU40" s="11">
        <f>1+1+1</f>
        <v>3</v>
      </c>
      <c r="AV40" s="9">
        <f>SUBTOTAL(9,AW40:AZ40)</f>
        <v>1</v>
      </c>
      <c r="AW40" s="23">
        <f>(25%+25%+25%)/3</f>
        <v>0.25</v>
      </c>
      <c r="AX40" s="23">
        <f>(25%+25%+25%)/3</f>
        <v>0.25</v>
      </c>
      <c r="AY40" s="23">
        <f>(25%+25%+25%)/3</f>
        <v>0.25</v>
      </c>
      <c r="AZ40" s="23">
        <f>(25%+25%+25%)/3</f>
        <v>0.25</v>
      </c>
      <c r="BA40" s="11">
        <f>1+1+1</f>
        <v>3</v>
      </c>
      <c r="BB40" s="33">
        <f>BC40+BD40+BE40+BF40</f>
        <v>1</v>
      </c>
      <c r="BC40" s="59">
        <v>0.25</v>
      </c>
      <c r="BD40" s="59">
        <v>0.25</v>
      </c>
      <c r="BE40" s="59">
        <v>0.25</v>
      </c>
      <c r="BF40" s="59">
        <v>0.25</v>
      </c>
      <c r="BG40" s="67"/>
      <c r="BH40" s="9"/>
      <c r="BI40" s="9"/>
      <c r="BJ40" s="9"/>
      <c r="BK40" s="9"/>
      <c r="BL40" s="9"/>
      <c r="BM40" s="11">
        <f>1+1+1</f>
        <v>3</v>
      </c>
      <c r="BN40" s="10">
        <f t="shared" si="10"/>
        <v>1</v>
      </c>
      <c r="BO40" s="23">
        <f>(25%+25%+25%)/3</f>
        <v>0.25</v>
      </c>
      <c r="BP40" s="23">
        <f>(25%+25%+25%)/3</f>
        <v>0.25</v>
      </c>
      <c r="BQ40" s="23">
        <f>(25%+25%+25%)/3</f>
        <v>0.25</v>
      </c>
      <c r="BR40" s="23">
        <f>(25%+25%+25%)/3</f>
        <v>0.25</v>
      </c>
      <c r="BS40" s="200">
        <f>1+1+1</f>
        <v>3</v>
      </c>
      <c r="BT40" s="10">
        <f>BU40+BV40+BW40+BX40</f>
        <v>1</v>
      </c>
      <c r="BU40" s="23">
        <f>(25%+25%+25%)/3</f>
        <v>0.25</v>
      </c>
      <c r="BV40" s="23">
        <f>(25%+25%+25%)/3</f>
        <v>0.25</v>
      </c>
      <c r="BW40" s="23">
        <f>(25%+25%+25%)/3</f>
        <v>0.25</v>
      </c>
      <c r="BX40" s="23">
        <f>(25%+25%+25%)/3</f>
        <v>0.25</v>
      </c>
      <c r="BY40" s="200">
        <f>1+1+1</f>
        <v>3</v>
      </c>
      <c r="BZ40" s="10">
        <f>(CA40+CB40+CC40+CD40)</f>
        <v>1</v>
      </c>
      <c r="CA40" s="9">
        <v>0.25</v>
      </c>
      <c r="CB40" s="9">
        <v>0.25</v>
      </c>
      <c r="CC40" s="9">
        <v>0.25</v>
      </c>
      <c r="CD40" s="9">
        <v>0.25</v>
      </c>
      <c r="CE40" s="67"/>
      <c r="CF40" s="9"/>
      <c r="CG40" s="23"/>
      <c r="CH40" s="23"/>
      <c r="CI40" s="23"/>
      <c r="CJ40" s="23"/>
      <c r="CK40" s="45">
        <f>BM40+BS40+BY40</f>
        <v>9</v>
      </c>
      <c r="CL40" s="9">
        <f>9/12</f>
        <v>0.75</v>
      </c>
    </row>
    <row r="41" spans="1:90" ht="98.25" customHeight="1" x14ac:dyDescent="0.25">
      <c r="A41" s="135"/>
      <c r="B41" s="135"/>
      <c r="C41" s="135"/>
      <c r="D41" s="135"/>
      <c r="E41" s="135"/>
      <c r="F41" s="167"/>
      <c r="G41" s="9"/>
      <c r="H41" s="29"/>
      <c r="I41" s="12" t="s">
        <v>193</v>
      </c>
      <c r="J41" s="11" t="s">
        <v>192</v>
      </c>
      <c r="K41" s="11" t="s">
        <v>191</v>
      </c>
      <c r="L41" s="8" t="s">
        <v>38</v>
      </c>
      <c r="M41" s="9">
        <v>1</v>
      </c>
      <c r="N41" s="12" t="s">
        <v>190</v>
      </c>
      <c r="O41" s="9">
        <v>1</v>
      </c>
      <c r="P41" s="12" t="s">
        <v>189</v>
      </c>
      <c r="Q41" s="11" t="s">
        <v>17</v>
      </c>
      <c r="R41" s="11" t="s">
        <v>17</v>
      </c>
      <c r="S41" s="12" t="s">
        <v>188</v>
      </c>
      <c r="T41" s="28" t="s">
        <v>34</v>
      </c>
      <c r="U41" s="12" t="s">
        <v>187</v>
      </c>
      <c r="V41" s="11" t="s">
        <v>32</v>
      </c>
      <c r="W41" s="11" t="s">
        <v>146</v>
      </c>
      <c r="X41" s="13" t="s">
        <v>18</v>
      </c>
      <c r="Y41" s="11" t="s">
        <v>17</v>
      </c>
      <c r="Z41" s="11" t="s">
        <v>17</v>
      </c>
      <c r="AA41" s="11" t="s">
        <v>41</v>
      </c>
      <c r="AB41" s="8"/>
      <c r="AC41" s="8"/>
      <c r="AD41" s="9">
        <v>1</v>
      </c>
      <c r="AE41" s="8"/>
      <c r="AF41" s="8"/>
      <c r="AG41" s="9">
        <v>1</v>
      </c>
      <c r="AH41" s="8"/>
      <c r="AI41" s="8"/>
      <c r="AJ41" s="9">
        <v>1</v>
      </c>
      <c r="AK41" s="8"/>
      <c r="AL41" s="8"/>
      <c r="AM41" s="9">
        <v>1</v>
      </c>
      <c r="AN41" s="9">
        <v>1</v>
      </c>
      <c r="AO41" s="9">
        <f>193/193</f>
        <v>1</v>
      </c>
      <c r="AP41" s="9">
        <f>AQ41+AR41+AS41+AT41</f>
        <v>1</v>
      </c>
      <c r="AQ41" s="9">
        <v>0.25</v>
      </c>
      <c r="AR41" s="9">
        <v>0.25</v>
      </c>
      <c r="AS41" s="9">
        <v>0.25</v>
      </c>
      <c r="AT41" s="9">
        <v>0.25</v>
      </c>
      <c r="AU41" s="37">
        <f>85/91</f>
        <v>0.93406593406593408</v>
      </c>
      <c r="AV41" s="9">
        <f>(AW41+AX41+AY41+AZ41)</f>
        <v>0.75</v>
      </c>
      <c r="AW41" s="9">
        <v>0.25</v>
      </c>
      <c r="AX41" s="9">
        <v>0.25</v>
      </c>
      <c r="AY41" s="9">
        <v>0.25</v>
      </c>
      <c r="AZ41" s="9">
        <v>0</v>
      </c>
      <c r="BA41" s="37">
        <f>151/159</f>
        <v>0.94968553459119498</v>
      </c>
      <c r="BB41" s="33">
        <f>BC41+BD41+BE41+BF41</f>
        <v>1</v>
      </c>
      <c r="BC41" s="59">
        <v>0.25</v>
      </c>
      <c r="BD41" s="59">
        <v>0.25</v>
      </c>
      <c r="BE41" s="59">
        <v>0.25</v>
      </c>
      <c r="BF41" s="59">
        <v>0.25</v>
      </c>
      <c r="BG41" s="8"/>
      <c r="BH41" s="8"/>
      <c r="BI41" s="8"/>
      <c r="BJ41" s="8"/>
      <c r="BK41" s="8"/>
      <c r="BL41" s="8"/>
      <c r="BM41" s="10">
        <f>193/193</f>
        <v>1</v>
      </c>
      <c r="BN41" s="10">
        <f t="shared" si="10"/>
        <v>1</v>
      </c>
      <c r="BO41" s="9">
        <v>0.25</v>
      </c>
      <c r="BP41" s="9">
        <v>0.25</v>
      </c>
      <c r="BQ41" s="9">
        <v>0.25</v>
      </c>
      <c r="BR41" s="9">
        <v>0.25</v>
      </c>
      <c r="BS41" s="38">
        <f>85/91</f>
        <v>0.93406593406593408</v>
      </c>
      <c r="BT41" s="10">
        <f>(BU41+BV41+BW41+BX41)</f>
        <v>0.75</v>
      </c>
      <c r="BU41" s="9">
        <v>0.25</v>
      </c>
      <c r="BV41" s="9">
        <v>0.25</v>
      </c>
      <c r="BW41" s="9">
        <v>0.25</v>
      </c>
      <c r="BX41" s="9">
        <v>0</v>
      </c>
      <c r="BY41" s="207">
        <f>151/159</f>
        <v>0.94968553459119498</v>
      </c>
      <c r="BZ41" s="10">
        <f>(CA41+CB41+CC41+CD41)</f>
        <v>1</v>
      </c>
      <c r="CA41" s="9">
        <v>0.25</v>
      </c>
      <c r="CB41" s="9">
        <v>0.25</v>
      </c>
      <c r="CC41" s="9">
        <v>0.25</v>
      </c>
      <c r="CD41" s="9">
        <v>0.25</v>
      </c>
      <c r="CE41" s="8"/>
      <c r="CF41" s="8"/>
      <c r="CG41" s="8"/>
      <c r="CH41" s="8"/>
      <c r="CI41" s="8"/>
      <c r="CJ41" s="8"/>
      <c r="CK41" s="38">
        <f>(BM41+BS41+BY41)/3</f>
        <v>0.96125048955237646</v>
      </c>
      <c r="CL41" s="37">
        <f>+CK41/AJ41</f>
        <v>0.96125048955237646</v>
      </c>
    </row>
    <row r="42" spans="1:90" ht="78" customHeight="1" x14ac:dyDescent="0.25">
      <c r="A42" s="135"/>
      <c r="B42" s="135"/>
      <c r="C42" s="135"/>
      <c r="D42" s="135"/>
      <c r="E42" s="135"/>
      <c r="F42" s="167"/>
      <c r="G42" s="9"/>
      <c r="H42" s="29"/>
      <c r="I42" s="66" t="s">
        <v>186</v>
      </c>
      <c r="J42" s="11" t="s">
        <v>185</v>
      </c>
      <c r="K42" s="11" t="s">
        <v>184</v>
      </c>
      <c r="L42" s="11" t="s">
        <v>183</v>
      </c>
      <c r="M42" s="9">
        <v>1</v>
      </c>
      <c r="N42" s="12" t="s">
        <v>182</v>
      </c>
      <c r="O42" s="9">
        <v>1</v>
      </c>
      <c r="P42" s="17" t="s">
        <v>181</v>
      </c>
      <c r="Q42" s="11" t="s">
        <v>17</v>
      </c>
      <c r="R42" s="11" t="s">
        <v>17</v>
      </c>
      <c r="S42" s="17" t="s">
        <v>180</v>
      </c>
      <c r="T42" s="28" t="s">
        <v>34</v>
      </c>
      <c r="U42" s="17" t="s">
        <v>179</v>
      </c>
      <c r="V42" s="16" t="s">
        <v>32</v>
      </c>
      <c r="W42" s="16" t="s">
        <v>49</v>
      </c>
      <c r="X42" s="13" t="s">
        <v>18</v>
      </c>
      <c r="Y42" s="11" t="s">
        <v>17</v>
      </c>
      <c r="Z42" s="11" t="s">
        <v>17</v>
      </c>
      <c r="AA42" s="11" t="s">
        <v>41</v>
      </c>
      <c r="AB42" s="8"/>
      <c r="AC42" s="8"/>
      <c r="AD42" s="9">
        <v>0.8</v>
      </c>
      <c r="AE42" s="8"/>
      <c r="AF42" s="8"/>
      <c r="AG42" s="9">
        <v>0.8</v>
      </c>
      <c r="AH42" s="8"/>
      <c r="AI42" s="8"/>
      <c r="AJ42" s="9">
        <v>0.8</v>
      </c>
      <c r="AK42" s="8"/>
      <c r="AL42" s="8"/>
      <c r="AM42" s="9">
        <v>0.8</v>
      </c>
      <c r="AN42" s="9">
        <v>0.8</v>
      </c>
      <c r="AO42" s="10">
        <f>6/6</f>
        <v>1</v>
      </c>
      <c r="AP42" s="10">
        <f>AQ42+AR42+AS42+AT42</f>
        <v>1</v>
      </c>
      <c r="AQ42" s="49">
        <v>0.25</v>
      </c>
      <c r="AR42" s="48">
        <v>0.25</v>
      </c>
      <c r="AS42" s="48">
        <v>0.25</v>
      </c>
      <c r="AT42" s="48">
        <v>0.25</v>
      </c>
      <c r="AU42" s="10">
        <f>12/12</f>
        <v>1</v>
      </c>
      <c r="AV42" s="9">
        <f>(AW42+AX42+AY42+AZ42)</f>
        <v>1</v>
      </c>
      <c r="AW42" s="9">
        <v>0.25</v>
      </c>
      <c r="AX42" s="9">
        <v>0.25</v>
      </c>
      <c r="AY42" s="9">
        <v>0.25</v>
      </c>
      <c r="AZ42" s="9">
        <v>0.25</v>
      </c>
      <c r="BA42" s="10"/>
      <c r="BB42" s="48"/>
      <c r="BC42" s="49"/>
      <c r="BD42" s="48"/>
      <c r="BE42" s="48"/>
      <c r="BF42" s="48"/>
      <c r="BG42" s="8"/>
      <c r="BH42" s="8"/>
      <c r="BI42" s="8"/>
      <c r="BJ42" s="8"/>
      <c r="BK42" s="8"/>
      <c r="BL42" s="8"/>
      <c r="BM42" s="10">
        <f>6/6</f>
        <v>1</v>
      </c>
      <c r="BN42" s="10">
        <f t="shared" si="10"/>
        <v>0.75</v>
      </c>
      <c r="BO42" s="9">
        <v>0.25</v>
      </c>
      <c r="BP42" s="9">
        <v>0.25</v>
      </c>
      <c r="BQ42" s="9">
        <v>0</v>
      </c>
      <c r="BR42" s="9">
        <v>0.25</v>
      </c>
      <c r="BS42" s="10">
        <f>12/12</f>
        <v>1</v>
      </c>
      <c r="BT42" s="10">
        <f>(BU42+BV42+BW42+BX42)</f>
        <v>1</v>
      </c>
      <c r="BU42" s="59">
        <v>0.25</v>
      </c>
      <c r="BV42" s="59">
        <v>0.25</v>
      </c>
      <c r="BW42" s="59">
        <v>0.25</v>
      </c>
      <c r="BX42" s="59">
        <v>0.25</v>
      </c>
      <c r="BY42" s="10">
        <v>0</v>
      </c>
      <c r="BZ42" s="10">
        <v>0</v>
      </c>
      <c r="CA42" s="9">
        <v>0</v>
      </c>
      <c r="CB42" s="9">
        <v>0</v>
      </c>
      <c r="CC42" s="9">
        <v>0</v>
      </c>
      <c r="CD42" s="42">
        <v>0</v>
      </c>
      <c r="CE42" s="8"/>
      <c r="CG42" s="8"/>
      <c r="CH42" s="8"/>
      <c r="CI42" s="8"/>
      <c r="CJ42" s="8"/>
      <c r="CK42" s="10">
        <f>(BM42+BS42+BY42)/3</f>
        <v>0.66666666666666663</v>
      </c>
      <c r="CL42" s="9">
        <f>+CK42/AJ42</f>
        <v>0.83333333333333326</v>
      </c>
    </row>
    <row r="43" spans="1:90" ht="78" customHeight="1" x14ac:dyDescent="0.25">
      <c r="A43" s="135"/>
      <c r="B43" s="135"/>
      <c r="C43" s="135"/>
      <c r="D43" s="135"/>
      <c r="E43" s="135"/>
      <c r="F43" s="167"/>
      <c r="G43" s="9"/>
      <c r="H43" s="29"/>
      <c r="I43" s="65" t="s">
        <v>178</v>
      </c>
      <c r="J43" s="11" t="s">
        <v>28</v>
      </c>
      <c r="K43" s="11" t="s">
        <v>177</v>
      </c>
      <c r="L43" s="11" t="s">
        <v>26</v>
      </c>
      <c r="M43" s="9">
        <v>1</v>
      </c>
      <c r="N43" s="12" t="s">
        <v>176</v>
      </c>
      <c r="O43" s="9">
        <v>1</v>
      </c>
      <c r="P43" s="44" t="s">
        <v>175</v>
      </c>
      <c r="Q43" s="11" t="s">
        <v>17</v>
      </c>
      <c r="R43" s="11" t="s">
        <v>17</v>
      </c>
      <c r="S43" s="17" t="s">
        <v>174</v>
      </c>
      <c r="T43" s="35" t="s">
        <v>34</v>
      </c>
      <c r="U43" s="17" t="s">
        <v>173</v>
      </c>
      <c r="V43" s="28" t="s">
        <v>32</v>
      </c>
      <c r="W43" s="11" t="s">
        <v>19</v>
      </c>
      <c r="X43" s="13" t="s">
        <v>18</v>
      </c>
      <c r="Y43" s="11" t="s">
        <v>17</v>
      </c>
      <c r="Z43" s="11" t="s">
        <v>17</v>
      </c>
      <c r="AA43" s="27" t="s">
        <v>41</v>
      </c>
      <c r="AB43" s="34"/>
      <c r="AC43" s="34"/>
      <c r="AD43" s="15">
        <v>1</v>
      </c>
      <c r="AE43" s="15"/>
      <c r="AF43" s="34"/>
      <c r="AG43" s="15">
        <v>1</v>
      </c>
      <c r="AH43" s="34"/>
      <c r="AI43" s="15"/>
      <c r="AJ43" s="15">
        <v>1</v>
      </c>
      <c r="AK43" s="34"/>
      <c r="AL43" s="34"/>
      <c r="AM43" s="15">
        <v>1</v>
      </c>
      <c r="AN43" s="15">
        <v>1</v>
      </c>
      <c r="AO43" s="38">
        <f>1142/1423</f>
        <v>0.80252986647926916</v>
      </c>
      <c r="AP43" s="9">
        <f>AQ43+AR43+AS43+AT43</f>
        <v>1</v>
      </c>
      <c r="AQ43" s="9">
        <v>0.25</v>
      </c>
      <c r="AR43" s="9">
        <v>0.25</v>
      </c>
      <c r="AS43" s="9">
        <v>0.25</v>
      </c>
      <c r="AT43" s="9">
        <v>0.25</v>
      </c>
      <c r="AU43" s="38">
        <f>376/376</f>
        <v>1</v>
      </c>
      <c r="AV43" s="9">
        <f>(AW43+AX43+AY43+AZ43)</f>
        <v>1</v>
      </c>
      <c r="AW43" s="9">
        <v>0.25</v>
      </c>
      <c r="AX43" s="9">
        <v>0.25</v>
      </c>
      <c r="AY43" s="9">
        <v>0.25</v>
      </c>
      <c r="AZ43" s="9">
        <v>0.25</v>
      </c>
      <c r="BA43" s="38">
        <f>469/589</f>
        <v>0.79626485568760608</v>
      </c>
      <c r="BB43" s="33">
        <f>BC43+BD43+BE43+BF43</f>
        <v>1</v>
      </c>
      <c r="BC43" s="59">
        <v>0.25</v>
      </c>
      <c r="BD43" s="59">
        <v>0.25</v>
      </c>
      <c r="BE43" s="59">
        <v>0.25</v>
      </c>
      <c r="BF43" s="59">
        <v>0.25</v>
      </c>
      <c r="BG43" s="8"/>
      <c r="BH43" s="8"/>
      <c r="BI43" s="8"/>
      <c r="BJ43" s="8"/>
      <c r="BK43" s="8"/>
      <c r="BL43" s="8"/>
      <c r="BM43" s="38">
        <f>1142/1423</f>
        <v>0.80252986647926916</v>
      </c>
      <c r="BN43" s="10">
        <f t="shared" si="10"/>
        <v>1</v>
      </c>
      <c r="BO43" s="9">
        <v>0.25</v>
      </c>
      <c r="BP43" s="9">
        <v>0.25</v>
      </c>
      <c r="BQ43" s="9">
        <v>0.25</v>
      </c>
      <c r="BR43" s="9">
        <v>0.25</v>
      </c>
      <c r="BS43" s="201">
        <f>376/376</f>
        <v>1</v>
      </c>
      <c r="BT43" s="10">
        <f>(BU43+BV43+BW43+BX43)</f>
        <v>1</v>
      </c>
      <c r="BU43" s="9">
        <v>0.25</v>
      </c>
      <c r="BV43" s="9">
        <v>0.25</v>
      </c>
      <c r="BW43" s="9">
        <v>0.25</v>
      </c>
      <c r="BX43" s="9">
        <v>0.25</v>
      </c>
      <c r="BY43" s="38">
        <f>469/589</f>
        <v>0.79626485568760608</v>
      </c>
      <c r="BZ43" s="10">
        <f>(CA43+CB43+CC43+CD43)</f>
        <v>1</v>
      </c>
      <c r="CA43" s="9">
        <v>0.25</v>
      </c>
      <c r="CB43" s="9">
        <v>0.25</v>
      </c>
      <c r="CC43" s="9">
        <v>0.25</v>
      </c>
      <c r="CD43" s="9">
        <v>0.25</v>
      </c>
      <c r="CE43" s="8"/>
      <c r="CF43" s="8"/>
      <c r="CG43" s="8"/>
      <c r="CH43" s="8"/>
      <c r="CI43" s="8"/>
      <c r="CJ43" s="8"/>
      <c r="CK43" s="38">
        <f>(BM43+BS43+BY43)/3</f>
        <v>0.86626490738895834</v>
      </c>
      <c r="CL43" s="64">
        <f>+CK43/AJ43</f>
        <v>0.86626490738895834</v>
      </c>
    </row>
    <row r="44" spans="1:90" ht="78" customHeight="1" x14ac:dyDescent="0.25">
      <c r="A44" s="135"/>
      <c r="B44" s="135"/>
      <c r="C44" s="135"/>
      <c r="D44" s="135"/>
      <c r="E44" s="135"/>
      <c r="F44" s="167"/>
      <c r="G44" s="8"/>
      <c r="H44" s="29"/>
      <c r="I44" s="159" t="s">
        <v>172</v>
      </c>
      <c r="J44" s="152" t="s">
        <v>28</v>
      </c>
      <c r="K44" s="11" t="s">
        <v>135</v>
      </c>
      <c r="L44" s="11" t="s">
        <v>26</v>
      </c>
      <c r="M44" s="146">
        <v>1</v>
      </c>
      <c r="N44" s="12" t="s">
        <v>171</v>
      </c>
      <c r="O44" s="37">
        <v>3.8399999999999997E-2</v>
      </c>
      <c r="P44" s="63" t="s">
        <v>170</v>
      </c>
      <c r="Q44" s="54">
        <v>3307500000</v>
      </c>
      <c r="R44" s="53" t="s">
        <v>128</v>
      </c>
      <c r="S44" s="17" t="s">
        <v>169</v>
      </c>
      <c r="T44" s="18" t="s">
        <v>34</v>
      </c>
      <c r="U44" s="17" t="s">
        <v>168</v>
      </c>
      <c r="V44" s="16" t="s">
        <v>32</v>
      </c>
      <c r="W44" s="16" t="s">
        <v>130</v>
      </c>
      <c r="X44" s="13" t="s">
        <v>18</v>
      </c>
      <c r="Y44" s="54">
        <v>3307500000</v>
      </c>
      <c r="Z44" s="53" t="s">
        <v>128</v>
      </c>
      <c r="AA44" s="13" t="s">
        <v>16</v>
      </c>
      <c r="AB44" s="34"/>
      <c r="AC44" s="34"/>
      <c r="AD44" s="26"/>
      <c r="AE44" s="26"/>
      <c r="AF44" s="26"/>
      <c r="AG44" s="26"/>
      <c r="AH44" s="26"/>
      <c r="AI44" s="26"/>
      <c r="AJ44" s="26"/>
      <c r="AK44" s="26"/>
      <c r="AL44" s="26"/>
      <c r="AM44" s="24">
        <v>1</v>
      </c>
      <c r="AN44" s="24">
        <v>1</v>
      </c>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205"/>
      <c r="BT44" s="8"/>
      <c r="BU44" s="8"/>
      <c r="BV44" s="8"/>
      <c r="BW44" s="8"/>
      <c r="BX44" s="8"/>
      <c r="BY44" s="205"/>
      <c r="BZ44" s="8"/>
      <c r="CA44" s="8"/>
      <c r="CB44" s="8"/>
      <c r="CC44" s="8"/>
      <c r="CD44" s="8"/>
      <c r="CE44" s="8"/>
      <c r="CF44" s="8"/>
      <c r="CG44" s="8"/>
      <c r="CH44" s="8"/>
      <c r="CI44" s="8"/>
      <c r="CJ44" s="8"/>
      <c r="CK44" s="11"/>
      <c r="CL44" s="9">
        <v>0</v>
      </c>
    </row>
    <row r="45" spans="1:90" ht="78" customHeight="1" x14ac:dyDescent="0.25">
      <c r="A45" s="135"/>
      <c r="B45" s="135"/>
      <c r="C45" s="135"/>
      <c r="D45" s="135"/>
      <c r="E45" s="135"/>
      <c r="F45" s="167"/>
      <c r="G45" s="8"/>
      <c r="H45" s="29"/>
      <c r="I45" s="167"/>
      <c r="J45" s="147"/>
      <c r="K45" s="11" t="s">
        <v>106</v>
      </c>
      <c r="L45" s="11" t="s">
        <v>26</v>
      </c>
      <c r="M45" s="153"/>
      <c r="N45" s="12" t="s">
        <v>118</v>
      </c>
      <c r="O45" s="37">
        <v>3.8399999999999997E-2</v>
      </c>
      <c r="P45" s="12" t="s">
        <v>167</v>
      </c>
      <c r="Q45" s="11" t="s">
        <v>17</v>
      </c>
      <c r="R45" s="11" t="s">
        <v>17</v>
      </c>
      <c r="S45" s="17" t="s">
        <v>166</v>
      </c>
      <c r="T45" s="18" t="s">
        <v>34</v>
      </c>
      <c r="U45" s="17" t="s">
        <v>165</v>
      </c>
      <c r="V45" s="16" t="s">
        <v>32</v>
      </c>
      <c r="W45" s="60" t="s">
        <v>101</v>
      </c>
      <c r="X45" s="13" t="s">
        <v>18</v>
      </c>
      <c r="Y45" s="13" t="s">
        <v>18</v>
      </c>
      <c r="Z45" s="13" t="s">
        <v>18</v>
      </c>
      <c r="AA45" s="13" t="s">
        <v>41</v>
      </c>
      <c r="AB45" s="34"/>
      <c r="AC45" s="34"/>
      <c r="AD45" s="15">
        <v>0.9</v>
      </c>
      <c r="AE45" s="26"/>
      <c r="AF45" s="26"/>
      <c r="AG45" s="15">
        <v>0.9</v>
      </c>
      <c r="AH45" s="26"/>
      <c r="AI45" s="26"/>
      <c r="AJ45" s="15">
        <v>0.9</v>
      </c>
      <c r="AK45" s="26"/>
      <c r="AL45" s="26"/>
      <c r="AM45" s="15">
        <v>0.9</v>
      </c>
      <c r="AN45" s="15">
        <v>0.9</v>
      </c>
      <c r="AO45" s="9">
        <f>46/50</f>
        <v>0.92</v>
      </c>
      <c r="AP45" s="9">
        <f>AQ45+AR45+AS45+AT45</f>
        <v>1</v>
      </c>
      <c r="AQ45" s="9">
        <v>0.25</v>
      </c>
      <c r="AR45" s="9">
        <v>0.25</v>
      </c>
      <c r="AS45" s="9">
        <v>0.25</v>
      </c>
      <c r="AT45" s="9">
        <v>0.25</v>
      </c>
      <c r="AU45" s="62">
        <f>21/25</f>
        <v>0.84</v>
      </c>
      <c r="AV45" s="9">
        <f>(AW45+AX45+AY45+AZ45)</f>
        <v>1</v>
      </c>
      <c r="AW45" s="10">
        <v>0.25</v>
      </c>
      <c r="AX45" s="10">
        <v>0.25</v>
      </c>
      <c r="AY45" s="10">
        <v>0.25</v>
      </c>
      <c r="AZ45" s="10">
        <v>0.25</v>
      </c>
      <c r="BA45" s="61">
        <f>65/70</f>
        <v>0.9285714285714286</v>
      </c>
      <c r="BB45" s="33">
        <f>BC45+BD45+BE45+BF45</f>
        <v>1</v>
      </c>
      <c r="BC45" s="59">
        <v>0.25</v>
      </c>
      <c r="BD45" s="59">
        <v>0.25</v>
      </c>
      <c r="BE45" s="59">
        <v>0.25</v>
      </c>
      <c r="BF45" s="59">
        <v>0.25</v>
      </c>
      <c r="BG45" s="8"/>
      <c r="BH45" s="8"/>
      <c r="BI45" s="8"/>
      <c r="BJ45" s="8"/>
      <c r="BK45" s="8"/>
      <c r="BL45" s="8"/>
      <c r="BM45" s="9">
        <f>46/50</f>
        <v>0.92</v>
      </c>
      <c r="BN45" s="9">
        <f>BO45+BP45+BQ45+BR45</f>
        <v>1</v>
      </c>
      <c r="BO45" s="9">
        <v>0.25</v>
      </c>
      <c r="BP45" s="9">
        <v>0.25</v>
      </c>
      <c r="BQ45" s="9">
        <v>0.25</v>
      </c>
      <c r="BR45" s="9">
        <v>0.25</v>
      </c>
      <c r="BS45" s="10">
        <f>21/25</f>
        <v>0.84</v>
      </c>
      <c r="BT45" s="59">
        <f>(BU45+BV45+BW45+BX45)</f>
        <v>1</v>
      </c>
      <c r="BU45" s="9">
        <v>0.25</v>
      </c>
      <c r="BV45" s="9">
        <v>0.25</v>
      </c>
      <c r="BW45" s="9">
        <v>0.25</v>
      </c>
      <c r="BX45" s="9">
        <v>0.25</v>
      </c>
      <c r="BY45" s="38">
        <f>65/70</f>
        <v>0.9285714285714286</v>
      </c>
      <c r="BZ45" s="10">
        <f>(CA45+CB45+CC45+CD45)</f>
        <v>1</v>
      </c>
      <c r="CA45" s="9">
        <v>0.25</v>
      </c>
      <c r="CB45" s="9">
        <v>0.25</v>
      </c>
      <c r="CC45" s="9">
        <v>0.25</v>
      </c>
      <c r="CD45" s="9">
        <v>0.25</v>
      </c>
      <c r="CE45" s="8"/>
      <c r="CF45" s="8"/>
      <c r="CG45" s="8"/>
      <c r="CH45" s="8"/>
      <c r="CI45" s="8"/>
      <c r="CJ45" s="8"/>
      <c r="CK45" s="38">
        <f>(BM45+BS45+BY45)/3</f>
        <v>0.8961904761904762</v>
      </c>
      <c r="CL45" s="9">
        <f>+CK45/AJ45</f>
        <v>0.99576719576719575</v>
      </c>
    </row>
    <row r="46" spans="1:90" ht="78" customHeight="1" x14ac:dyDescent="0.25">
      <c r="A46" s="135"/>
      <c r="B46" s="135"/>
      <c r="C46" s="135"/>
      <c r="D46" s="135"/>
      <c r="E46" s="135"/>
      <c r="F46" s="167"/>
      <c r="G46" s="8"/>
      <c r="H46" s="29"/>
      <c r="I46" s="167"/>
      <c r="J46" s="147"/>
      <c r="K46" s="11" t="s">
        <v>96</v>
      </c>
      <c r="L46" s="11" t="s">
        <v>26</v>
      </c>
      <c r="M46" s="153"/>
      <c r="N46" s="17" t="s">
        <v>164</v>
      </c>
      <c r="O46" s="37">
        <v>3.8399999999999997E-2</v>
      </c>
      <c r="P46" s="36" t="s">
        <v>163</v>
      </c>
      <c r="Q46" s="11" t="s">
        <v>17</v>
      </c>
      <c r="R46" s="11" t="s">
        <v>17</v>
      </c>
      <c r="S46" s="17" t="s">
        <v>162</v>
      </c>
      <c r="T46" s="18" t="s">
        <v>22</v>
      </c>
      <c r="U46" s="17" t="s">
        <v>161</v>
      </c>
      <c r="V46" s="28" t="s">
        <v>20</v>
      </c>
      <c r="W46" s="60" t="s">
        <v>160</v>
      </c>
      <c r="X46" s="13" t="s">
        <v>18</v>
      </c>
      <c r="Y46" s="11" t="s">
        <v>17</v>
      </c>
      <c r="Z46" s="11" t="s">
        <v>17</v>
      </c>
      <c r="AA46" s="27" t="s">
        <v>16</v>
      </c>
      <c r="AB46" s="34"/>
      <c r="AC46" s="34"/>
      <c r="AD46" s="15"/>
      <c r="AE46" s="15"/>
      <c r="AF46" s="34"/>
      <c r="AG46" s="15"/>
      <c r="AH46" s="34"/>
      <c r="AI46" s="26">
        <v>1</v>
      </c>
      <c r="AJ46" s="15"/>
      <c r="AK46" s="34"/>
      <c r="AL46" s="34"/>
      <c r="AM46" s="15"/>
      <c r="AN46" s="26">
        <v>1</v>
      </c>
      <c r="AO46" s="8"/>
      <c r="AP46" s="8"/>
      <c r="AQ46" s="8"/>
      <c r="AR46" s="8"/>
      <c r="AS46" s="8"/>
      <c r="AT46" s="8"/>
      <c r="AU46" s="8"/>
      <c r="AV46" s="8"/>
      <c r="AW46" s="8"/>
      <c r="AX46" s="8"/>
      <c r="AY46" s="8"/>
      <c r="AZ46" s="8"/>
      <c r="BA46" s="42">
        <f>1/1</f>
        <v>1</v>
      </c>
      <c r="BB46" s="33">
        <f>BC46+BD46+BE46+BF46</f>
        <v>1</v>
      </c>
      <c r="BC46" s="59">
        <v>0.25</v>
      </c>
      <c r="BD46" s="59">
        <v>0.25</v>
      </c>
      <c r="BE46" s="59">
        <v>0.25</v>
      </c>
      <c r="BF46" s="59">
        <v>0.25</v>
      </c>
      <c r="BG46" s="8"/>
      <c r="BH46" s="8"/>
      <c r="BI46" s="8"/>
      <c r="BJ46" s="8"/>
      <c r="BK46" s="8"/>
      <c r="BL46" s="8"/>
      <c r="BM46" s="8"/>
      <c r="BN46" s="8"/>
      <c r="BO46" s="8"/>
      <c r="BP46" s="8"/>
      <c r="BQ46" s="8"/>
      <c r="BR46" s="8"/>
      <c r="BS46" s="205"/>
      <c r="BT46" s="8"/>
      <c r="BU46" s="8"/>
      <c r="BV46" s="8"/>
      <c r="BW46" s="8"/>
      <c r="BX46" s="8"/>
      <c r="BY46" s="10">
        <f>1/1</f>
        <v>1</v>
      </c>
      <c r="BZ46" s="10">
        <f>(CA46+CB46+CC46+CD46)</f>
        <v>1</v>
      </c>
      <c r="CA46" s="9">
        <v>0.25</v>
      </c>
      <c r="CB46" s="9">
        <v>0.25</v>
      </c>
      <c r="CC46" s="9">
        <v>0.25</v>
      </c>
      <c r="CD46" s="9">
        <v>0.25</v>
      </c>
      <c r="CE46" s="8"/>
      <c r="CF46" s="8"/>
      <c r="CG46" s="8"/>
      <c r="CH46" s="8"/>
      <c r="CI46" s="8"/>
      <c r="CJ46" s="8"/>
      <c r="CK46" s="10">
        <f>(BY46)/1</f>
        <v>1</v>
      </c>
      <c r="CL46" s="9">
        <f>+CK46/AI46</f>
        <v>1</v>
      </c>
    </row>
    <row r="47" spans="1:90" ht="78" customHeight="1" x14ac:dyDescent="0.25">
      <c r="A47" s="135"/>
      <c r="B47" s="135"/>
      <c r="C47" s="135"/>
      <c r="D47" s="135"/>
      <c r="E47" s="135"/>
      <c r="F47" s="167"/>
      <c r="G47" s="8"/>
      <c r="H47" s="29"/>
      <c r="I47" s="167"/>
      <c r="J47" s="147"/>
      <c r="K47" s="11" t="s">
        <v>54</v>
      </c>
      <c r="L47" s="11" t="s">
        <v>26</v>
      </c>
      <c r="M47" s="153"/>
      <c r="N47" s="17" t="s">
        <v>159</v>
      </c>
      <c r="O47" s="37">
        <v>3.8399999999999997E-2</v>
      </c>
      <c r="P47" s="41" t="s">
        <v>158</v>
      </c>
      <c r="Q47" s="11" t="s">
        <v>17</v>
      </c>
      <c r="R47" s="11" t="s">
        <v>17</v>
      </c>
      <c r="S47" s="17" t="s">
        <v>157</v>
      </c>
      <c r="T47" s="35" t="s">
        <v>34</v>
      </c>
      <c r="U47" s="17" t="s">
        <v>156</v>
      </c>
      <c r="V47" s="16" t="s">
        <v>32</v>
      </c>
      <c r="W47" s="11" t="s">
        <v>49</v>
      </c>
      <c r="X47" s="13" t="s">
        <v>18</v>
      </c>
      <c r="Y47" s="11" t="s">
        <v>17</v>
      </c>
      <c r="Z47" s="11" t="s">
        <v>17</v>
      </c>
      <c r="AA47" s="27" t="s">
        <v>16</v>
      </c>
      <c r="AB47" s="11"/>
      <c r="AC47" s="11"/>
      <c r="AD47" s="9"/>
      <c r="AE47" s="11"/>
      <c r="AF47" s="11"/>
      <c r="AG47" s="9"/>
      <c r="AH47" s="11"/>
      <c r="AI47" s="11"/>
      <c r="AJ47" s="9"/>
      <c r="AK47" s="11"/>
      <c r="AL47" s="11"/>
      <c r="AM47" s="9">
        <v>0.8</v>
      </c>
      <c r="AN47" s="9">
        <v>0.8</v>
      </c>
      <c r="AO47" s="10"/>
      <c r="AP47" s="48"/>
      <c r="AQ47" s="49"/>
      <c r="AR47" s="48"/>
      <c r="AS47" s="48"/>
      <c r="AT47" s="48"/>
      <c r="AU47" s="38"/>
      <c r="AV47" s="48"/>
      <c r="AW47" s="49"/>
      <c r="AX47" s="48"/>
      <c r="AY47" s="48"/>
      <c r="AZ47" s="48"/>
      <c r="BA47" s="10"/>
      <c r="BB47" s="48"/>
      <c r="BC47" s="49"/>
      <c r="BD47" s="48"/>
      <c r="BE47" s="48"/>
      <c r="BF47" s="48"/>
      <c r="BG47" s="8"/>
      <c r="BH47" s="8"/>
      <c r="BI47" s="8"/>
      <c r="BJ47" s="8"/>
      <c r="BK47" s="8"/>
      <c r="BL47" s="8"/>
      <c r="BM47" s="48"/>
      <c r="BN47" s="10"/>
      <c r="BO47" s="9"/>
      <c r="BP47" s="9"/>
      <c r="BQ47" s="9"/>
      <c r="BR47" s="9"/>
      <c r="BS47" s="207"/>
      <c r="BT47" s="10"/>
      <c r="BU47" s="9"/>
      <c r="BV47" s="9"/>
      <c r="BW47" s="9"/>
      <c r="BX47" s="9"/>
      <c r="BY47" s="207"/>
      <c r="BZ47" s="10"/>
      <c r="CA47" s="9"/>
      <c r="CB47" s="9"/>
      <c r="CC47" s="9"/>
      <c r="CD47" s="9"/>
      <c r="CE47" s="8"/>
      <c r="CF47" s="8"/>
      <c r="CG47" s="8"/>
      <c r="CH47" s="8"/>
      <c r="CI47" s="8"/>
      <c r="CJ47" s="8"/>
      <c r="CK47" s="37"/>
      <c r="CL47" s="9">
        <v>0</v>
      </c>
    </row>
    <row r="48" spans="1:90" ht="78" customHeight="1" x14ac:dyDescent="0.25">
      <c r="A48" s="135"/>
      <c r="B48" s="135"/>
      <c r="C48" s="135"/>
      <c r="D48" s="135"/>
      <c r="E48" s="135"/>
      <c r="F48" s="167"/>
      <c r="G48" s="8"/>
      <c r="H48" s="29"/>
      <c r="I48" s="167"/>
      <c r="J48" s="147"/>
      <c r="K48" s="11" t="s">
        <v>54</v>
      </c>
      <c r="L48" s="11" t="s">
        <v>26</v>
      </c>
      <c r="M48" s="153"/>
      <c r="N48" s="17" t="s">
        <v>155</v>
      </c>
      <c r="O48" s="37">
        <v>3.8399999999999997E-2</v>
      </c>
      <c r="P48" s="41" t="s">
        <v>154</v>
      </c>
      <c r="Q48" s="11" t="s">
        <v>17</v>
      </c>
      <c r="R48" s="11" t="s">
        <v>17</v>
      </c>
      <c r="S48" s="17" t="s">
        <v>153</v>
      </c>
      <c r="T48" s="35" t="s">
        <v>34</v>
      </c>
      <c r="U48" s="17" t="s">
        <v>152</v>
      </c>
      <c r="V48" s="16" t="s">
        <v>32</v>
      </c>
      <c r="W48" s="11" t="s">
        <v>49</v>
      </c>
      <c r="X48" s="13" t="s">
        <v>18</v>
      </c>
      <c r="Y48" s="11" t="s">
        <v>17</v>
      </c>
      <c r="Z48" s="11" t="s">
        <v>17</v>
      </c>
      <c r="AA48" s="11" t="s">
        <v>16</v>
      </c>
      <c r="AB48" s="8"/>
      <c r="AC48" s="11"/>
      <c r="AD48" s="9"/>
      <c r="AE48" s="11"/>
      <c r="AF48" s="11"/>
      <c r="AG48" s="9"/>
      <c r="AH48" s="11"/>
      <c r="AI48" s="11"/>
      <c r="AJ48" s="9"/>
      <c r="AK48" s="11"/>
      <c r="AL48" s="11"/>
      <c r="AM48" s="9">
        <v>0.8</v>
      </c>
      <c r="AN48" s="9">
        <v>0.8</v>
      </c>
      <c r="AO48" s="42"/>
      <c r="AP48" s="39"/>
      <c r="AQ48" s="39"/>
      <c r="AR48" s="39"/>
      <c r="AS48" s="39"/>
      <c r="AT48" s="39"/>
      <c r="AU48" s="25"/>
      <c r="AV48" s="48"/>
      <c r="AW48" s="48"/>
      <c r="AX48" s="48"/>
      <c r="AY48" s="48"/>
      <c r="AZ48" s="48"/>
      <c r="BA48" s="25"/>
      <c r="BB48" s="48"/>
      <c r="BC48" s="49"/>
      <c r="BD48" s="48"/>
      <c r="BE48" s="48"/>
      <c r="BF48" s="48"/>
      <c r="BG48" s="8"/>
      <c r="BH48" s="8"/>
      <c r="BI48" s="8"/>
      <c r="BJ48" s="8"/>
      <c r="BK48" s="8"/>
      <c r="BL48" s="8"/>
      <c r="BM48" s="10"/>
      <c r="BN48" s="10"/>
      <c r="BO48" s="48"/>
      <c r="BP48" s="48"/>
      <c r="BQ48" s="48"/>
      <c r="BR48" s="48"/>
      <c r="BS48" s="10"/>
      <c r="BT48" s="10"/>
      <c r="BU48" s="9"/>
      <c r="BV48" s="9"/>
      <c r="BW48" s="9"/>
      <c r="BX48" s="9"/>
      <c r="BY48" s="201"/>
      <c r="BZ48" s="10"/>
      <c r="CA48" s="9"/>
      <c r="CB48" s="9"/>
      <c r="CC48" s="9"/>
      <c r="CD48" s="9"/>
      <c r="CE48" s="8"/>
      <c r="CF48" s="8"/>
      <c r="CG48" s="8"/>
      <c r="CH48" s="8"/>
      <c r="CI48" s="8"/>
      <c r="CJ48" s="8"/>
      <c r="CK48" s="10"/>
      <c r="CL48" s="9">
        <v>0</v>
      </c>
    </row>
    <row r="49" spans="1:90" ht="78" customHeight="1" x14ac:dyDescent="0.25">
      <c r="A49" s="135"/>
      <c r="B49" s="135"/>
      <c r="C49" s="135"/>
      <c r="D49" s="135"/>
      <c r="E49" s="135"/>
      <c r="F49" s="167"/>
      <c r="G49" s="8"/>
      <c r="H49" s="29"/>
      <c r="I49" s="167"/>
      <c r="J49" s="147"/>
      <c r="K49" s="11" t="s">
        <v>151</v>
      </c>
      <c r="L49" s="11" t="s">
        <v>26</v>
      </c>
      <c r="M49" s="153"/>
      <c r="N49" s="17" t="s">
        <v>150</v>
      </c>
      <c r="O49" s="37">
        <v>3.8399999999999997E-2</v>
      </c>
      <c r="P49" s="41" t="s">
        <v>149</v>
      </c>
      <c r="Q49" s="11" t="s">
        <v>17</v>
      </c>
      <c r="R49" s="11" t="s">
        <v>17</v>
      </c>
      <c r="S49" s="8" t="s">
        <v>148</v>
      </c>
      <c r="T49" s="35" t="s">
        <v>34</v>
      </c>
      <c r="U49" s="8" t="s">
        <v>147</v>
      </c>
      <c r="V49" s="28" t="s">
        <v>32</v>
      </c>
      <c r="W49" s="58" t="s">
        <v>146</v>
      </c>
      <c r="X49" s="13" t="s">
        <v>18</v>
      </c>
      <c r="Y49" s="11" t="s">
        <v>17</v>
      </c>
      <c r="Z49" s="11" t="s">
        <v>17</v>
      </c>
      <c r="AA49" s="11" t="s">
        <v>30</v>
      </c>
      <c r="AB49" s="8"/>
      <c r="AC49" s="8"/>
      <c r="AD49" s="9"/>
      <c r="AE49" s="8"/>
      <c r="AF49" s="8"/>
      <c r="AG49" s="9">
        <v>1</v>
      </c>
      <c r="AH49" s="8"/>
      <c r="AI49" s="8"/>
      <c r="AJ49" s="9"/>
      <c r="AK49" s="8"/>
      <c r="AL49" s="8"/>
      <c r="AM49" s="9">
        <v>1</v>
      </c>
      <c r="AN49" s="9">
        <v>1</v>
      </c>
      <c r="AO49" s="8"/>
      <c r="AP49" s="8"/>
      <c r="AQ49" s="8"/>
      <c r="AR49" s="8"/>
      <c r="AS49" s="8"/>
      <c r="AT49" s="8"/>
      <c r="AU49" s="9">
        <f>3/3</f>
        <v>1</v>
      </c>
      <c r="AV49" s="9">
        <f t="shared" ref="AV49:AV58" si="11">(AW49+AX49+AY49+AZ49)</f>
        <v>1</v>
      </c>
      <c r="AW49" s="9">
        <v>0.25</v>
      </c>
      <c r="AX49" s="9">
        <v>0.25</v>
      </c>
      <c r="AY49" s="9">
        <v>0.25</v>
      </c>
      <c r="AZ49" s="9">
        <v>0.25</v>
      </c>
      <c r="BA49" s="8"/>
      <c r="BB49" s="8"/>
      <c r="BC49" s="8"/>
      <c r="BD49" s="8"/>
      <c r="BE49" s="8"/>
      <c r="BF49" s="8"/>
      <c r="BG49" s="8"/>
      <c r="BH49" s="8"/>
      <c r="BI49" s="8"/>
      <c r="BJ49" s="8"/>
      <c r="BK49" s="8"/>
      <c r="BL49" s="8"/>
      <c r="BM49" s="8"/>
      <c r="BN49" s="8"/>
      <c r="BO49" s="8"/>
      <c r="BP49" s="8"/>
      <c r="BQ49" s="8"/>
      <c r="BR49" s="8"/>
      <c r="BS49" s="10">
        <f>3/3</f>
        <v>1</v>
      </c>
      <c r="BT49" s="10">
        <f t="shared" ref="BT49:BT58" si="12">(BU49+BV49+BW49+BX49)</f>
        <v>1</v>
      </c>
      <c r="BU49" s="9">
        <v>0.25</v>
      </c>
      <c r="BV49" s="9">
        <v>0.25</v>
      </c>
      <c r="BW49" s="9">
        <v>0.25</v>
      </c>
      <c r="BX49" s="9">
        <v>0.25</v>
      </c>
      <c r="BY49" s="200"/>
      <c r="BZ49" s="8"/>
      <c r="CA49" s="8"/>
      <c r="CB49" s="8"/>
      <c r="CC49" s="8"/>
      <c r="CD49" s="8"/>
      <c r="CE49" s="8"/>
      <c r="CF49" s="8"/>
      <c r="CG49" s="8"/>
      <c r="CH49" s="8"/>
      <c r="CI49" s="8"/>
      <c r="CJ49" s="8"/>
      <c r="CK49" s="10">
        <f>BS49</f>
        <v>1</v>
      </c>
      <c r="CL49" s="9">
        <f>+CK49/AG49</f>
        <v>1</v>
      </c>
    </row>
    <row r="50" spans="1:90" ht="78" customHeight="1" x14ac:dyDescent="0.25">
      <c r="A50" s="135"/>
      <c r="B50" s="135"/>
      <c r="C50" s="135"/>
      <c r="D50" s="135"/>
      <c r="E50" s="135"/>
      <c r="F50" s="167"/>
      <c r="G50" s="8"/>
      <c r="H50" s="29"/>
      <c r="I50" s="167"/>
      <c r="J50" s="147"/>
      <c r="K50" s="11" t="s">
        <v>54</v>
      </c>
      <c r="L50" s="11" t="s">
        <v>26</v>
      </c>
      <c r="M50" s="153"/>
      <c r="N50" s="12" t="s">
        <v>145</v>
      </c>
      <c r="O50" s="37">
        <v>3.8399999999999997E-2</v>
      </c>
      <c r="P50" s="8" t="s">
        <v>144</v>
      </c>
      <c r="Q50" s="11" t="s">
        <v>17</v>
      </c>
      <c r="R50" s="11" t="s">
        <v>17</v>
      </c>
      <c r="S50" s="8" t="s">
        <v>143</v>
      </c>
      <c r="T50" s="11" t="s">
        <v>34</v>
      </c>
      <c r="U50" s="12" t="s">
        <v>142</v>
      </c>
      <c r="V50" s="11" t="s">
        <v>32</v>
      </c>
      <c r="W50" s="11" t="s">
        <v>49</v>
      </c>
      <c r="X50" s="20" t="s">
        <v>141</v>
      </c>
      <c r="Y50" s="11" t="s">
        <v>17</v>
      </c>
      <c r="Z50" s="11" t="s">
        <v>17</v>
      </c>
      <c r="AA50" s="11" t="s">
        <v>41</v>
      </c>
      <c r="AB50" s="57"/>
      <c r="AC50" s="8"/>
      <c r="AD50" s="33">
        <v>0.2</v>
      </c>
      <c r="AE50" s="27"/>
      <c r="AF50" s="27"/>
      <c r="AG50" s="33">
        <v>0.2</v>
      </c>
      <c r="AH50" s="27"/>
      <c r="AI50" s="27"/>
      <c r="AJ50" s="33">
        <v>0.2</v>
      </c>
      <c r="AK50" s="27"/>
      <c r="AL50" s="27"/>
      <c r="AM50" s="33">
        <v>0.25</v>
      </c>
      <c r="AN50" s="33">
        <f>AD50+AG50+AJ50+AM50</f>
        <v>0.85000000000000009</v>
      </c>
      <c r="AO50" s="10">
        <v>0</v>
      </c>
      <c r="AP50" s="10">
        <f>AQ50+AR50+AS50+AT50</f>
        <v>0.75</v>
      </c>
      <c r="AQ50" s="9">
        <v>0.25</v>
      </c>
      <c r="AR50" s="9">
        <v>0.25</v>
      </c>
      <c r="AS50" s="9">
        <v>0</v>
      </c>
      <c r="AT50" s="9">
        <v>0.25</v>
      </c>
      <c r="AU50" s="25">
        <v>1</v>
      </c>
      <c r="AV50" s="9">
        <f t="shared" si="11"/>
        <v>1</v>
      </c>
      <c r="AW50" s="9">
        <v>0.25</v>
      </c>
      <c r="AX50" s="9">
        <v>0.25</v>
      </c>
      <c r="AY50" s="9">
        <v>0.25</v>
      </c>
      <c r="AZ50" s="9">
        <v>0.25</v>
      </c>
      <c r="BA50" s="25"/>
      <c r="BB50" s="48"/>
      <c r="BC50" s="49"/>
      <c r="BD50" s="48"/>
      <c r="BE50" s="48"/>
      <c r="BF50" s="48"/>
      <c r="BG50" s="8"/>
      <c r="BH50" s="8"/>
      <c r="BI50" s="8"/>
      <c r="BJ50" s="8"/>
      <c r="BK50" s="8"/>
      <c r="BL50" s="8"/>
      <c r="BM50" s="10">
        <v>0</v>
      </c>
      <c r="BN50" s="10">
        <f>BO50+BP50+BQ50+BR50</f>
        <v>0.75</v>
      </c>
      <c r="BO50" s="9">
        <v>0.25</v>
      </c>
      <c r="BP50" s="9">
        <v>0.25</v>
      </c>
      <c r="BQ50" s="9">
        <v>0</v>
      </c>
      <c r="BR50" s="9">
        <v>0.25</v>
      </c>
      <c r="BS50" s="10">
        <v>1</v>
      </c>
      <c r="BT50" s="10">
        <f t="shared" si="12"/>
        <v>1</v>
      </c>
      <c r="BU50" s="9">
        <v>0.25</v>
      </c>
      <c r="BV50" s="9">
        <v>0.25</v>
      </c>
      <c r="BW50" s="9">
        <v>0.25</v>
      </c>
      <c r="BX50" s="9">
        <v>0.25</v>
      </c>
      <c r="BY50" s="10">
        <v>0</v>
      </c>
      <c r="BZ50" s="10">
        <v>0</v>
      </c>
      <c r="CA50" s="9">
        <v>0</v>
      </c>
      <c r="CB50" s="9">
        <v>0</v>
      </c>
      <c r="CC50" s="9">
        <v>0</v>
      </c>
      <c r="CD50" s="9">
        <v>0</v>
      </c>
      <c r="CE50" s="8"/>
      <c r="CF50" s="8"/>
      <c r="CG50" s="8"/>
      <c r="CH50" s="8"/>
      <c r="CI50" s="8"/>
      <c r="CJ50" s="8"/>
      <c r="CK50" s="10">
        <f>(BM50+BS50+BY50)/3</f>
        <v>0.33333333333333331</v>
      </c>
      <c r="CL50" s="9">
        <f>+CK50/85%</f>
        <v>0.39215686274509803</v>
      </c>
    </row>
    <row r="51" spans="1:90" ht="78" customHeight="1" x14ac:dyDescent="0.25">
      <c r="A51" s="135"/>
      <c r="B51" s="135"/>
      <c r="C51" s="135"/>
      <c r="D51" s="135"/>
      <c r="E51" s="135"/>
      <c r="F51" s="167"/>
      <c r="G51" s="8"/>
      <c r="H51" s="29"/>
      <c r="I51" s="167"/>
      <c r="J51" s="147"/>
      <c r="K51" s="11" t="s">
        <v>54</v>
      </c>
      <c r="L51" s="11" t="s">
        <v>26</v>
      </c>
      <c r="M51" s="153"/>
      <c r="N51" s="12" t="s">
        <v>140</v>
      </c>
      <c r="O51" s="37">
        <v>3.8399999999999997E-2</v>
      </c>
      <c r="P51" s="8" t="s">
        <v>139</v>
      </c>
      <c r="Q51" s="20" t="s">
        <v>17</v>
      </c>
      <c r="R51" s="20" t="s">
        <v>17</v>
      </c>
      <c r="S51" s="44" t="s">
        <v>138</v>
      </c>
      <c r="T51" s="11" t="s">
        <v>34</v>
      </c>
      <c r="U51" s="12" t="s">
        <v>137</v>
      </c>
      <c r="V51" s="11" t="s">
        <v>32</v>
      </c>
      <c r="W51" s="20" t="s">
        <v>49</v>
      </c>
      <c r="X51" s="20" t="s">
        <v>136</v>
      </c>
      <c r="Y51" s="20" t="s">
        <v>17</v>
      </c>
      <c r="Z51" s="20" t="s">
        <v>17</v>
      </c>
      <c r="AA51" s="11" t="s">
        <v>41</v>
      </c>
      <c r="AB51" s="56"/>
      <c r="AC51" s="56"/>
      <c r="AD51" s="33">
        <v>0.2</v>
      </c>
      <c r="AE51" s="27"/>
      <c r="AF51" s="27"/>
      <c r="AG51" s="33">
        <v>0.2</v>
      </c>
      <c r="AH51" s="27"/>
      <c r="AI51" s="27"/>
      <c r="AJ51" s="33">
        <v>0.2</v>
      </c>
      <c r="AK51" s="27"/>
      <c r="AL51" s="27"/>
      <c r="AM51" s="33">
        <v>0.25</v>
      </c>
      <c r="AN51" s="33">
        <f>AD51+AG51+AJ51+AM51</f>
        <v>0.85000000000000009</v>
      </c>
      <c r="AO51" s="10">
        <v>0</v>
      </c>
      <c r="AP51" s="10">
        <f>AQ51+AR51+AS51+AT51</f>
        <v>0.75</v>
      </c>
      <c r="AQ51" s="9">
        <v>0.25</v>
      </c>
      <c r="AR51" s="9">
        <v>0.25</v>
      </c>
      <c r="AS51" s="9">
        <v>0</v>
      </c>
      <c r="AT51" s="9">
        <v>0.25</v>
      </c>
      <c r="AU51" s="10">
        <f>1/1</f>
        <v>1</v>
      </c>
      <c r="AV51" s="9">
        <f t="shared" si="11"/>
        <v>1</v>
      </c>
      <c r="AW51" s="9">
        <v>0.25</v>
      </c>
      <c r="AX51" s="9">
        <v>0.25</v>
      </c>
      <c r="AY51" s="9">
        <v>0.25</v>
      </c>
      <c r="AZ51" s="9">
        <v>0.25</v>
      </c>
      <c r="BA51" s="10"/>
      <c r="BB51" s="48"/>
      <c r="BC51" s="49"/>
      <c r="BD51" s="48"/>
      <c r="BE51" s="48"/>
      <c r="BF51" s="48"/>
      <c r="BG51" s="8"/>
      <c r="BH51" s="8"/>
      <c r="BI51" s="8"/>
      <c r="BJ51" s="8"/>
      <c r="BK51" s="8"/>
      <c r="BL51" s="8"/>
      <c r="BM51" s="10">
        <v>0</v>
      </c>
      <c r="BN51" s="10">
        <f>BO51+BP51+BQ51+BR51</f>
        <v>0.75</v>
      </c>
      <c r="BO51" s="9">
        <v>0.25</v>
      </c>
      <c r="BP51" s="9">
        <v>0.25</v>
      </c>
      <c r="BQ51" s="9">
        <v>0</v>
      </c>
      <c r="BR51" s="9">
        <v>0.25</v>
      </c>
      <c r="BS51" s="10">
        <f>1/1</f>
        <v>1</v>
      </c>
      <c r="BT51" s="10">
        <f t="shared" si="12"/>
        <v>1</v>
      </c>
      <c r="BU51" s="9">
        <v>0.25</v>
      </c>
      <c r="BV51" s="9">
        <v>0.25</v>
      </c>
      <c r="BW51" s="9">
        <v>0.25</v>
      </c>
      <c r="BX51" s="9">
        <v>0.25</v>
      </c>
      <c r="BY51" s="10">
        <v>0</v>
      </c>
      <c r="BZ51" s="10">
        <v>0</v>
      </c>
      <c r="CA51" s="9">
        <v>0</v>
      </c>
      <c r="CB51" s="9">
        <v>0</v>
      </c>
      <c r="CC51" s="9">
        <v>0</v>
      </c>
      <c r="CD51" s="9">
        <v>0</v>
      </c>
      <c r="CE51" s="8"/>
      <c r="CF51" s="8"/>
      <c r="CG51" s="8"/>
      <c r="CH51" s="8"/>
      <c r="CI51" s="8"/>
      <c r="CJ51" s="8"/>
      <c r="CK51" s="10">
        <f>(BM51+BS51+BY51)/3</f>
        <v>0.33333333333333331</v>
      </c>
      <c r="CL51" s="9">
        <f>+CK51/85%</f>
        <v>0.39215686274509803</v>
      </c>
    </row>
    <row r="52" spans="1:90" ht="78" customHeight="1" x14ac:dyDescent="0.25">
      <c r="A52" s="135"/>
      <c r="B52" s="135"/>
      <c r="C52" s="135"/>
      <c r="D52" s="135"/>
      <c r="E52" s="135"/>
      <c r="F52" s="167"/>
      <c r="G52" s="8"/>
      <c r="H52" s="29"/>
      <c r="I52" s="167"/>
      <c r="J52" s="147"/>
      <c r="K52" s="11" t="s">
        <v>135</v>
      </c>
      <c r="L52" s="11" t="s">
        <v>26</v>
      </c>
      <c r="M52" s="153"/>
      <c r="N52" s="17" t="s">
        <v>134</v>
      </c>
      <c r="O52" s="37">
        <v>3.8399999999999997E-2</v>
      </c>
      <c r="P52" s="55" t="s">
        <v>133</v>
      </c>
      <c r="Q52" s="54">
        <v>3307500000</v>
      </c>
      <c r="R52" s="53" t="s">
        <v>128</v>
      </c>
      <c r="S52" s="17" t="s">
        <v>132</v>
      </c>
      <c r="T52" s="18" t="s">
        <v>22</v>
      </c>
      <c r="U52" s="17" t="s">
        <v>131</v>
      </c>
      <c r="V52" s="16" t="s">
        <v>20</v>
      </c>
      <c r="W52" s="16" t="s">
        <v>130</v>
      </c>
      <c r="X52" s="16" t="s">
        <v>129</v>
      </c>
      <c r="Y52" s="54">
        <v>3307500000</v>
      </c>
      <c r="Z52" s="53" t="s">
        <v>128</v>
      </c>
      <c r="AA52" s="27" t="s">
        <v>41</v>
      </c>
      <c r="AB52" s="34"/>
      <c r="AC52" s="34"/>
      <c r="AD52" s="13">
        <v>1</v>
      </c>
      <c r="AE52" s="15"/>
      <c r="AF52" s="34"/>
      <c r="AG52" s="13">
        <v>1</v>
      </c>
      <c r="AH52" s="34"/>
      <c r="AI52" s="15"/>
      <c r="AJ52" s="13">
        <v>1</v>
      </c>
      <c r="AK52" s="34"/>
      <c r="AL52" s="34"/>
      <c r="AM52" s="13">
        <v>1</v>
      </c>
      <c r="AN52" s="52">
        <v>4</v>
      </c>
      <c r="AO52" s="11">
        <v>1</v>
      </c>
      <c r="AP52" s="10">
        <f>AQ52+AR52+AS52+AT52</f>
        <v>1</v>
      </c>
      <c r="AQ52" s="9">
        <v>0.25</v>
      </c>
      <c r="AR52" s="9">
        <v>0.25</v>
      </c>
      <c r="AS52" s="9">
        <v>0.25</v>
      </c>
      <c r="AT52" s="9">
        <v>0.25</v>
      </c>
      <c r="AU52" s="11">
        <v>1</v>
      </c>
      <c r="AV52" s="9">
        <f t="shared" si="11"/>
        <v>1</v>
      </c>
      <c r="AW52" s="9">
        <v>0.25</v>
      </c>
      <c r="AX52" s="9">
        <v>0.25</v>
      </c>
      <c r="AY52" s="9">
        <v>0.25</v>
      </c>
      <c r="AZ52" s="9">
        <v>0.25</v>
      </c>
      <c r="BA52" s="11">
        <v>1</v>
      </c>
      <c r="BB52" s="9">
        <f>(BC52+BD52+BE52+BF52)</f>
        <v>1</v>
      </c>
      <c r="BC52" s="9">
        <v>0.25</v>
      </c>
      <c r="BD52" s="9">
        <v>0.25</v>
      </c>
      <c r="BE52" s="9">
        <v>0.25</v>
      </c>
      <c r="BF52" s="9">
        <v>0.25</v>
      </c>
      <c r="BG52" s="8"/>
      <c r="BH52" s="8"/>
      <c r="BI52" s="8"/>
      <c r="BJ52" s="8"/>
      <c r="BK52" s="8"/>
      <c r="BL52" s="8"/>
      <c r="BM52" s="11">
        <v>1</v>
      </c>
      <c r="BN52" s="10">
        <f>BO52+BP52+BQ52+BR52</f>
        <v>1</v>
      </c>
      <c r="BO52" s="9">
        <v>0.25</v>
      </c>
      <c r="BP52" s="9">
        <v>0.25</v>
      </c>
      <c r="BQ52" s="9">
        <v>0.25</v>
      </c>
      <c r="BR52" s="9">
        <v>0.25</v>
      </c>
      <c r="BS52" s="200">
        <v>1</v>
      </c>
      <c r="BT52" s="10">
        <f t="shared" si="12"/>
        <v>1</v>
      </c>
      <c r="BU52" s="9">
        <v>0.25</v>
      </c>
      <c r="BV52" s="9">
        <v>0.25</v>
      </c>
      <c r="BW52" s="9">
        <v>0.25</v>
      </c>
      <c r="BX52" s="9">
        <v>0.25</v>
      </c>
      <c r="BY52" s="200">
        <v>1</v>
      </c>
      <c r="BZ52" s="10">
        <f>(CA52+CB52+CC52+CD52)</f>
        <v>1</v>
      </c>
      <c r="CA52" s="9">
        <v>0.25</v>
      </c>
      <c r="CB52" s="9">
        <v>0.25</v>
      </c>
      <c r="CC52" s="9">
        <v>0.25</v>
      </c>
      <c r="CD52" s="9">
        <v>0.25</v>
      </c>
      <c r="CE52" s="8"/>
      <c r="CF52" s="8"/>
      <c r="CG52" s="8"/>
      <c r="CH52" s="8"/>
      <c r="CI52" s="8"/>
      <c r="CJ52" s="8"/>
      <c r="CK52" s="45">
        <f>BM52+BS52+BY52</f>
        <v>3</v>
      </c>
      <c r="CL52" s="9">
        <f>3/4</f>
        <v>0.75</v>
      </c>
    </row>
    <row r="53" spans="1:90" ht="78" customHeight="1" x14ac:dyDescent="0.25">
      <c r="A53" s="135"/>
      <c r="B53" s="135"/>
      <c r="C53" s="135"/>
      <c r="D53" s="135"/>
      <c r="E53" s="135"/>
      <c r="F53" s="167"/>
      <c r="G53" s="8"/>
      <c r="H53" s="29"/>
      <c r="I53" s="167"/>
      <c r="J53" s="147"/>
      <c r="K53" s="11" t="s">
        <v>54</v>
      </c>
      <c r="L53" s="11" t="s">
        <v>26</v>
      </c>
      <c r="M53" s="153"/>
      <c r="N53" s="12" t="s">
        <v>127</v>
      </c>
      <c r="O53" s="37">
        <v>3.8399999999999997E-2</v>
      </c>
      <c r="P53" s="36" t="s">
        <v>126</v>
      </c>
      <c r="Q53" s="11" t="s">
        <v>17</v>
      </c>
      <c r="R53" s="11" t="s">
        <v>17</v>
      </c>
      <c r="S53" s="51" t="s">
        <v>125</v>
      </c>
      <c r="T53" s="35" t="s">
        <v>34</v>
      </c>
      <c r="U53" s="12" t="s">
        <v>124</v>
      </c>
      <c r="V53" s="11" t="s">
        <v>32</v>
      </c>
      <c r="W53" s="11" t="s">
        <v>49</v>
      </c>
      <c r="X53" s="11" t="s">
        <v>123</v>
      </c>
      <c r="Y53" s="11" t="s">
        <v>17</v>
      </c>
      <c r="Z53" s="11" t="s">
        <v>17</v>
      </c>
      <c r="AA53" s="27" t="s">
        <v>41</v>
      </c>
      <c r="AB53" s="34"/>
      <c r="AC53" s="50"/>
      <c r="AD53" s="33">
        <v>0.85</v>
      </c>
      <c r="AE53" s="27"/>
      <c r="AF53" s="27"/>
      <c r="AG53" s="33">
        <v>0.85</v>
      </c>
      <c r="AH53" s="27"/>
      <c r="AI53" s="27"/>
      <c r="AJ53" s="33">
        <v>0.85</v>
      </c>
      <c r="AK53" s="27"/>
      <c r="AL53" s="27"/>
      <c r="AM53" s="33">
        <v>0.85</v>
      </c>
      <c r="AN53" s="33">
        <v>0.85</v>
      </c>
      <c r="AO53" s="10">
        <v>0</v>
      </c>
      <c r="AP53" s="10">
        <f>AQ53+AR53+AS53+AT53</f>
        <v>0.75</v>
      </c>
      <c r="AQ53" s="9">
        <v>0.25</v>
      </c>
      <c r="AR53" s="9">
        <v>0.25</v>
      </c>
      <c r="AS53" s="9">
        <v>0</v>
      </c>
      <c r="AT53" s="9">
        <v>0.25</v>
      </c>
      <c r="AU53" s="25">
        <f>1/1</f>
        <v>1</v>
      </c>
      <c r="AV53" s="9">
        <f t="shared" si="11"/>
        <v>1</v>
      </c>
      <c r="AW53" s="9">
        <v>0.25</v>
      </c>
      <c r="AX53" s="9">
        <v>0.25</v>
      </c>
      <c r="AY53" s="9">
        <v>0.25</v>
      </c>
      <c r="AZ53" s="9">
        <v>0.25</v>
      </c>
      <c r="BA53" s="25"/>
      <c r="BB53" s="48"/>
      <c r="BC53" s="49"/>
      <c r="BD53" s="48"/>
      <c r="BE53" s="48"/>
      <c r="BF53" s="48"/>
      <c r="BG53" s="8"/>
      <c r="BH53" s="8"/>
      <c r="BI53" s="8"/>
      <c r="BJ53" s="8"/>
      <c r="BK53" s="8"/>
      <c r="BL53" s="8"/>
      <c r="BM53" s="10">
        <v>0</v>
      </c>
      <c r="BN53" s="10">
        <f>BO53+BP53+BQ53+BR53</f>
        <v>0.75</v>
      </c>
      <c r="BO53" s="9">
        <v>0.25</v>
      </c>
      <c r="BP53" s="9">
        <v>0.25</v>
      </c>
      <c r="BQ53" s="9">
        <v>0</v>
      </c>
      <c r="BR53" s="9">
        <v>0.25</v>
      </c>
      <c r="BS53" s="10">
        <f>1/1</f>
        <v>1</v>
      </c>
      <c r="BT53" s="10">
        <f t="shared" si="12"/>
        <v>1</v>
      </c>
      <c r="BU53" s="9">
        <v>0.25</v>
      </c>
      <c r="BV53" s="9">
        <v>0.25</v>
      </c>
      <c r="BW53" s="9">
        <v>0.25</v>
      </c>
      <c r="BX53" s="9">
        <v>0.25</v>
      </c>
      <c r="BY53" s="10">
        <v>0</v>
      </c>
      <c r="BZ53" s="10">
        <v>0</v>
      </c>
      <c r="CA53" s="9">
        <v>0</v>
      </c>
      <c r="CB53" s="9">
        <v>0</v>
      </c>
      <c r="CC53" s="9">
        <v>0</v>
      </c>
      <c r="CD53" s="9">
        <v>0</v>
      </c>
      <c r="CE53" s="8"/>
      <c r="CF53" s="8"/>
      <c r="CG53" s="8"/>
      <c r="CH53" s="8"/>
      <c r="CI53" s="8"/>
      <c r="CJ53" s="8"/>
      <c r="CK53" s="10">
        <f>(BM53+BS53+BY53)/3</f>
        <v>0.33333333333333331</v>
      </c>
      <c r="CL53" s="47">
        <f>+CK53/AJ53</f>
        <v>0.39215686274509803</v>
      </c>
    </row>
    <row r="54" spans="1:90" ht="78" customHeight="1" x14ac:dyDescent="0.25">
      <c r="A54" s="135"/>
      <c r="B54" s="135"/>
      <c r="C54" s="135"/>
      <c r="D54" s="135"/>
      <c r="E54" s="135"/>
      <c r="F54" s="167"/>
      <c r="G54" s="8"/>
      <c r="H54" s="29"/>
      <c r="I54" s="167"/>
      <c r="J54" s="147"/>
      <c r="K54" s="11" t="s">
        <v>54</v>
      </c>
      <c r="L54" s="11" t="s">
        <v>26</v>
      </c>
      <c r="M54" s="153"/>
      <c r="N54" s="12" t="s">
        <v>122</v>
      </c>
      <c r="O54" s="37">
        <v>3.8399999999999997E-2</v>
      </c>
      <c r="P54" s="12" t="s">
        <v>121</v>
      </c>
      <c r="Q54" s="11" t="s">
        <v>17</v>
      </c>
      <c r="R54" s="11" t="s">
        <v>17</v>
      </c>
      <c r="S54" s="17" t="s">
        <v>120</v>
      </c>
      <c r="T54" s="28" t="s">
        <v>34</v>
      </c>
      <c r="U54" s="12" t="s">
        <v>119</v>
      </c>
      <c r="V54" s="11" t="s">
        <v>32</v>
      </c>
      <c r="W54" s="11" t="s">
        <v>49</v>
      </c>
      <c r="X54" s="13" t="s">
        <v>18</v>
      </c>
      <c r="Y54" s="11" t="s">
        <v>17</v>
      </c>
      <c r="Z54" s="11" t="s">
        <v>17</v>
      </c>
      <c r="AA54" s="11" t="s">
        <v>30</v>
      </c>
      <c r="AB54" s="8"/>
      <c r="AC54" s="8"/>
      <c r="AD54" s="8"/>
      <c r="AE54" s="8"/>
      <c r="AF54" s="8"/>
      <c r="AG54" s="9">
        <v>0.4</v>
      </c>
      <c r="AH54" s="8"/>
      <c r="AI54" s="8"/>
      <c r="AJ54" s="8"/>
      <c r="AK54" s="8"/>
      <c r="AL54" s="8"/>
      <c r="AM54" s="9">
        <v>0.45</v>
      </c>
      <c r="AN54" s="9">
        <v>0.85</v>
      </c>
      <c r="AO54" s="46"/>
      <c r="AP54" s="8"/>
      <c r="AQ54" s="8"/>
      <c r="AR54" s="8"/>
      <c r="AS54" s="8"/>
      <c r="AT54" s="8"/>
      <c r="AU54" s="38">
        <f>5/7</f>
        <v>0.7142857142857143</v>
      </c>
      <c r="AV54" s="9">
        <f t="shared" si="11"/>
        <v>1</v>
      </c>
      <c r="AW54" s="9">
        <v>0.25</v>
      </c>
      <c r="AX54" s="9">
        <v>0.25</v>
      </c>
      <c r="AY54" s="9">
        <v>0.25</v>
      </c>
      <c r="AZ54" s="9">
        <v>0.25</v>
      </c>
      <c r="BA54" s="8"/>
      <c r="BB54" s="8"/>
      <c r="BC54" s="8"/>
      <c r="BD54" s="8"/>
      <c r="BE54" s="8"/>
      <c r="BF54" s="8"/>
      <c r="BG54" s="8"/>
      <c r="BH54" s="8"/>
      <c r="BI54" s="8"/>
      <c r="BJ54" s="8"/>
      <c r="BK54" s="8"/>
      <c r="BL54" s="8"/>
      <c r="BM54" s="8"/>
      <c r="BN54" s="8"/>
      <c r="BO54" s="8"/>
      <c r="BP54" s="8"/>
      <c r="BQ54" s="8"/>
      <c r="BR54" s="8"/>
      <c r="BS54" s="38">
        <f>5/7</f>
        <v>0.7142857142857143</v>
      </c>
      <c r="BT54" s="10">
        <f t="shared" si="12"/>
        <v>1</v>
      </c>
      <c r="BU54" s="9">
        <v>0.25</v>
      </c>
      <c r="BV54" s="9">
        <v>0.25</v>
      </c>
      <c r="BW54" s="9">
        <v>0.25</v>
      </c>
      <c r="BX54" s="9">
        <v>0.25</v>
      </c>
      <c r="BY54" s="205"/>
      <c r="BZ54" s="8"/>
      <c r="CA54" s="8"/>
      <c r="CB54" s="8"/>
      <c r="CC54" s="8"/>
      <c r="CD54" s="8"/>
      <c r="CE54" s="8"/>
      <c r="CF54" s="8"/>
      <c r="CG54" s="8"/>
      <c r="CH54" s="8"/>
      <c r="CI54" s="8"/>
      <c r="CJ54" s="8"/>
      <c r="CK54" s="37">
        <f>BS54</f>
        <v>0.7142857142857143</v>
      </c>
      <c r="CL54" s="9">
        <f>+CK54/AG54</f>
        <v>1.7857142857142856</v>
      </c>
    </row>
    <row r="55" spans="1:90" ht="78" customHeight="1" x14ac:dyDescent="0.25">
      <c r="A55" s="135"/>
      <c r="B55" s="135"/>
      <c r="C55" s="135"/>
      <c r="D55" s="135"/>
      <c r="E55" s="135"/>
      <c r="F55" s="167"/>
      <c r="G55" s="8"/>
      <c r="H55" s="29"/>
      <c r="I55" s="167"/>
      <c r="J55" s="147"/>
      <c r="K55" s="11" t="s">
        <v>106</v>
      </c>
      <c r="L55" s="11" t="s">
        <v>26</v>
      </c>
      <c r="M55" s="153"/>
      <c r="N55" s="12" t="s">
        <v>118</v>
      </c>
      <c r="O55" s="37">
        <v>3.8399999999999997E-2</v>
      </c>
      <c r="P55" s="36" t="s">
        <v>117</v>
      </c>
      <c r="Q55" s="11" t="s">
        <v>17</v>
      </c>
      <c r="R55" s="11" t="s">
        <v>17</v>
      </c>
      <c r="S55" s="17" t="s">
        <v>116</v>
      </c>
      <c r="T55" s="35" t="s">
        <v>34</v>
      </c>
      <c r="U55" s="17" t="s">
        <v>115</v>
      </c>
      <c r="V55" s="28" t="s">
        <v>32</v>
      </c>
      <c r="W55" s="11" t="s">
        <v>101</v>
      </c>
      <c r="X55" s="13" t="s">
        <v>18</v>
      </c>
      <c r="Y55" s="11" t="s">
        <v>17</v>
      </c>
      <c r="Z55" s="11" t="s">
        <v>17</v>
      </c>
      <c r="AA55" s="11" t="s">
        <v>41</v>
      </c>
      <c r="AB55" s="8"/>
      <c r="AC55" s="8"/>
      <c r="AD55" s="9">
        <v>0.85</v>
      </c>
      <c r="AE55" s="8"/>
      <c r="AF55" s="8"/>
      <c r="AG55" s="9">
        <v>0.85</v>
      </c>
      <c r="AH55" s="8"/>
      <c r="AI55" s="8"/>
      <c r="AJ55" s="9">
        <v>0.85</v>
      </c>
      <c r="AK55" s="8"/>
      <c r="AL55" s="8"/>
      <c r="AM55" s="9">
        <v>0.85</v>
      </c>
      <c r="AN55" s="9">
        <v>0.85</v>
      </c>
      <c r="AO55" s="9">
        <f>163/163</f>
        <v>1</v>
      </c>
      <c r="AP55" s="9">
        <f>AQ55+AR55+AS55+AT55</f>
        <v>1</v>
      </c>
      <c r="AQ55" s="9">
        <v>0.25</v>
      </c>
      <c r="AR55" s="9">
        <v>0.25</v>
      </c>
      <c r="AS55" s="9">
        <v>0.25</v>
      </c>
      <c r="AT55" s="9">
        <v>0.25</v>
      </c>
      <c r="AU55" s="10">
        <f>69/69</f>
        <v>1</v>
      </c>
      <c r="AV55" s="9">
        <f t="shared" si="11"/>
        <v>1</v>
      </c>
      <c r="AW55" s="10">
        <v>0.25</v>
      </c>
      <c r="AX55" s="10">
        <v>0.25</v>
      </c>
      <c r="AY55" s="10">
        <v>0.25</v>
      </c>
      <c r="AZ55" s="10">
        <v>0.25</v>
      </c>
      <c r="BA55" s="10">
        <f>133/133</f>
        <v>1</v>
      </c>
      <c r="BB55" s="9">
        <f>(BC55+BD55+BE55+BF55)</f>
        <v>1</v>
      </c>
      <c r="BC55" s="9">
        <v>0.25</v>
      </c>
      <c r="BD55" s="9">
        <v>0.25</v>
      </c>
      <c r="BE55" s="9">
        <v>0.25</v>
      </c>
      <c r="BF55" s="9">
        <v>0.25</v>
      </c>
      <c r="BG55" s="8"/>
      <c r="BH55" s="8"/>
      <c r="BI55" s="8"/>
      <c r="BJ55" s="8"/>
      <c r="BK55" s="8"/>
      <c r="BL55" s="8"/>
      <c r="BM55" s="9">
        <f>163/163</f>
        <v>1</v>
      </c>
      <c r="BN55" s="9">
        <f>BO55+BP55+BQ55+BR55</f>
        <v>1</v>
      </c>
      <c r="BO55" s="9">
        <v>0.25</v>
      </c>
      <c r="BP55" s="9">
        <v>0.25</v>
      </c>
      <c r="BQ55" s="9">
        <v>0.25</v>
      </c>
      <c r="BR55" s="9">
        <v>0.25</v>
      </c>
      <c r="BS55" s="10">
        <f>69/69</f>
        <v>1</v>
      </c>
      <c r="BT55" s="10">
        <f t="shared" si="12"/>
        <v>1</v>
      </c>
      <c r="BU55" s="9">
        <v>0.25</v>
      </c>
      <c r="BV55" s="9">
        <v>0.25</v>
      </c>
      <c r="BW55" s="9">
        <v>0.25</v>
      </c>
      <c r="BX55" s="9">
        <v>0.25</v>
      </c>
      <c r="BY55" s="10">
        <f>133/133</f>
        <v>1</v>
      </c>
      <c r="BZ55" s="10">
        <f>(CA55+CB55+CC55+CD55)</f>
        <v>1</v>
      </c>
      <c r="CA55" s="9">
        <v>0.25</v>
      </c>
      <c r="CB55" s="9">
        <v>0.25</v>
      </c>
      <c r="CC55" s="9">
        <v>0.25</v>
      </c>
      <c r="CD55" s="9">
        <v>0.25</v>
      </c>
      <c r="CE55" s="8"/>
      <c r="CF55" s="8"/>
      <c r="CG55" s="8"/>
      <c r="CH55" s="8"/>
      <c r="CI55" s="8"/>
      <c r="CJ55" s="8"/>
      <c r="CK55" s="10">
        <f>(BM55+BS55+BY55)/3</f>
        <v>1</v>
      </c>
      <c r="CL55" s="9">
        <f>+CK55/AJ55</f>
        <v>1.1764705882352942</v>
      </c>
    </row>
    <row r="56" spans="1:90" ht="78" customHeight="1" x14ac:dyDescent="0.25">
      <c r="A56" s="135"/>
      <c r="B56" s="135"/>
      <c r="C56" s="135"/>
      <c r="D56" s="135"/>
      <c r="E56" s="135"/>
      <c r="F56" s="167"/>
      <c r="G56" s="8"/>
      <c r="H56" s="29"/>
      <c r="I56" s="167"/>
      <c r="J56" s="147"/>
      <c r="K56" s="11" t="s">
        <v>106</v>
      </c>
      <c r="L56" s="11" t="s">
        <v>26</v>
      </c>
      <c r="M56" s="153"/>
      <c r="N56" s="12" t="s">
        <v>114</v>
      </c>
      <c r="O56" s="37">
        <v>3.8399999999999997E-2</v>
      </c>
      <c r="P56" s="36" t="s">
        <v>113</v>
      </c>
      <c r="Q56" s="11" t="s">
        <v>17</v>
      </c>
      <c r="R56" s="11" t="s">
        <v>17</v>
      </c>
      <c r="S56" s="17" t="s">
        <v>112</v>
      </c>
      <c r="T56" s="35" t="s">
        <v>34</v>
      </c>
      <c r="U56" s="17" t="s">
        <v>111</v>
      </c>
      <c r="V56" s="28" t="s">
        <v>32</v>
      </c>
      <c r="W56" s="11" t="s">
        <v>101</v>
      </c>
      <c r="X56" s="13" t="s">
        <v>18</v>
      </c>
      <c r="Y56" s="11" t="s">
        <v>17</v>
      </c>
      <c r="Z56" s="11" t="s">
        <v>17</v>
      </c>
      <c r="AA56" s="11" t="s">
        <v>41</v>
      </c>
      <c r="AB56" s="8"/>
      <c r="AC56" s="8"/>
      <c r="AD56" s="9">
        <v>1</v>
      </c>
      <c r="AE56" s="8"/>
      <c r="AF56" s="8"/>
      <c r="AG56" s="9">
        <v>1</v>
      </c>
      <c r="AH56" s="8"/>
      <c r="AI56" s="8"/>
      <c r="AJ56" s="9">
        <v>1</v>
      </c>
      <c r="AK56" s="8"/>
      <c r="AL56" s="8"/>
      <c r="AM56" s="9">
        <v>1</v>
      </c>
      <c r="AN56" s="9">
        <v>1</v>
      </c>
      <c r="AO56" s="9">
        <f>150/150</f>
        <v>1</v>
      </c>
      <c r="AP56" s="9">
        <f>AQ56+AR56+AS56+AT56</f>
        <v>1</v>
      </c>
      <c r="AQ56" s="9">
        <v>0.25</v>
      </c>
      <c r="AR56" s="9">
        <v>0.25</v>
      </c>
      <c r="AS56" s="9">
        <v>0.25</v>
      </c>
      <c r="AT56" s="9">
        <v>0.25</v>
      </c>
      <c r="AU56" s="9">
        <f>66/100</f>
        <v>0.66</v>
      </c>
      <c r="AV56" s="9">
        <f t="shared" si="11"/>
        <v>1</v>
      </c>
      <c r="AW56" s="10">
        <v>0.25</v>
      </c>
      <c r="AX56" s="10">
        <v>0.25</v>
      </c>
      <c r="AY56" s="10">
        <v>0.25</v>
      </c>
      <c r="AZ56" s="10">
        <v>0.25</v>
      </c>
      <c r="BA56" s="37">
        <f>120/151</f>
        <v>0.79470198675496684</v>
      </c>
      <c r="BB56" s="9">
        <f>(BC56+BD56+BE56+BF56)</f>
        <v>1</v>
      </c>
      <c r="BC56" s="9">
        <v>0.25</v>
      </c>
      <c r="BD56" s="9">
        <v>0.25</v>
      </c>
      <c r="BE56" s="9">
        <v>0.25</v>
      </c>
      <c r="BF56" s="9">
        <v>0.25</v>
      </c>
      <c r="BG56" s="8"/>
      <c r="BH56" s="8"/>
      <c r="BI56" s="8"/>
      <c r="BJ56" s="8"/>
      <c r="BK56" s="8"/>
      <c r="BL56" s="8"/>
      <c r="BM56" s="9">
        <f>150/150</f>
        <v>1</v>
      </c>
      <c r="BN56" s="9">
        <f>BO56+BP56+BQ56+BR56</f>
        <v>1</v>
      </c>
      <c r="BO56" s="9">
        <v>0.25</v>
      </c>
      <c r="BP56" s="9">
        <v>0.25</v>
      </c>
      <c r="BQ56" s="9">
        <v>0.25</v>
      </c>
      <c r="BR56" s="9">
        <v>0.25</v>
      </c>
      <c r="BS56" s="201">
        <f>66/100</f>
        <v>0.66</v>
      </c>
      <c r="BT56" s="10">
        <f t="shared" si="12"/>
        <v>1</v>
      </c>
      <c r="BU56" s="9">
        <v>0.25</v>
      </c>
      <c r="BV56" s="9">
        <v>0.25</v>
      </c>
      <c r="BW56" s="9">
        <v>0.25</v>
      </c>
      <c r="BX56" s="9">
        <v>0.25</v>
      </c>
      <c r="BY56" s="207">
        <f>120/151</f>
        <v>0.79470198675496684</v>
      </c>
      <c r="BZ56" s="10">
        <f>(CA56+CB56+CC56+CD56)</f>
        <v>1</v>
      </c>
      <c r="CA56" s="9">
        <v>0.25</v>
      </c>
      <c r="CB56" s="9">
        <v>0.25</v>
      </c>
      <c r="CC56" s="9">
        <v>0.25</v>
      </c>
      <c r="CD56" s="9">
        <v>0.25</v>
      </c>
      <c r="CE56" s="8"/>
      <c r="CF56" s="8"/>
      <c r="CG56" s="8"/>
      <c r="CH56" s="8"/>
      <c r="CI56" s="8"/>
      <c r="CJ56" s="8"/>
      <c r="CK56" s="38">
        <f>(BM56+BS56+BY56)/3</f>
        <v>0.81823399558498899</v>
      </c>
      <c r="CL56" s="37">
        <f>+CK56/AJ56</f>
        <v>0.81823399558498899</v>
      </c>
    </row>
    <row r="57" spans="1:90" ht="78" customHeight="1" x14ac:dyDescent="0.25">
      <c r="A57" s="135"/>
      <c r="B57" s="135"/>
      <c r="C57" s="135"/>
      <c r="D57" s="135"/>
      <c r="E57" s="135"/>
      <c r="F57" s="167"/>
      <c r="G57" s="8"/>
      <c r="H57" s="29"/>
      <c r="I57" s="167"/>
      <c r="J57" s="147"/>
      <c r="K57" s="11" t="s">
        <v>106</v>
      </c>
      <c r="L57" s="11" t="s">
        <v>26</v>
      </c>
      <c r="M57" s="153"/>
      <c r="N57" s="12" t="s">
        <v>110</v>
      </c>
      <c r="O57" s="37">
        <v>3.8399999999999997E-2</v>
      </c>
      <c r="P57" s="36" t="s">
        <v>109</v>
      </c>
      <c r="Q57" s="11" t="s">
        <v>17</v>
      </c>
      <c r="R57" s="11" t="s">
        <v>17</v>
      </c>
      <c r="S57" s="17" t="s">
        <v>108</v>
      </c>
      <c r="T57" s="35" t="s">
        <v>34</v>
      </c>
      <c r="U57" s="17" t="s">
        <v>107</v>
      </c>
      <c r="V57" s="28" t="s">
        <v>32</v>
      </c>
      <c r="W57" s="11" t="s">
        <v>101</v>
      </c>
      <c r="X57" s="13" t="s">
        <v>18</v>
      </c>
      <c r="Y57" s="11" t="s">
        <v>17</v>
      </c>
      <c r="Z57" s="11" t="s">
        <v>17</v>
      </c>
      <c r="AA57" s="11" t="s">
        <v>41</v>
      </c>
      <c r="AB57" s="8"/>
      <c r="AC57" s="8"/>
      <c r="AD57" s="9">
        <v>1</v>
      </c>
      <c r="AE57" s="8"/>
      <c r="AF57" s="8"/>
      <c r="AG57" s="9">
        <v>1</v>
      </c>
      <c r="AH57" s="8"/>
      <c r="AI57" s="8"/>
      <c r="AJ57" s="9">
        <v>1</v>
      </c>
      <c r="AK57" s="8"/>
      <c r="AL57" s="8"/>
      <c r="AM57" s="9">
        <v>1</v>
      </c>
      <c r="AN57" s="9">
        <v>1</v>
      </c>
      <c r="AO57" s="9">
        <f>37/37</f>
        <v>1</v>
      </c>
      <c r="AP57" s="9">
        <f>AQ57+AR57+AS57+AT57</f>
        <v>1</v>
      </c>
      <c r="AQ57" s="9">
        <v>0.25</v>
      </c>
      <c r="AR57" s="9">
        <v>0.25</v>
      </c>
      <c r="AS57" s="9">
        <v>0.25</v>
      </c>
      <c r="AT57" s="9">
        <v>0.25</v>
      </c>
      <c r="AU57" s="9">
        <f>31/31</f>
        <v>1</v>
      </c>
      <c r="AV57" s="9">
        <f t="shared" si="11"/>
        <v>1</v>
      </c>
      <c r="AW57" s="10">
        <v>0.25</v>
      </c>
      <c r="AX57" s="10">
        <v>0.25</v>
      </c>
      <c r="AY57" s="10">
        <v>0.25</v>
      </c>
      <c r="AZ57" s="10">
        <v>0.25</v>
      </c>
      <c r="BA57" s="9">
        <f>26/26</f>
        <v>1</v>
      </c>
      <c r="BB57" s="9">
        <f>(BC57+BD57+BE57+BF57)</f>
        <v>1</v>
      </c>
      <c r="BC57" s="9">
        <v>0.25</v>
      </c>
      <c r="BD57" s="9">
        <v>0.25</v>
      </c>
      <c r="BE57" s="9">
        <v>0.25</v>
      </c>
      <c r="BF57" s="9">
        <v>0.25</v>
      </c>
      <c r="BG57" s="8"/>
      <c r="BH57" s="8"/>
      <c r="BI57" s="8"/>
      <c r="BJ57" s="8"/>
      <c r="BK57" s="8"/>
      <c r="BL57" s="8"/>
      <c r="BM57" s="9">
        <f>37/37</f>
        <v>1</v>
      </c>
      <c r="BN57" s="9">
        <f>BO57+BP57+BQ57+BR57</f>
        <v>1</v>
      </c>
      <c r="BO57" s="9">
        <v>0.25</v>
      </c>
      <c r="BP57" s="9">
        <v>0.25</v>
      </c>
      <c r="BQ57" s="9">
        <v>0.25</v>
      </c>
      <c r="BR57" s="9">
        <v>0.25</v>
      </c>
      <c r="BS57" s="10">
        <f>31/31</f>
        <v>1</v>
      </c>
      <c r="BT57" s="10">
        <f t="shared" si="12"/>
        <v>1</v>
      </c>
      <c r="BU57" s="9">
        <v>0.25</v>
      </c>
      <c r="BV57" s="9">
        <v>0.25</v>
      </c>
      <c r="BW57" s="9">
        <v>0.25</v>
      </c>
      <c r="BX57" s="9">
        <v>0.25</v>
      </c>
      <c r="BY57" s="201">
        <f>26/26</f>
        <v>1</v>
      </c>
      <c r="BZ57" s="10">
        <f>(CA57+CB57+CC57+CD57)</f>
        <v>1</v>
      </c>
      <c r="CA57" s="9">
        <v>0.25</v>
      </c>
      <c r="CB57" s="9">
        <v>0.25</v>
      </c>
      <c r="CC57" s="9">
        <v>0.25</v>
      </c>
      <c r="CD57" s="9">
        <v>0.25</v>
      </c>
      <c r="CE57" s="8"/>
      <c r="CF57" s="8"/>
      <c r="CG57" s="8"/>
      <c r="CH57" s="8"/>
      <c r="CI57" s="8"/>
      <c r="CJ57" s="8"/>
      <c r="CK57" s="10">
        <f>(BM57+BS57+BY57)/3</f>
        <v>1</v>
      </c>
      <c r="CL57" s="9">
        <f>+BS57/AJ57</f>
        <v>1</v>
      </c>
    </row>
    <row r="58" spans="1:90" ht="78" customHeight="1" x14ac:dyDescent="0.25">
      <c r="A58" s="135"/>
      <c r="B58" s="135"/>
      <c r="C58" s="135"/>
      <c r="D58" s="135"/>
      <c r="E58" s="135"/>
      <c r="F58" s="167"/>
      <c r="G58" s="8"/>
      <c r="H58" s="29"/>
      <c r="I58" s="167"/>
      <c r="J58" s="147"/>
      <c r="K58" s="11" t="s">
        <v>106</v>
      </c>
      <c r="L58" s="11" t="s">
        <v>26</v>
      </c>
      <c r="M58" s="153"/>
      <c r="N58" s="12" t="s">
        <v>105</v>
      </c>
      <c r="O58" s="37">
        <v>3.8399999999999997E-2</v>
      </c>
      <c r="P58" s="36" t="s">
        <v>104</v>
      </c>
      <c r="Q58" s="11" t="s">
        <v>17</v>
      </c>
      <c r="R58" s="11" t="s">
        <v>17</v>
      </c>
      <c r="S58" s="17" t="s">
        <v>103</v>
      </c>
      <c r="T58" s="35" t="s">
        <v>34</v>
      </c>
      <c r="U58" s="17" t="s">
        <v>102</v>
      </c>
      <c r="V58" s="28" t="s">
        <v>32</v>
      </c>
      <c r="W58" s="11" t="s">
        <v>101</v>
      </c>
      <c r="X58" s="13" t="s">
        <v>18</v>
      </c>
      <c r="Y58" s="11" t="s">
        <v>17</v>
      </c>
      <c r="Z58" s="11" t="s">
        <v>17</v>
      </c>
      <c r="AA58" s="27" t="s">
        <v>41</v>
      </c>
      <c r="AB58" s="34"/>
      <c r="AC58" s="34"/>
      <c r="AD58" s="15">
        <v>1</v>
      </c>
      <c r="AE58" s="15"/>
      <c r="AF58" s="34"/>
      <c r="AG58" s="15">
        <v>1</v>
      </c>
      <c r="AH58" s="34"/>
      <c r="AI58" s="15"/>
      <c r="AJ58" s="15">
        <v>1</v>
      </c>
      <c r="AK58" s="34"/>
      <c r="AL58" s="34"/>
      <c r="AM58" s="15">
        <v>1</v>
      </c>
      <c r="AN58" s="15">
        <v>1</v>
      </c>
      <c r="AO58" s="37">
        <f>538/564</f>
        <v>0.95390070921985815</v>
      </c>
      <c r="AP58" s="9">
        <f>AQ58+AR58+AS58+AT58</f>
        <v>1</v>
      </c>
      <c r="AQ58" s="9">
        <v>0.25</v>
      </c>
      <c r="AR58" s="9">
        <v>0.25</v>
      </c>
      <c r="AS58" s="9">
        <v>0.25</v>
      </c>
      <c r="AT58" s="9">
        <v>0.25</v>
      </c>
      <c r="AU58" s="9">
        <f>420/451</f>
        <v>0.9312638580931264</v>
      </c>
      <c r="AV58" s="9">
        <f t="shared" si="11"/>
        <v>1</v>
      </c>
      <c r="AW58" s="10">
        <v>0.25</v>
      </c>
      <c r="AX58" s="10">
        <v>0.25</v>
      </c>
      <c r="AY58" s="10">
        <v>0.25</v>
      </c>
      <c r="AZ58" s="10">
        <v>0.25</v>
      </c>
      <c r="BA58" s="37">
        <f>462/491</f>
        <v>0.94093686354378814</v>
      </c>
      <c r="BB58" s="9">
        <f>(BC58+BD58+BE58+BF58)</f>
        <v>1</v>
      </c>
      <c r="BC58" s="9">
        <v>0.25</v>
      </c>
      <c r="BD58" s="9">
        <v>0.25</v>
      </c>
      <c r="BE58" s="9">
        <v>0.25</v>
      </c>
      <c r="BF58" s="9">
        <v>0.25</v>
      </c>
      <c r="BG58" s="8"/>
      <c r="BH58" s="8"/>
      <c r="BI58" s="8"/>
      <c r="BJ58" s="8"/>
      <c r="BK58" s="8"/>
      <c r="BL58" s="8"/>
      <c r="BM58" s="37">
        <f>538/564</f>
        <v>0.95390070921985815</v>
      </c>
      <c r="BN58" s="9">
        <f>BO58+BP58+BQ58+BR58</f>
        <v>1</v>
      </c>
      <c r="BO58" s="9">
        <v>0.25</v>
      </c>
      <c r="BP58" s="9">
        <v>0.25</v>
      </c>
      <c r="BQ58" s="9">
        <v>0.25</v>
      </c>
      <c r="BR58" s="9">
        <v>0.25</v>
      </c>
      <c r="BS58" s="38">
        <f>420/451</f>
        <v>0.9312638580931264</v>
      </c>
      <c r="BT58" s="10">
        <f t="shared" si="12"/>
        <v>1</v>
      </c>
      <c r="BU58" s="9">
        <v>0.25</v>
      </c>
      <c r="BV58" s="9">
        <v>0.25</v>
      </c>
      <c r="BW58" s="9">
        <v>0.25</v>
      </c>
      <c r="BX58" s="9">
        <v>0.25</v>
      </c>
      <c r="BY58" s="207">
        <f>462/491</f>
        <v>0.94093686354378814</v>
      </c>
      <c r="BZ58" s="10">
        <f>(CA58+CB58+CC58+CD58)</f>
        <v>1</v>
      </c>
      <c r="CA58" s="9">
        <v>0.25</v>
      </c>
      <c r="CB58" s="9">
        <v>0.25</v>
      </c>
      <c r="CC58" s="9">
        <v>0.25</v>
      </c>
      <c r="CD58" s="9">
        <v>0.25</v>
      </c>
      <c r="CE58" s="8"/>
      <c r="CF58" s="8"/>
      <c r="CG58" s="8"/>
      <c r="CH58" s="8"/>
      <c r="CI58" s="8"/>
      <c r="CJ58" s="8"/>
      <c r="CK58" s="38">
        <f>(BM58+BS58+BY58)/3</f>
        <v>0.94203381028559097</v>
      </c>
      <c r="CL58" s="37">
        <f>+CK58/AJ58</f>
        <v>0.94203381028559097</v>
      </c>
    </row>
    <row r="59" spans="1:90" ht="78" customHeight="1" x14ac:dyDescent="0.25">
      <c r="A59" s="135"/>
      <c r="B59" s="135"/>
      <c r="C59" s="135"/>
      <c r="D59" s="135"/>
      <c r="E59" s="135"/>
      <c r="F59" s="167"/>
      <c r="G59" s="8"/>
      <c r="H59" s="29"/>
      <c r="I59" s="167"/>
      <c r="J59" s="147"/>
      <c r="K59" s="11" t="s">
        <v>96</v>
      </c>
      <c r="L59" s="11" t="s">
        <v>26</v>
      </c>
      <c r="M59" s="153"/>
      <c r="N59" s="12" t="s">
        <v>100</v>
      </c>
      <c r="O59" s="37">
        <v>3.8399999999999997E-2</v>
      </c>
      <c r="P59" s="36" t="s">
        <v>99</v>
      </c>
      <c r="Q59" s="11" t="s">
        <v>17</v>
      </c>
      <c r="R59" s="11" t="s">
        <v>17</v>
      </c>
      <c r="S59" s="17" t="s">
        <v>98</v>
      </c>
      <c r="T59" s="35" t="s">
        <v>22</v>
      </c>
      <c r="U59" s="17" t="s">
        <v>98</v>
      </c>
      <c r="V59" s="28" t="s">
        <v>20</v>
      </c>
      <c r="W59" s="11" t="s">
        <v>92</v>
      </c>
      <c r="X59" s="11" t="s">
        <v>97</v>
      </c>
      <c r="Y59" s="11" t="s">
        <v>17</v>
      </c>
      <c r="Z59" s="11" t="s">
        <v>17</v>
      </c>
      <c r="AA59" s="27" t="s">
        <v>30</v>
      </c>
      <c r="AB59" s="34"/>
      <c r="AC59" s="34"/>
      <c r="AD59" s="15"/>
      <c r="AE59" s="26"/>
      <c r="AF59" s="34"/>
      <c r="AG59" s="26">
        <v>1</v>
      </c>
      <c r="AH59" s="34"/>
      <c r="AI59" s="26"/>
      <c r="AJ59" s="15"/>
      <c r="AK59" s="34"/>
      <c r="AL59" s="34"/>
      <c r="AM59" s="26">
        <v>2</v>
      </c>
      <c r="AN59" s="26">
        <v>3</v>
      </c>
      <c r="AO59" s="8"/>
      <c r="AP59" s="8"/>
      <c r="AQ59" s="8"/>
      <c r="AR59" s="8"/>
      <c r="AS59" s="8"/>
      <c r="AT59" s="8"/>
      <c r="AU59" s="11"/>
      <c r="AV59" s="9"/>
      <c r="AW59" s="9"/>
      <c r="AX59" s="9"/>
      <c r="AY59" s="9"/>
      <c r="AZ59" s="9"/>
      <c r="BA59" s="8"/>
      <c r="BB59" s="8"/>
      <c r="BC59" s="8"/>
      <c r="BD59" s="8"/>
      <c r="BE59" s="8"/>
      <c r="BF59" s="8"/>
      <c r="BG59" s="8"/>
      <c r="BH59" s="8"/>
      <c r="BI59" s="8"/>
      <c r="BJ59" s="8"/>
      <c r="BK59" s="8"/>
      <c r="BL59" s="8"/>
      <c r="BM59" s="8"/>
      <c r="BN59" s="8"/>
      <c r="BO59" s="8"/>
      <c r="BP59" s="8"/>
      <c r="BQ59" s="8"/>
      <c r="BR59" s="8"/>
      <c r="BS59" s="200">
        <v>1</v>
      </c>
      <c r="BT59" s="10">
        <v>1</v>
      </c>
      <c r="BU59" s="9">
        <v>0.25</v>
      </c>
      <c r="BV59" s="9">
        <v>0.25</v>
      </c>
      <c r="BW59" s="9">
        <v>0.25</v>
      </c>
      <c r="BX59" s="9">
        <v>0.25</v>
      </c>
      <c r="BY59" s="205"/>
      <c r="BZ59" s="8"/>
      <c r="CA59" s="8"/>
      <c r="CB59" s="8"/>
      <c r="CC59" s="8"/>
      <c r="CD59" s="8"/>
      <c r="CE59" s="8"/>
      <c r="CF59" s="8"/>
      <c r="CG59" s="8"/>
      <c r="CH59" s="8"/>
      <c r="CI59" s="8"/>
      <c r="CJ59" s="8"/>
      <c r="CK59" s="45">
        <v>1</v>
      </c>
      <c r="CL59" s="9">
        <v>0.5</v>
      </c>
    </row>
    <row r="60" spans="1:90" ht="78" customHeight="1" x14ac:dyDescent="0.25">
      <c r="A60" s="135"/>
      <c r="B60" s="135"/>
      <c r="C60" s="135"/>
      <c r="D60" s="135"/>
      <c r="E60" s="135"/>
      <c r="F60" s="167"/>
      <c r="G60" s="8"/>
      <c r="H60" s="29"/>
      <c r="I60" s="167"/>
      <c r="J60" s="147"/>
      <c r="K60" s="11" t="s">
        <v>96</v>
      </c>
      <c r="L60" s="11" t="s">
        <v>26</v>
      </c>
      <c r="M60" s="153"/>
      <c r="N60" s="12" t="s">
        <v>95</v>
      </c>
      <c r="O60" s="37">
        <v>3.8399999999999997E-2</v>
      </c>
      <c r="P60" s="36" t="s">
        <v>94</v>
      </c>
      <c r="Q60" s="11" t="s">
        <v>17</v>
      </c>
      <c r="R60" s="11" t="s">
        <v>17</v>
      </c>
      <c r="S60" s="17" t="s">
        <v>93</v>
      </c>
      <c r="T60" s="35" t="s">
        <v>22</v>
      </c>
      <c r="U60" s="17" t="s">
        <v>93</v>
      </c>
      <c r="V60" s="28" t="s">
        <v>20</v>
      </c>
      <c r="W60" s="11" t="s">
        <v>92</v>
      </c>
      <c r="X60" s="13" t="s">
        <v>18</v>
      </c>
      <c r="Y60" s="11" t="s">
        <v>17</v>
      </c>
      <c r="Z60" s="11" t="s">
        <v>17</v>
      </c>
      <c r="AA60" s="27" t="s">
        <v>41</v>
      </c>
      <c r="AB60" s="34"/>
      <c r="AC60" s="34"/>
      <c r="AD60" s="26">
        <v>1</v>
      </c>
      <c r="AE60" s="15"/>
      <c r="AF60" s="34"/>
      <c r="AG60" s="26">
        <v>1</v>
      </c>
      <c r="AH60" s="34"/>
      <c r="AI60" s="15"/>
      <c r="AJ60" s="26">
        <v>1</v>
      </c>
      <c r="AK60" s="34"/>
      <c r="AL60" s="34"/>
      <c r="AM60" s="26">
        <v>1</v>
      </c>
      <c r="AN60" s="26">
        <v>4</v>
      </c>
      <c r="AO60" s="15">
        <f>1/1</f>
        <v>1</v>
      </c>
      <c r="AP60" s="15">
        <f>AQ60+AR60+AS60+AT60</f>
        <v>0.75</v>
      </c>
      <c r="AQ60" s="15">
        <v>0.25</v>
      </c>
      <c r="AR60" s="15">
        <v>0.25</v>
      </c>
      <c r="AS60" s="15">
        <v>0</v>
      </c>
      <c r="AT60" s="15">
        <v>0.25</v>
      </c>
      <c r="AU60" s="42">
        <f>1/1</f>
        <v>1</v>
      </c>
      <c r="AV60" s="9">
        <f t="shared" ref="AV60:AV68" si="13">(AW60+AX60+AY60+AZ60)</f>
        <v>1</v>
      </c>
      <c r="AW60" s="9">
        <v>0.25</v>
      </c>
      <c r="AX60" s="9">
        <v>0.25</v>
      </c>
      <c r="AY60" s="9">
        <v>0.25</v>
      </c>
      <c r="AZ60" s="9">
        <v>0.25</v>
      </c>
      <c r="BA60" s="42">
        <f>1/1</f>
        <v>1</v>
      </c>
      <c r="BB60" s="9">
        <f>(BC60+BD60+BE60+BF60)</f>
        <v>1</v>
      </c>
      <c r="BC60" s="9">
        <v>0.25</v>
      </c>
      <c r="BD60" s="9">
        <v>0.25</v>
      </c>
      <c r="BE60" s="9">
        <v>0.25</v>
      </c>
      <c r="BF60" s="9">
        <v>0.25</v>
      </c>
      <c r="BG60" s="8"/>
      <c r="BH60" s="8"/>
      <c r="BI60" s="8"/>
      <c r="BJ60" s="8"/>
      <c r="BK60" s="8"/>
      <c r="BL60" s="8"/>
      <c r="BM60" s="26">
        <v>1</v>
      </c>
      <c r="BN60" s="10">
        <f>BO60+BP60+BQ60+BR60</f>
        <v>0.75</v>
      </c>
      <c r="BO60" s="15">
        <v>0.25</v>
      </c>
      <c r="BP60" s="15">
        <v>0.25</v>
      </c>
      <c r="BQ60" s="15">
        <v>0</v>
      </c>
      <c r="BR60" s="15">
        <v>0.25</v>
      </c>
      <c r="BS60" s="200">
        <v>1</v>
      </c>
      <c r="BT60" s="10">
        <f t="shared" ref="BT60:BT71" si="14">(BU60+BV60+BW60+BX60)</f>
        <v>1</v>
      </c>
      <c r="BU60" s="9">
        <v>0.25</v>
      </c>
      <c r="BV60" s="9">
        <v>0.25</v>
      </c>
      <c r="BW60" s="9">
        <v>0.25</v>
      </c>
      <c r="BX60" s="9">
        <v>0.25</v>
      </c>
      <c r="BY60" s="200">
        <v>1</v>
      </c>
      <c r="BZ60" s="10">
        <f>(CA60+CB60+CC60+CD60)</f>
        <v>1</v>
      </c>
      <c r="CA60" s="9">
        <v>0.25</v>
      </c>
      <c r="CB60" s="9">
        <v>0.25</v>
      </c>
      <c r="CC60" s="9">
        <v>0.25</v>
      </c>
      <c r="CD60" s="9">
        <v>0.25</v>
      </c>
      <c r="CE60" s="8"/>
      <c r="CF60" s="8"/>
      <c r="CG60" s="8"/>
      <c r="CH60" s="8"/>
      <c r="CI60" s="8"/>
      <c r="CJ60" s="8"/>
      <c r="CK60" s="45">
        <f>BM60+BS60+BY60</f>
        <v>3</v>
      </c>
      <c r="CL60" s="9">
        <f>CK60/4</f>
        <v>0.75</v>
      </c>
    </row>
    <row r="61" spans="1:90" ht="78" customHeight="1" x14ac:dyDescent="0.25">
      <c r="A61" s="135"/>
      <c r="B61" s="135"/>
      <c r="C61" s="135"/>
      <c r="D61" s="135"/>
      <c r="E61" s="135"/>
      <c r="F61" s="167"/>
      <c r="G61" s="8"/>
      <c r="H61" s="29"/>
      <c r="I61" s="167"/>
      <c r="J61" s="147"/>
      <c r="K61" s="11" t="s">
        <v>91</v>
      </c>
      <c r="L61" s="11" t="s">
        <v>26</v>
      </c>
      <c r="M61" s="153"/>
      <c r="N61" s="12" t="s">
        <v>90</v>
      </c>
      <c r="O61" s="37">
        <v>3.8399999999999997E-2</v>
      </c>
      <c r="P61" s="36" t="s">
        <v>89</v>
      </c>
      <c r="Q61" s="11" t="s">
        <v>17</v>
      </c>
      <c r="R61" s="11" t="s">
        <v>17</v>
      </c>
      <c r="S61" s="17" t="s">
        <v>88</v>
      </c>
      <c r="T61" s="35" t="s">
        <v>34</v>
      </c>
      <c r="U61" s="17" t="s">
        <v>87</v>
      </c>
      <c r="V61" s="28" t="s">
        <v>43</v>
      </c>
      <c r="W61" s="11" t="s">
        <v>19</v>
      </c>
      <c r="X61" s="11" t="s">
        <v>86</v>
      </c>
      <c r="Y61" s="11" t="s">
        <v>17</v>
      </c>
      <c r="Z61" s="11" t="s">
        <v>17</v>
      </c>
      <c r="AA61" s="27" t="s">
        <v>41</v>
      </c>
      <c r="AB61" s="34"/>
      <c r="AC61" s="34"/>
      <c r="AD61" s="15">
        <v>1</v>
      </c>
      <c r="AE61" s="15"/>
      <c r="AF61" s="34"/>
      <c r="AG61" s="15">
        <v>1</v>
      </c>
      <c r="AH61" s="34"/>
      <c r="AI61" s="15"/>
      <c r="AJ61" s="15">
        <v>1</v>
      </c>
      <c r="AK61" s="34"/>
      <c r="AL61" s="34"/>
      <c r="AM61" s="15">
        <v>1</v>
      </c>
      <c r="AN61" s="15">
        <v>1</v>
      </c>
      <c r="AO61" s="10">
        <f>6/6</f>
        <v>1</v>
      </c>
      <c r="AP61" s="9">
        <f>AQ61+AR61+AS61+AT61</f>
        <v>1</v>
      </c>
      <c r="AQ61" s="9">
        <v>0.25</v>
      </c>
      <c r="AR61" s="9">
        <v>0.25</v>
      </c>
      <c r="AS61" s="9">
        <v>0.25</v>
      </c>
      <c r="AT61" s="9">
        <v>0.25</v>
      </c>
      <c r="AU61" s="10">
        <f>7/7</f>
        <v>1</v>
      </c>
      <c r="AV61" s="9">
        <f t="shared" si="13"/>
        <v>1</v>
      </c>
      <c r="AW61" s="9">
        <v>0.25</v>
      </c>
      <c r="AX61" s="9">
        <v>0.25</v>
      </c>
      <c r="AY61" s="9">
        <v>0.25</v>
      </c>
      <c r="AZ61" s="9">
        <v>0.25</v>
      </c>
      <c r="BA61" s="10">
        <f>7/7</f>
        <v>1</v>
      </c>
      <c r="BB61" s="9">
        <f>(BC61+BD61+BE61+BF61)</f>
        <v>1</v>
      </c>
      <c r="BC61" s="9">
        <v>0.25</v>
      </c>
      <c r="BD61" s="9">
        <v>0.25</v>
      </c>
      <c r="BE61" s="9">
        <v>0.25</v>
      </c>
      <c r="BF61" s="9">
        <v>0.25</v>
      </c>
      <c r="BG61" s="8"/>
      <c r="BH61" s="8"/>
      <c r="BI61" s="8"/>
      <c r="BJ61" s="8"/>
      <c r="BK61" s="8"/>
      <c r="BL61" s="8"/>
      <c r="BM61" s="10">
        <f>6/6</f>
        <v>1</v>
      </c>
      <c r="BN61" s="10">
        <f>BO61+BP61+BQ61+BR61</f>
        <v>1</v>
      </c>
      <c r="BO61" s="9">
        <v>0.25</v>
      </c>
      <c r="BP61" s="9">
        <v>0.25</v>
      </c>
      <c r="BQ61" s="9">
        <v>0.25</v>
      </c>
      <c r="BR61" s="9">
        <v>0.25</v>
      </c>
      <c r="BS61" s="10">
        <f>7/7</f>
        <v>1</v>
      </c>
      <c r="BT61" s="10">
        <f t="shared" si="14"/>
        <v>1</v>
      </c>
      <c r="BU61" s="9">
        <v>0.25</v>
      </c>
      <c r="BV61" s="9">
        <v>0.25</v>
      </c>
      <c r="BW61" s="9">
        <v>0.25</v>
      </c>
      <c r="BX61" s="9">
        <v>0.25</v>
      </c>
      <c r="BY61" s="10">
        <f>7/7</f>
        <v>1</v>
      </c>
      <c r="BZ61" s="10">
        <f>(CA61+CB61+CC61+CD61)</f>
        <v>1</v>
      </c>
      <c r="CA61" s="9">
        <v>0.25</v>
      </c>
      <c r="CB61" s="9">
        <v>0.25</v>
      </c>
      <c r="CC61" s="9">
        <v>0.25</v>
      </c>
      <c r="CD61" s="9">
        <v>0.25</v>
      </c>
      <c r="CE61" s="8"/>
      <c r="CF61" s="8"/>
      <c r="CG61" s="8"/>
      <c r="CH61" s="8"/>
      <c r="CI61" s="8"/>
      <c r="CJ61" s="8"/>
      <c r="CK61" s="10">
        <f>(BM61+BS61+BY61)/3</f>
        <v>1</v>
      </c>
      <c r="CL61" s="9">
        <f>+BS61/AJ61</f>
        <v>1</v>
      </c>
    </row>
    <row r="62" spans="1:90" ht="78" customHeight="1" x14ac:dyDescent="0.25">
      <c r="A62" s="135"/>
      <c r="B62" s="135"/>
      <c r="C62" s="135"/>
      <c r="D62" s="135"/>
      <c r="E62" s="135"/>
      <c r="F62" s="167"/>
      <c r="G62" s="8"/>
      <c r="H62" s="29"/>
      <c r="I62" s="167"/>
      <c r="J62" s="147"/>
      <c r="K62" s="11" t="s">
        <v>61</v>
      </c>
      <c r="L62" s="11" t="s">
        <v>26</v>
      </c>
      <c r="M62" s="153"/>
      <c r="N62" s="12" t="s">
        <v>85</v>
      </c>
      <c r="O62" s="37">
        <v>3.8399999999999997E-2</v>
      </c>
      <c r="P62" s="36" t="s">
        <v>84</v>
      </c>
      <c r="Q62" s="11" t="s">
        <v>17</v>
      </c>
      <c r="R62" s="11" t="s">
        <v>17</v>
      </c>
      <c r="S62" s="17" t="s">
        <v>83</v>
      </c>
      <c r="T62" s="35" t="s">
        <v>34</v>
      </c>
      <c r="U62" s="17" t="s">
        <v>82</v>
      </c>
      <c r="V62" s="28" t="s">
        <v>32</v>
      </c>
      <c r="W62" s="11" t="s">
        <v>56</v>
      </c>
      <c r="X62" s="11" t="s">
        <v>81</v>
      </c>
      <c r="Y62" s="11" t="s">
        <v>17</v>
      </c>
      <c r="Z62" s="11" t="s">
        <v>17</v>
      </c>
      <c r="AA62" s="27" t="s">
        <v>41</v>
      </c>
      <c r="AB62" s="34"/>
      <c r="AC62" s="34"/>
      <c r="AD62" s="15">
        <v>0.9</v>
      </c>
      <c r="AE62" s="15"/>
      <c r="AF62" s="34"/>
      <c r="AG62" s="15">
        <v>0.9</v>
      </c>
      <c r="AH62" s="34"/>
      <c r="AI62" s="15"/>
      <c r="AJ62" s="15">
        <v>0.9</v>
      </c>
      <c r="AK62" s="34"/>
      <c r="AL62" s="34"/>
      <c r="AM62" s="15">
        <v>0.9</v>
      </c>
      <c r="AN62" s="15">
        <v>0.9</v>
      </c>
      <c r="AO62" s="10">
        <f>20/20</f>
        <v>1</v>
      </c>
      <c r="AP62" s="10">
        <f>AQ62+AR62+AS62+AT62</f>
        <v>1</v>
      </c>
      <c r="AQ62" s="9">
        <v>0.25</v>
      </c>
      <c r="AR62" s="9">
        <v>0.25</v>
      </c>
      <c r="AS62" s="9">
        <v>0.25</v>
      </c>
      <c r="AT62" s="9">
        <v>0.25</v>
      </c>
      <c r="AU62" s="9">
        <f>23/25</f>
        <v>0.92</v>
      </c>
      <c r="AV62" s="9">
        <f t="shared" si="13"/>
        <v>1</v>
      </c>
      <c r="AW62" s="9">
        <v>0.25</v>
      </c>
      <c r="AX62" s="9">
        <v>0.25</v>
      </c>
      <c r="AY62" s="9">
        <v>0.25</v>
      </c>
      <c r="AZ62" s="9">
        <v>0.25</v>
      </c>
      <c r="BA62" s="9">
        <f>17/17</f>
        <v>1</v>
      </c>
      <c r="BB62" s="9">
        <f>(BC62+BD62+BE62+BF62)</f>
        <v>1</v>
      </c>
      <c r="BC62" s="9">
        <v>0.25</v>
      </c>
      <c r="BD62" s="9">
        <v>0.25</v>
      </c>
      <c r="BE62" s="9">
        <v>0.25</v>
      </c>
      <c r="BF62" s="9">
        <v>0.25</v>
      </c>
      <c r="BG62" s="10"/>
      <c r="BH62" s="9"/>
      <c r="BI62" s="9"/>
      <c r="BJ62" s="9"/>
      <c r="BK62" s="9"/>
      <c r="BL62" s="9"/>
      <c r="BM62" s="10">
        <f>20/20</f>
        <v>1</v>
      </c>
      <c r="BN62" s="10">
        <f>BO62+BP62+BQ62+BR62</f>
        <v>1</v>
      </c>
      <c r="BO62" s="9">
        <v>0.25</v>
      </c>
      <c r="BP62" s="9">
        <v>0.25</v>
      </c>
      <c r="BQ62" s="9">
        <v>0.25</v>
      </c>
      <c r="BR62" s="9">
        <v>0.25</v>
      </c>
      <c r="BS62" s="10">
        <f>23/25</f>
        <v>0.92</v>
      </c>
      <c r="BT62" s="10">
        <f t="shared" si="14"/>
        <v>1</v>
      </c>
      <c r="BU62" s="9">
        <v>0.25</v>
      </c>
      <c r="BV62" s="9">
        <v>0.25</v>
      </c>
      <c r="BW62" s="9">
        <v>0.25</v>
      </c>
      <c r="BX62" s="9">
        <v>0.25</v>
      </c>
      <c r="BY62" s="201">
        <f>17/17</f>
        <v>1</v>
      </c>
      <c r="BZ62" s="10">
        <f>(CA62+CB62+CC62+CD62)</f>
        <v>1</v>
      </c>
      <c r="CA62" s="9">
        <v>0.25</v>
      </c>
      <c r="CB62" s="9">
        <v>0.25</v>
      </c>
      <c r="CC62" s="9">
        <v>0.25</v>
      </c>
      <c r="CD62" s="9">
        <v>0.25</v>
      </c>
      <c r="CE62" s="10"/>
      <c r="CF62" s="9"/>
      <c r="CG62" s="9"/>
      <c r="CH62" s="9"/>
      <c r="CI62" s="9"/>
      <c r="CJ62" s="9"/>
      <c r="CK62" s="38">
        <f>(BM62+BS62+BY62)/3</f>
        <v>0.97333333333333327</v>
      </c>
      <c r="CL62" s="9">
        <f>+CK62/AJ62</f>
        <v>1.0814814814814815</v>
      </c>
    </row>
    <row r="63" spans="1:90" ht="78" customHeight="1" x14ac:dyDescent="0.25">
      <c r="A63" s="135"/>
      <c r="B63" s="135"/>
      <c r="C63" s="135"/>
      <c r="D63" s="135"/>
      <c r="E63" s="135"/>
      <c r="F63" s="167"/>
      <c r="G63" s="8"/>
      <c r="H63" s="29"/>
      <c r="I63" s="167"/>
      <c r="J63" s="147"/>
      <c r="K63" s="11" t="s">
        <v>61</v>
      </c>
      <c r="L63" s="11" t="s">
        <v>26</v>
      </c>
      <c r="M63" s="153"/>
      <c r="N63" s="44" t="s">
        <v>80</v>
      </c>
      <c r="O63" s="37">
        <v>3.8399999999999997E-2</v>
      </c>
      <c r="P63" s="43" t="s">
        <v>79</v>
      </c>
      <c r="Q63" s="16" t="s">
        <v>17</v>
      </c>
      <c r="R63" s="28" t="s">
        <v>17</v>
      </c>
      <c r="S63" s="44" t="s">
        <v>78</v>
      </c>
      <c r="T63" s="16" t="s">
        <v>34</v>
      </c>
      <c r="U63" s="40" t="s">
        <v>77</v>
      </c>
      <c r="V63" s="16" t="s">
        <v>32</v>
      </c>
      <c r="W63" s="28" t="s">
        <v>56</v>
      </c>
      <c r="X63" s="11" t="s">
        <v>76</v>
      </c>
      <c r="Y63" s="11" t="s">
        <v>17</v>
      </c>
      <c r="Z63" s="11" t="s">
        <v>17</v>
      </c>
      <c r="AA63" s="27" t="s">
        <v>30</v>
      </c>
      <c r="AB63" s="34"/>
      <c r="AC63" s="34"/>
      <c r="AD63" s="15"/>
      <c r="AE63" s="15"/>
      <c r="AF63" s="34"/>
      <c r="AG63" s="15">
        <v>0.45</v>
      </c>
      <c r="AH63" s="34"/>
      <c r="AI63" s="15"/>
      <c r="AJ63" s="15"/>
      <c r="AK63" s="34"/>
      <c r="AL63" s="34"/>
      <c r="AM63" s="15">
        <v>0.45</v>
      </c>
      <c r="AN63" s="9">
        <v>0.9</v>
      </c>
      <c r="AO63" s="8"/>
      <c r="AP63" s="8"/>
      <c r="AQ63" s="8"/>
      <c r="AR63" s="8"/>
      <c r="AS63" s="8"/>
      <c r="AT63" s="8"/>
      <c r="AU63" s="10">
        <f>4/4</f>
        <v>1</v>
      </c>
      <c r="AV63" s="9">
        <f t="shared" si="13"/>
        <v>1</v>
      </c>
      <c r="AW63" s="9">
        <v>0.25</v>
      </c>
      <c r="AX63" s="9">
        <v>0.25</v>
      </c>
      <c r="AY63" s="9">
        <v>0.25</v>
      </c>
      <c r="AZ63" s="9">
        <v>0.25</v>
      </c>
      <c r="BA63" s="8"/>
      <c r="BB63" s="8"/>
      <c r="BC63" s="8"/>
      <c r="BD63" s="8"/>
      <c r="BE63" s="8"/>
      <c r="BF63" s="8"/>
      <c r="BG63" s="10"/>
      <c r="BH63" s="42"/>
      <c r="BI63" s="42"/>
      <c r="BJ63" s="42"/>
      <c r="BK63" s="42"/>
      <c r="BL63" s="42"/>
      <c r="BM63" s="8"/>
      <c r="BN63" s="8"/>
      <c r="BO63" s="8"/>
      <c r="BP63" s="8"/>
      <c r="BQ63" s="8"/>
      <c r="BR63" s="8"/>
      <c r="BS63" s="10">
        <f>4/4</f>
        <v>1</v>
      </c>
      <c r="BT63" s="10">
        <f t="shared" si="14"/>
        <v>1</v>
      </c>
      <c r="BU63" s="9">
        <v>0.25</v>
      </c>
      <c r="BV63" s="9">
        <v>0.25</v>
      </c>
      <c r="BW63" s="9">
        <v>0.25</v>
      </c>
      <c r="BX63" s="9">
        <v>0.25</v>
      </c>
      <c r="BY63" s="205"/>
      <c r="BZ63" s="8"/>
      <c r="CA63" s="8"/>
      <c r="CB63" s="8"/>
      <c r="CC63" s="8"/>
      <c r="CD63" s="8"/>
      <c r="CE63" s="10"/>
      <c r="CF63" s="10"/>
      <c r="CG63" s="9"/>
      <c r="CH63" s="9"/>
      <c r="CI63" s="9"/>
      <c r="CJ63" s="9"/>
      <c r="CK63" s="10">
        <f>BS63</f>
        <v>1</v>
      </c>
      <c r="CL63" s="9">
        <v>1</v>
      </c>
    </row>
    <row r="64" spans="1:90" ht="78" customHeight="1" x14ac:dyDescent="0.25">
      <c r="A64" s="135"/>
      <c r="B64" s="135"/>
      <c r="C64" s="135"/>
      <c r="D64" s="135"/>
      <c r="E64" s="135"/>
      <c r="F64" s="167"/>
      <c r="G64" s="8"/>
      <c r="H64" s="29"/>
      <c r="I64" s="167"/>
      <c r="J64" s="147"/>
      <c r="K64" s="11" t="s">
        <v>61</v>
      </c>
      <c r="L64" s="11" t="s">
        <v>26</v>
      </c>
      <c r="M64" s="153"/>
      <c r="N64" s="12" t="s">
        <v>75</v>
      </c>
      <c r="O64" s="37">
        <v>3.8399999999999997E-2</v>
      </c>
      <c r="P64" s="43" t="s">
        <v>74</v>
      </c>
      <c r="Q64" s="11" t="s">
        <v>17</v>
      </c>
      <c r="R64" s="11" t="s">
        <v>17</v>
      </c>
      <c r="S64" s="8" t="s">
        <v>73</v>
      </c>
      <c r="T64" s="28" t="s">
        <v>34</v>
      </c>
      <c r="U64" s="40" t="s">
        <v>72</v>
      </c>
      <c r="V64" s="28" t="s">
        <v>32</v>
      </c>
      <c r="W64" s="11" t="s">
        <v>56</v>
      </c>
      <c r="X64" s="11" t="s">
        <v>71</v>
      </c>
      <c r="Y64" s="11" t="s">
        <v>17</v>
      </c>
      <c r="Z64" s="11" t="s">
        <v>17</v>
      </c>
      <c r="AA64" s="27" t="s">
        <v>41</v>
      </c>
      <c r="AB64" s="34"/>
      <c r="AC64" s="34"/>
      <c r="AD64" s="15">
        <v>0.9</v>
      </c>
      <c r="AE64" s="15"/>
      <c r="AF64" s="34"/>
      <c r="AG64" s="15">
        <v>0.9</v>
      </c>
      <c r="AH64" s="34"/>
      <c r="AI64" s="15"/>
      <c r="AJ64" s="15">
        <v>0.9</v>
      </c>
      <c r="AK64" s="34"/>
      <c r="AL64" s="34"/>
      <c r="AM64" s="15">
        <v>0.9</v>
      </c>
      <c r="AN64" s="9">
        <v>0.9</v>
      </c>
      <c r="AO64" s="10">
        <f>46/46</f>
        <v>1</v>
      </c>
      <c r="AP64" s="10">
        <f>AQ64+AR64+AS64+AT64</f>
        <v>1</v>
      </c>
      <c r="AQ64" s="9">
        <v>0.25</v>
      </c>
      <c r="AR64" s="9">
        <v>0.25</v>
      </c>
      <c r="AS64" s="9">
        <v>0.25</v>
      </c>
      <c r="AT64" s="9">
        <v>0.25</v>
      </c>
      <c r="AU64" s="9">
        <f>82/82</f>
        <v>1</v>
      </c>
      <c r="AV64" s="9">
        <f t="shared" si="13"/>
        <v>1</v>
      </c>
      <c r="AW64" s="9">
        <v>0.25</v>
      </c>
      <c r="AX64" s="9">
        <v>0.25</v>
      </c>
      <c r="AY64" s="9">
        <v>0.25</v>
      </c>
      <c r="AZ64" s="9">
        <v>0.25</v>
      </c>
      <c r="BA64" s="38">
        <f>73/74</f>
        <v>0.98648648648648651</v>
      </c>
      <c r="BB64" s="9">
        <f>(BC64+BD64+BE64+BF64)</f>
        <v>1</v>
      </c>
      <c r="BC64" s="9">
        <v>0.25</v>
      </c>
      <c r="BD64" s="9">
        <v>0.25</v>
      </c>
      <c r="BE64" s="9">
        <v>0.25</v>
      </c>
      <c r="BF64" s="9">
        <v>0.25</v>
      </c>
      <c r="BG64" s="10"/>
      <c r="BH64" s="9"/>
      <c r="BI64" s="9"/>
      <c r="BJ64" s="9"/>
      <c r="BK64" s="9"/>
      <c r="BL64" s="9"/>
      <c r="BM64" s="10">
        <f>46/46</f>
        <v>1</v>
      </c>
      <c r="BN64" s="10">
        <f>BO64+BP64+BQ64+BR64</f>
        <v>1</v>
      </c>
      <c r="BO64" s="9">
        <v>0.25</v>
      </c>
      <c r="BP64" s="9">
        <v>0.25</v>
      </c>
      <c r="BQ64" s="9">
        <v>0.25</v>
      </c>
      <c r="BR64" s="9">
        <v>0.25</v>
      </c>
      <c r="BS64" s="10">
        <f>82/82</f>
        <v>1</v>
      </c>
      <c r="BT64" s="10">
        <f t="shared" si="14"/>
        <v>1</v>
      </c>
      <c r="BU64" s="9">
        <v>0.25</v>
      </c>
      <c r="BV64" s="9">
        <v>0.25</v>
      </c>
      <c r="BW64" s="9">
        <v>0.25</v>
      </c>
      <c r="BX64" s="9">
        <v>0.25</v>
      </c>
      <c r="BY64" s="38">
        <f>73/74</f>
        <v>0.98648648648648651</v>
      </c>
      <c r="BZ64" s="10">
        <f>(CA64+CB64+CC64+CD64)</f>
        <v>1</v>
      </c>
      <c r="CA64" s="9">
        <v>0.25</v>
      </c>
      <c r="CB64" s="9">
        <v>0.25</v>
      </c>
      <c r="CC64" s="9">
        <v>0.25</v>
      </c>
      <c r="CD64" s="9">
        <v>0.25</v>
      </c>
      <c r="CE64" s="38"/>
      <c r="CF64" s="9"/>
      <c r="CG64" s="9"/>
      <c r="CH64" s="9"/>
      <c r="CI64" s="9"/>
      <c r="CJ64" s="9"/>
      <c r="CK64" s="38">
        <f>(BM64+BS64+BY64)/3</f>
        <v>0.99549549549549543</v>
      </c>
      <c r="CL64" s="37">
        <f>+CK64/AJ64</f>
        <v>1.1061061061061059</v>
      </c>
    </row>
    <row r="65" spans="1:90" ht="78" customHeight="1" x14ac:dyDescent="0.25">
      <c r="A65" s="135"/>
      <c r="B65" s="135"/>
      <c r="C65" s="135"/>
      <c r="D65" s="135"/>
      <c r="E65" s="135"/>
      <c r="F65" s="167"/>
      <c r="G65" s="8"/>
      <c r="H65" s="29"/>
      <c r="I65" s="167"/>
      <c r="J65" s="147"/>
      <c r="K65" s="11" t="s">
        <v>61</v>
      </c>
      <c r="L65" s="11" t="s">
        <v>26</v>
      </c>
      <c r="M65" s="153"/>
      <c r="N65" s="12" t="s">
        <v>70</v>
      </c>
      <c r="O65" s="37">
        <v>3.8399999999999997E-2</v>
      </c>
      <c r="P65" s="43" t="s">
        <v>69</v>
      </c>
      <c r="Q65" s="11" t="s">
        <v>17</v>
      </c>
      <c r="R65" s="11" t="s">
        <v>17</v>
      </c>
      <c r="S65" s="8" t="s">
        <v>68</v>
      </c>
      <c r="T65" s="28" t="s">
        <v>34</v>
      </c>
      <c r="U65" s="40" t="s">
        <v>63</v>
      </c>
      <c r="V65" s="28" t="s">
        <v>32</v>
      </c>
      <c r="W65" s="11" t="s">
        <v>56</v>
      </c>
      <c r="X65" s="11" t="s">
        <v>67</v>
      </c>
      <c r="Y65" s="11" t="s">
        <v>17</v>
      </c>
      <c r="Z65" s="11" t="s">
        <v>17</v>
      </c>
      <c r="AA65" s="27" t="s">
        <v>41</v>
      </c>
      <c r="AB65" s="34"/>
      <c r="AC65" s="34"/>
      <c r="AD65" s="15">
        <v>0.8</v>
      </c>
      <c r="AE65" s="15"/>
      <c r="AF65" s="34"/>
      <c r="AG65" s="15">
        <v>0.8</v>
      </c>
      <c r="AH65" s="34"/>
      <c r="AI65" s="15"/>
      <c r="AJ65" s="15">
        <v>0.8</v>
      </c>
      <c r="AK65" s="34"/>
      <c r="AL65" s="34"/>
      <c r="AM65" s="15">
        <v>0.8</v>
      </c>
      <c r="AN65" s="9">
        <v>0.8</v>
      </c>
      <c r="AO65" s="10">
        <f>12/12</f>
        <v>1</v>
      </c>
      <c r="AP65" s="10">
        <f>AQ65+AR65+AS65+AT65</f>
        <v>1</v>
      </c>
      <c r="AQ65" s="9">
        <v>0.25</v>
      </c>
      <c r="AR65" s="9">
        <v>0.25</v>
      </c>
      <c r="AS65" s="9">
        <v>0.25</v>
      </c>
      <c r="AT65" s="9">
        <v>0.25</v>
      </c>
      <c r="AU65" s="9">
        <f>36/37</f>
        <v>0.97297297297297303</v>
      </c>
      <c r="AV65" s="9">
        <f t="shared" si="13"/>
        <v>1</v>
      </c>
      <c r="AW65" s="9">
        <v>0.25</v>
      </c>
      <c r="AX65" s="9">
        <v>0.25</v>
      </c>
      <c r="AY65" s="9">
        <v>0.25</v>
      </c>
      <c r="AZ65" s="9">
        <v>0.25</v>
      </c>
      <c r="BA65" s="42">
        <f>28/28</f>
        <v>1</v>
      </c>
      <c r="BB65" s="9">
        <f>(BC65+BD65+BE65+BF65)</f>
        <v>1</v>
      </c>
      <c r="BC65" s="9">
        <v>0.25</v>
      </c>
      <c r="BD65" s="9">
        <v>0.25</v>
      </c>
      <c r="BE65" s="9">
        <v>0.25</v>
      </c>
      <c r="BF65" s="9">
        <v>0.25</v>
      </c>
      <c r="BG65" s="38"/>
      <c r="BH65" s="9"/>
      <c r="BI65" s="9"/>
      <c r="BJ65" s="9"/>
      <c r="BK65" s="9"/>
      <c r="BL65" s="9"/>
      <c r="BM65" s="10">
        <f>12/12</f>
        <v>1</v>
      </c>
      <c r="BN65" s="10">
        <f>BO65+BP65+BQ65+BR65</f>
        <v>1</v>
      </c>
      <c r="BO65" s="9">
        <v>0.25</v>
      </c>
      <c r="BP65" s="9">
        <v>0.25</v>
      </c>
      <c r="BQ65" s="9">
        <v>0.25</v>
      </c>
      <c r="BR65" s="9">
        <v>0.25</v>
      </c>
      <c r="BS65" s="38">
        <f>36/37</f>
        <v>0.97297297297297303</v>
      </c>
      <c r="BT65" s="10">
        <f t="shared" si="14"/>
        <v>1</v>
      </c>
      <c r="BU65" s="9">
        <v>0.25</v>
      </c>
      <c r="BV65" s="9">
        <v>0.25</v>
      </c>
      <c r="BW65" s="9">
        <v>0.25</v>
      </c>
      <c r="BX65" s="9">
        <v>0.25</v>
      </c>
      <c r="BY65" s="10">
        <f>28/28</f>
        <v>1</v>
      </c>
      <c r="BZ65" s="10">
        <f>(CA65+CB65+CC65+CD65)</f>
        <v>1</v>
      </c>
      <c r="CA65" s="9">
        <v>0.25</v>
      </c>
      <c r="CB65" s="9">
        <v>0.25</v>
      </c>
      <c r="CC65" s="9">
        <v>0.25</v>
      </c>
      <c r="CD65" s="9">
        <v>0.25</v>
      </c>
      <c r="CE65" s="38"/>
      <c r="CF65" s="10"/>
      <c r="CG65" s="9"/>
      <c r="CH65" s="9"/>
      <c r="CI65" s="9"/>
      <c r="CJ65" s="9"/>
      <c r="CK65" s="38">
        <f>(BM65+BS65+BY65)/3</f>
        <v>0.99099099099099097</v>
      </c>
      <c r="CL65" s="37">
        <f>+CK65/AJ65</f>
        <v>1.2387387387387387</v>
      </c>
    </row>
    <row r="66" spans="1:90" ht="78" customHeight="1" x14ac:dyDescent="0.25">
      <c r="A66" s="135"/>
      <c r="B66" s="135"/>
      <c r="C66" s="135"/>
      <c r="D66" s="135"/>
      <c r="E66" s="135"/>
      <c r="F66" s="167"/>
      <c r="G66" s="8"/>
      <c r="H66" s="29"/>
      <c r="I66" s="167"/>
      <c r="J66" s="147"/>
      <c r="K66" s="11" t="s">
        <v>61</v>
      </c>
      <c r="L66" s="11" t="s">
        <v>26</v>
      </c>
      <c r="M66" s="153"/>
      <c r="N66" s="12" t="s">
        <v>66</v>
      </c>
      <c r="O66" s="37">
        <v>3.8399999999999997E-2</v>
      </c>
      <c r="P66" s="41" t="s">
        <v>65</v>
      </c>
      <c r="Q66" s="11" t="s">
        <v>17</v>
      </c>
      <c r="R66" s="11" t="s">
        <v>17</v>
      </c>
      <c r="S66" s="8" t="s">
        <v>64</v>
      </c>
      <c r="T66" s="28" t="s">
        <v>34</v>
      </c>
      <c r="U66" s="40" t="s">
        <v>63</v>
      </c>
      <c r="V66" s="28" t="s">
        <v>32</v>
      </c>
      <c r="W66" s="11" t="s">
        <v>56</v>
      </c>
      <c r="X66" s="11" t="s">
        <v>62</v>
      </c>
      <c r="Y66" s="11" t="s">
        <v>17</v>
      </c>
      <c r="Z66" s="11" t="s">
        <v>17</v>
      </c>
      <c r="AA66" s="27" t="s">
        <v>41</v>
      </c>
      <c r="AB66" s="8"/>
      <c r="AC66" s="8"/>
      <c r="AD66" s="15">
        <v>0.9</v>
      </c>
      <c r="AE66" s="15"/>
      <c r="AF66" s="34"/>
      <c r="AG66" s="15">
        <v>0.9</v>
      </c>
      <c r="AH66" s="34"/>
      <c r="AI66" s="15"/>
      <c r="AJ66" s="15">
        <v>0.9</v>
      </c>
      <c r="AK66" s="34"/>
      <c r="AL66" s="34"/>
      <c r="AM66" s="15">
        <v>0.9</v>
      </c>
      <c r="AN66" s="9">
        <v>0.9</v>
      </c>
      <c r="AO66" s="10">
        <f>145/145</f>
        <v>1</v>
      </c>
      <c r="AP66" s="10">
        <f>AQ66+AR66+AS66+AT66</f>
        <v>1</v>
      </c>
      <c r="AQ66" s="9">
        <v>0.25</v>
      </c>
      <c r="AR66" s="9">
        <v>0.25</v>
      </c>
      <c r="AS66" s="9">
        <v>0.25</v>
      </c>
      <c r="AT66" s="9">
        <v>0.25</v>
      </c>
      <c r="AU66" s="9">
        <f>220/220</f>
        <v>1</v>
      </c>
      <c r="AV66" s="9">
        <f t="shared" si="13"/>
        <v>1</v>
      </c>
      <c r="AW66" s="9">
        <v>0.25</v>
      </c>
      <c r="AX66" s="9">
        <v>0.25</v>
      </c>
      <c r="AY66" s="9">
        <v>0.25</v>
      </c>
      <c r="AZ66" s="9">
        <v>0.25</v>
      </c>
      <c r="BA66" s="9">
        <f>216/216</f>
        <v>1</v>
      </c>
      <c r="BB66" s="9">
        <f>(BC66+BD66+BE66+BF66)</f>
        <v>1</v>
      </c>
      <c r="BC66" s="9">
        <v>0.25</v>
      </c>
      <c r="BD66" s="9">
        <v>0.25</v>
      </c>
      <c r="BE66" s="9">
        <v>0.25</v>
      </c>
      <c r="BF66" s="9">
        <v>0.25</v>
      </c>
      <c r="BG66" s="10"/>
      <c r="BH66" s="9"/>
      <c r="BI66" s="9"/>
      <c r="BJ66" s="9"/>
      <c r="BK66" s="9"/>
      <c r="BL66" s="9"/>
      <c r="BM66" s="10">
        <f>145/145</f>
        <v>1</v>
      </c>
      <c r="BN66" s="10">
        <f>BO66+BP66+BQ66+BR66</f>
        <v>1</v>
      </c>
      <c r="BO66" s="9">
        <v>0.25</v>
      </c>
      <c r="BP66" s="9">
        <v>0.25</v>
      </c>
      <c r="BQ66" s="9">
        <v>0.25</v>
      </c>
      <c r="BR66" s="9">
        <v>0.25</v>
      </c>
      <c r="BS66" s="10">
        <f>220/220</f>
        <v>1</v>
      </c>
      <c r="BT66" s="10">
        <f t="shared" si="14"/>
        <v>1</v>
      </c>
      <c r="BU66" s="9">
        <v>0.25</v>
      </c>
      <c r="BV66" s="9">
        <v>0.25</v>
      </c>
      <c r="BW66" s="9">
        <v>0.25</v>
      </c>
      <c r="BX66" s="9">
        <v>0.25</v>
      </c>
      <c r="BY66" s="201">
        <f>216/216</f>
        <v>1</v>
      </c>
      <c r="BZ66" s="10">
        <f>(CA66+CB66+CC66+CD66)</f>
        <v>1</v>
      </c>
      <c r="CA66" s="9">
        <v>0.25</v>
      </c>
      <c r="CB66" s="9">
        <v>0.25</v>
      </c>
      <c r="CC66" s="9">
        <v>0.25</v>
      </c>
      <c r="CD66" s="9">
        <v>0.25</v>
      </c>
      <c r="CE66" s="10"/>
      <c r="CF66" s="9"/>
      <c r="CG66" s="9"/>
      <c r="CH66" s="9"/>
      <c r="CI66" s="9"/>
      <c r="CJ66" s="9"/>
      <c r="CK66" s="10">
        <f>(BM66+BS66+BY66)/3</f>
        <v>1</v>
      </c>
      <c r="CL66" s="9">
        <f>CK66/AJ66</f>
        <v>1.1111111111111112</v>
      </c>
    </row>
    <row r="67" spans="1:90" ht="78" customHeight="1" x14ac:dyDescent="0.25">
      <c r="A67" s="135"/>
      <c r="B67" s="135"/>
      <c r="C67" s="135"/>
      <c r="D67" s="135"/>
      <c r="E67" s="135"/>
      <c r="F67" s="167"/>
      <c r="G67" s="8"/>
      <c r="H67" s="29"/>
      <c r="I67" s="167"/>
      <c r="J67" s="147"/>
      <c r="K67" s="11" t="s">
        <v>61</v>
      </c>
      <c r="L67" s="11" t="s">
        <v>26</v>
      </c>
      <c r="M67" s="153"/>
      <c r="N67" s="12" t="s">
        <v>60</v>
      </c>
      <c r="O67" s="37">
        <v>3.8399999999999997E-2</v>
      </c>
      <c r="P67" s="41" t="s">
        <v>59</v>
      </c>
      <c r="Q67" s="11" t="s">
        <v>17</v>
      </c>
      <c r="R67" s="11" t="s">
        <v>17</v>
      </c>
      <c r="S67" s="8" t="s">
        <v>58</v>
      </c>
      <c r="T67" s="28" t="s">
        <v>34</v>
      </c>
      <c r="U67" s="40" t="s">
        <v>57</v>
      </c>
      <c r="V67" s="28" t="s">
        <v>32</v>
      </c>
      <c r="W67" s="11" t="s">
        <v>56</v>
      </c>
      <c r="X67" s="11" t="s">
        <v>55</v>
      </c>
      <c r="Y67" s="11" t="s">
        <v>17</v>
      </c>
      <c r="Z67" s="11" t="s">
        <v>17</v>
      </c>
      <c r="AA67" s="27" t="s">
        <v>41</v>
      </c>
      <c r="AB67" s="8"/>
      <c r="AC67" s="8"/>
      <c r="AD67" s="9">
        <v>0.2</v>
      </c>
      <c r="AE67" s="11"/>
      <c r="AF67" s="11"/>
      <c r="AG67" s="9">
        <v>0.2</v>
      </c>
      <c r="AH67" s="11"/>
      <c r="AI67" s="11"/>
      <c r="AJ67" s="9">
        <v>0.2</v>
      </c>
      <c r="AK67" s="11"/>
      <c r="AL67" s="11"/>
      <c r="AM67" s="9">
        <v>0.2</v>
      </c>
      <c r="AN67" s="9">
        <v>0.2</v>
      </c>
      <c r="AO67" s="38">
        <f>9/71</f>
        <v>0.12676056338028169</v>
      </c>
      <c r="AP67" s="10">
        <f>AQ67+AR67+AS67+AT67</f>
        <v>1</v>
      </c>
      <c r="AQ67" s="9">
        <v>0.25</v>
      </c>
      <c r="AR67" s="9">
        <v>0.25</v>
      </c>
      <c r="AS67" s="9">
        <v>0.25</v>
      </c>
      <c r="AT67" s="9">
        <v>0.25</v>
      </c>
      <c r="AU67" s="9">
        <f>11/84</f>
        <v>0.13095238095238096</v>
      </c>
      <c r="AV67" s="9">
        <f t="shared" si="13"/>
        <v>1</v>
      </c>
      <c r="AW67" s="9">
        <v>0.25</v>
      </c>
      <c r="AX67" s="9">
        <v>0.25</v>
      </c>
      <c r="AY67" s="9">
        <v>0.25</v>
      </c>
      <c r="AZ67" s="9">
        <v>0.25</v>
      </c>
      <c r="BA67" s="38">
        <f>16/101</f>
        <v>0.15841584158415842</v>
      </c>
      <c r="BB67" s="9">
        <f>(BC67+BD67+BE67+BF67)</f>
        <v>1</v>
      </c>
      <c r="BC67" s="9">
        <v>0.25</v>
      </c>
      <c r="BD67" s="9">
        <v>0.25</v>
      </c>
      <c r="BE67" s="9">
        <v>0.25</v>
      </c>
      <c r="BF67" s="9">
        <v>0.25</v>
      </c>
      <c r="BG67" s="38"/>
      <c r="BH67" s="9"/>
      <c r="BI67" s="9"/>
      <c r="BJ67" s="9"/>
      <c r="BK67" s="9"/>
      <c r="BL67" s="9"/>
      <c r="BM67" s="38">
        <f>9/71</f>
        <v>0.12676056338028169</v>
      </c>
      <c r="BN67" s="10">
        <f>BO67+BP67+BQ67+BR67</f>
        <v>1</v>
      </c>
      <c r="BO67" s="9">
        <v>0.25</v>
      </c>
      <c r="BP67" s="9">
        <v>0.25</v>
      </c>
      <c r="BQ67" s="9">
        <v>0.25</v>
      </c>
      <c r="BR67" s="9">
        <v>0.25</v>
      </c>
      <c r="BS67" s="38">
        <f>11/84</f>
        <v>0.13095238095238096</v>
      </c>
      <c r="BT67" s="10">
        <f t="shared" si="14"/>
        <v>1</v>
      </c>
      <c r="BU67" s="9">
        <v>0.25</v>
      </c>
      <c r="BV67" s="9">
        <v>0.25</v>
      </c>
      <c r="BW67" s="9">
        <v>0.25</v>
      </c>
      <c r="BX67" s="9">
        <v>0.25</v>
      </c>
      <c r="BY67" s="38">
        <f>16/101</f>
        <v>0.15841584158415842</v>
      </c>
      <c r="BZ67" s="10">
        <f>(CA67+CB67+CC67+CD67)</f>
        <v>1</v>
      </c>
      <c r="CA67" s="9">
        <v>0.25</v>
      </c>
      <c r="CB67" s="9">
        <v>0.25</v>
      </c>
      <c r="CC67" s="9">
        <v>0.25</v>
      </c>
      <c r="CD67" s="9">
        <v>0.25</v>
      </c>
      <c r="CE67" s="38"/>
      <c r="CF67" s="10"/>
      <c r="CG67" s="9"/>
      <c r="CH67" s="9"/>
      <c r="CI67" s="9"/>
      <c r="CJ67" s="9"/>
      <c r="CK67" s="38">
        <f>(BM67+BS67+BY67)/3</f>
        <v>0.13870959530560703</v>
      </c>
      <c r="CL67" s="37">
        <f>+CK67/AJ67</f>
        <v>0.69354797652803513</v>
      </c>
    </row>
    <row r="68" spans="1:90" ht="78" customHeight="1" x14ac:dyDescent="0.25">
      <c r="A68" s="135"/>
      <c r="B68" s="135"/>
      <c r="C68" s="135"/>
      <c r="D68" s="135"/>
      <c r="E68" s="135"/>
      <c r="F68" s="167"/>
      <c r="G68" s="8"/>
      <c r="H68" s="29"/>
      <c r="I68" s="167"/>
      <c r="J68" s="147"/>
      <c r="K68" s="11" t="s">
        <v>54</v>
      </c>
      <c r="L68" s="11" t="s">
        <v>26</v>
      </c>
      <c r="M68" s="153"/>
      <c r="N68" s="12" t="s">
        <v>53</v>
      </c>
      <c r="O68" s="37">
        <v>3.8399999999999997E-2</v>
      </c>
      <c r="P68" s="36" t="s">
        <v>52</v>
      </c>
      <c r="Q68" s="11" t="s">
        <v>17</v>
      </c>
      <c r="R68" s="11" t="s">
        <v>17</v>
      </c>
      <c r="S68" s="17" t="s">
        <v>51</v>
      </c>
      <c r="T68" s="28" t="s">
        <v>34</v>
      </c>
      <c r="U68" s="17" t="s">
        <v>50</v>
      </c>
      <c r="V68" s="28" t="s">
        <v>32</v>
      </c>
      <c r="W68" s="11" t="s">
        <v>49</v>
      </c>
      <c r="X68" s="13" t="s">
        <v>18</v>
      </c>
      <c r="Y68" s="11" t="s">
        <v>17</v>
      </c>
      <c r="Z68" s="11" t="s">
        <v>17</v>
      </c>
      <c r="AA68" s="11" t="s">
        <v>30</v>
      </c>
      <c r="AB68" s="11"/>
      <c r="AC68" s="11"/>
      <c r="AD68" s="11"/>
      <c r="AE68" s="9"/>
      <c r="AF68" s="11"/>
      <c r="AG68" s="9">
        <v>0.4</v>
      </c>
      <c r="AH68" s="11"/>
      <c r="AI68" s="9"/>
      <c r="AJ68" s="11"/>
      <c r="AK68" s="11"/>
      <c r="AL68" s="11"/>
      <c r="AM68" s="9">
        <v>0.4</v>
      </c>
      <c r="AN68" s="9">
        <f>AM68+AG68</f>
        <v>0.8</v>
      </c>
      <c r="AO68" s="8"/>
      <c r="AP68" s="8"/>
      <c r="AQ68" s="8"/>
      <c r="AR68" s="8"/>
      <c r="AS68" s="8"/>
      <c r="AT68" s="8"/>
      <c r="AU68" s="9">
        <f>71/100</f>
        <v>0.71</v>
      </c>
      <c r="AV68" s="9">
        <f t="shared" si="13"/>
        <v>1</v>
      </c>
      <c r="AW68" s="9">
        <v>0.25</v>
      </c>
      <c r="AX68" s="9">
        <v>0.25</v>
      </c>
      <c r="AY68" s="9">
        <v>0.25</v>
      </c>
      <c r="AZ68" s="9">
        <v>0.25</v>
      </c>
      <c r="BA68" s="38"/>
      <c r="BB68" s="9"/>
      <c r="BC68" s="39"/>
      <c r="BD68" s="39"/>
      <c r="BE68" s="39"/>
      <c r="BF68" s="39"/>
      <c r="BG68" s="8"/>
      <c r="BH68" s="8"/>
      <c r="BI68" s="8"/>
      <c r="BJ68" s="8"/>
      <c r="BK68" s="8"/>
      <c r="BL68" s="8"/>
      <c r="BM68" s="8"/>
      <c r="BN68" s="8"/>
      <c r="BO68" s="8"/>
      <c r="BP68" s="8"/>
      <c r="BQ68" s="8"/>
      <c r="BR68" s="8"/>
      <c r="BS68" s="10">
        <f>71/100</f>
        <v>0.71</v>
      </c>
      <c r="BT68" s="9">
        <f t="shared" si="14"/>
        <v>1</v>
      </c>
      <c r="BU68" s="9">
        <v>0.25</v>
      </c>
      <c r="BV68" s="9">
        <v>0.25</v>
      </c>
      <c r="BW68" s="9">
        <v>0.25</v>
      </c>
      <c r="BX68" s="9">
        <v>0.25</v>
      </c>
      <c r="BY68" s="38"/>
      <c r="BZ68" s="9"/>
      <c r="CA68" s="9"/>
      <c r="CB68" s="9"/>
      <c r="CC68" s="9"/>
      <c r="CD68" s="9"/>
      <c r="CE68" s="8"/>
      <c r="CF68" s="8"/>
      <c r="CG68" s="8"/>
      <c r="CH68" s="8"/>
      <c r="CI68" s="8"/>
      <c r="CJ68" s="8"/>
      <c r="CK68" s="10">
        <f>BS68</f>
        <v>0.71</v>
      </c>
      <c r="CL68" s="9">
        <f>CK68/AG68</f>
        <v>1.7749999999999999</v>
      </c>
    </row>
    <row r="69" spans="1:90" ht="78" customHeight="1" x14ac:dyDescent="0.25">
      <c r="A69" s="135"/>
      <c r="B69" s="135"/>
      <c r="C69" s="135"/>
      <c r="D69" s="135"/>
      <c r="E69" s="135"/>
      <c r="F69" s="167"/>
      <c r="G69" s="8"/>
      <c r="H69" s="29"/>
      <c r="I69" s="160"/>
      <c r="J69" s="148"/>
      <c r="K69" s="11" t="s">
        <v>48</v>
      </c>
      <c r="L69" s="11" t="s">
        <v>26</v>
      </c>
      <c r="M69" s="154"/>
      <c r="N69" s="12" t="s">
        <v>47</v>
      </c>
      <c r="O69" s="37">
        <v>3.8399999999999997E-2</v>
      </c>
      <c r="P69" s="36" t="s">
        <v>46</v>
      </c>
      <c r="Q69" s="11" t="s">
        <v>17</v>
      </c>
      <c r="R69" s="11" t="s">
        <v>17</v>
      </c>
      <c r="S69" s="17" t="s">
        <v>45</v>
      </c>
      <c r="T69" s="35" t="s">
        <v>34</v>
      </c>
      <c r="U69" s="17" t="s">
        <v>44</v>
      </c>
      <c r="V69" s="28" t="s">
        <v>43</v>
      </c>
      <c r="W69" s="11" t="s">
        <v>42</v>
      </c>
      <c r="X69" s="13" t="s">
        <v>18</v>
      </c>
      <c r="Y69" s="11" t="s">
        <v>17</v>
      </c>
      <c r="Z69" s="11" t="s">
        <v>17</v>
      </c>
      <c r="AA69" s="11" t="s">
        <v>41</v>
      </c>
      <c r="AB69" s="34"/>
      <c r="AC69" s="34"/>
      <c r="AD69" s="15">
        <v>0.38</v>
      </c>
      <c r="AE69" s="15"/>
      <c r="AF69" s="15"/>
      <c r="AG69" s="15">
        <v>0.3</v>
      </c>
      <c r="AH69" s="15"/>
      <c r="AI69" s="15"/>
      <c r="AJ69" s="15">
        <v>0.23</v>
      </c>
      <c r="AK69" s="15"/>
      <c r="AL69" s="15"/>
      <c r="AM69" s="15">
        <v>0.09</v>
      </c>
      <c r="AN69" s="15">
        <f>AD69+AG69+AJ69+AM69</f>
        <v>0.99999999999999989</v>
      </c>
      <c r="AO69" s="10">
        <f>30/30</f>
        <v>1</v>
      </c>
      <c r="AP69" s="9">
        <v>1</v>
      </c>
      <c r="AQ69" s="9">
        <v>0.25</v>
      </c>
      <c r="AR69" s="9">
        <v>0.25</v>
      </c>
      <c r="AS69" s="9">
        <v>0</v>
      </c>
      <c r="AT69" s="9">
        <v>0.25</v>
      </c>
      <c r="AU69" s="33"/>
      <c r="AV69" s="32"/>
      <c r="AW69" s="32"/>
      <c r="AX69" s="32"/>
      <c r="AY69" s="32"/>
      <c r="AZ69" s="32"/>
      <c r="BA69" s="33">
        <f>71/71</f>
        <v>1</v>
      </c>
      <c r="BB69" s="9">
        <f>(BC69+BD69+BE69+BF69)</f>
        <v>1</v>
      </c>
      <c r="BC69" s="9">
        <v>0.25</v>
      </c>
      <c r="BD69" s="9">
        <v>0.25</v>
      </c>
      <c r="BE69" s="9">
        <v>0.25</v>
      </c>
      <c r="BF69" s="9">
        <v>0.25</v>
      </c>
      <c r="BG69" s="31"/>
      <c r="BH69" s="32"/>
      <c r="BI69" s="32"/>
      <c r="BJ69" s="32"/>
      <c r="BK69" s="32"/>
      <c r="BL69" s="32"/>
      <c r="BM69" s="10">
        <f>30/30</f>
        <v>1</v>
      </c>
      <c r="BN69" s="9">
        <f>BO69+BP69+BR69</f>
        <v>0.75</v>
      </c>
      <c r="BO69" s="9">
        <v>0.25</v>
      </c>
      <c r="BP69" s="9">
        <v>0.25</v>
      </c>
      <c r="BQ69" s="9">
        <v>0</v>
      </c>
      <c r="BR69" s="9">
        <v>0.25</v>
      </c>
      <c r="BS69" s="10">
        <f>30/30</f>
        <v>1</v>
      </c>
      <c r="BT69" s="10">
        <f t="shared" si="14"/>
        <v>1</v>
      </c>
      <c r="BU69" s="9">
        <v>0.25</v>
      </c>
      <c r="BV69" s="9">
        <v>0.25</v>
      </c>
      <c r="BW69" s="9">
        <v>0.25</v>
      </c>
      <c r="BX69" s="9">
        <v>0.25</v>
      </c>
      <c r="BY69" s="210">
        <f>71/71</f>
        <v>1</v>
      </c>
      <c r="BZ69" s="10">
        <f>(CA69+CB69+CC69+CD69)</f>
        <v>1</v>
      </c>
      <c r="CA69" s="9">
        <v>0.25</v>
      </c>
      <c r="CB69" s="9">
        <v>0.25</v>
      </c>
      <c r="CC69" s="9">
        <v>0.25</v>
      </c>
      <c r="CD69" s="9">
        <v>0.25</v>
      </c>
      <c r="CE69" s="31"/>
      <c r="CF69" s="30"/>
      <c r="CG69" s="9"/>
      <c r="CH69" s="9"/>
      <c r="CI69" s="9"/>
      <c r="CJ69" s="9"/>
      <c r="CK69" s="10">
        <f>(BM69+BS69+BY69)/3</f>
        <v>1</v>
      </c>
      <c r="CL69" s="9">
        <f>CK69/(AD69+AG69+AJ69)</f>
        <v>1.098901098901099</v>
      </c>
    </row>
    <row r="70" spans="1:90" ht="78" customHeight="1" x14ac:dyDescent="0.25">
      <c r="A70" s="135"/>
      <c r="B70" s="135"/>
      <c r="C70" s="135"/>
      <c r="D70" s="135"/>
      <c r="E70" s="135"/>
      <c r="F70" s="167"/>
      <c r="G70" s="8"/>
      <c r="H70" s="29"/>
      <c r="I70" s="21" t="s">
        <v>40</v>
      </c>
      <c r="J70" s="20" t="s">
        <v>28</v>
      </c>
      <c r="K70" s="11" t="s">
        <v>39</v>
      </c>
      <c r="L70" s="16" t="s">
        <v>38</v>
      </c>
      <c r="M70" s="9">
        <v>1</v>
      </c>
      <c r="N70" s="12" t="s">
        <v>37</v>
      </c>
      <c r="O70" s="9">
        <v>1</v>
      </c>
      <c r="P70" s="17" t="s">
        <v>36</v>
      </c>
      <c r="Q70" s="11" t="s">
        <v>17</v>
      </c>
      <c r="R70" s="11" t="s">
        <v>17</v>
      </c>
      <c r="S70" s="17" t="s">
        <v>35</v>
      </c>
      <c r="T70" s="28" t="s">
        <v>34</v>
      </c>
      <c r="U70" s="17" t="s">
        <v>33</v>
      </c>
      <c r="V70" s="16" t="s">
        <v>32</v>
      </c>
      <c r="W70" s="11" t="s">
        <v>31</v>
      </c>
      <c r="X70" s="13" t="s">
        <v>18</v>
      </c>
      <c r="Y70" s="11" t="s">
        <v>17</v>
      </c>
      <c r="Z70" s="11" t="s">
        <v>17</v>
      </c>
      <c r="AA70" s="27" t="s">
        <v>30</v>
      </c>
      <c r="AB70" s="13"/>
      <c r="AC70" s="13"/>
      <c r="AD70" s="26"/>
      <c r="AE70" s="13"/>
      <c r="AF70" s="13"/>
      <c r="AG70" s="25">
        <v>1</v>
      </c>
      <c r="AH70" s="25"/>
      <c r="AI70" s="25"/>
      <c r="AJ70" s="25"/>
      <c r="AK70" s="25"/>
      <c r="AL70" s="25"/>
      <c r="AM70" s="25">
        <v>1</v>
      </c>
      <c r="AN70" s="24">
        <v>1</v>
      </c>
      <c r="AO70" s="8"/>
      <c r="AP70" s="8"/>
      <c r="AQ70" s="8"/>
      <c r="AR70" s="8"/>
      <c r="AS70" s="8"/>
      <c r="AT70" s="8"/>
      <c r="AU70" s="10">
        <v>1</v>
      </c>
      <c r="AV70" s="9">
        <f>SUBTOTAL(9,AW70:AZ70)</f>
        <v>1</v>
      </c>
      <c r="AW70" s="23">
        <f>(25%+25%+25%)/3</f>
        <v>0.25</v>
      </c>
      <c r="AX70" s="23">
        <f>(25%+25%+25%)/3</f>
        <v>0.25</v>
      </c>
      <c r="AY70" s="23">
        <f>(25%+25%+25%)/3</f>
        <v>0.25</v>
      </c>
      <c r="AZ70" s="23">
        <f>(25%+25%+25%)/3</f>
        <v>0.25</v>
      </c>
      <c r="BA70" s="8"/>
      <c r="BB70" s="8"/>
      <c r="BC70" s="8"/>
      <c r="BD70" s="8"/>
      <c r="BE70" s="8"/>
      <c r="BF70" s="8"/>
      <c r="BG70" s="8"/>
      <c r="BH70" s="8"/>
      <c r="BI70" s="8"/>
      <c r="BJ70" s="8"/>
      <c r="BK70" s="8"/>
      <c r="BL70" s="8"/>
      <c r="BM70" s="8"/>
      <c r="BN70" s="8"/>
      <c r="BO70" s="8"/>
      <c r="BP70" s="8"/>
      <c r="BQ70" s="8"/>
      <c r="BR70" s="8"/>
      <c r="BS70" s="10">
        <v>1</v>
      </c>
      <c r="BT70" s="9">
        <f t="shared" si="14"/>
        <v>1</v>
      </c>
      <c r="BU70" s="23">
        <f>(25%+25%+25%)/3</f>
        <v>0.25</v>
      </c>
      <c r="BV70" s="23">
        <f>(25%+25%+25%)/3</f>
        <v>0.25</v>
      </c>
      <c r="BW70" s="23">
        <f>(25%+25%+25%)/3</f>
        <v>0.25</v>
      </c>
      <c r="BX70" s="23">
        <f>(25%+25%+25%)/3</f>
        <v>0.25</v>
      </c>
      <c r="BY70" s="200"/>
      <c r="BZ70" s="8"/>
      <c r="CA70" s="8"/>
      <c r="CB70" s="8"/>
      <c r="CC70" s="8"/>
      <c r="CD70" s="8"/>
      <c r="CE70" s="8"/>
      <c r="CF70" s="8"/>
      <c r="CG70" s="8"/>
      <c r="CH70" s="8"/>
      <c r="CI70" s="8"/>
      <c r="CJ70" s="8"/>
      <c r="CK70" s="10">
        <f>BS70</f>
        <v>1</v>
      </c>
      <c r="CL70" s="9">
        <f>+CK70/AG70</f>
        <v>1</v>
      </c>
    </row>
    <row r="71" spans="1:90" ht="78" customHeight="1" x14ac:dyDescent="0.25">
      <c r="A71" s="136"/>
      <c r="B71" s="136"/>
      <c r="C71" s="136"/>
      <c r="D71" s="136"/>
      <c r="E71" s="136"/>
      <c r="F71" s="160"/>
      <c r="G71" s="8"/>
      <c r="H71" s="22"/>
      <c r="I71" s="21" t="s">
        <v>29</v>
      </c>
      <c r="J71" s="20" t="s">
        <v>28</v>
      </c>
      <c r="K71" s="11" t="s">
        <v>27</v>
      </c>
      <c r="L71" s="16" t="s">
        <v>26</v>
      </c>
      <c r="M71" s="19">
        <v>1</v>
      </c>
      <c r="N71" s="17" t="s">
        <v>25</v>
      </c>
      <c r="O71" s="9">
        <v>1</v>
      </c>
      <c r="P71" s="17" t="s">
        <v>24</v>
      </c>
      <c r="Q71" s="11" t="s">
        <v>17</v>
      </c>
      <c r="R71" s="11" t="s">
        <v>17</v>
      </c>
      <c r="S71" s="17" t="s">
        <v>23</v>
      </c>
      <c r="T71" s="18" t="s">
        <v>22</v>
      </c>
      <c r="U71" s="17" t="s">
        <v>21</v>
      </c>
      <c r="V71" s="16" t="s">
        <v>20</v>
      </c>
      <c r="W71" s="16" t="s">
        <v>19</v>
      </c>
      <c r="X71" s="13" t="s">
        <v>18</v>
      </c>
      <c r="Y71" s="11" t="s">
        <v>17</v>
      </c>
      <c r="Z71" s="11" t="s">
        <v>17</v>
      </c>
      <c r="AA71" s="13" t="s">
        <v>16</v>
      </c>
      <c r="AB71" s="13"/>
      <c r="AC71" s="13"/>
      <c r="AD71" s="15"/>
      <c r="AE71" s="13"/>
      <c r="AF71" s="13"/>
      <c r="AG71" s="13">
        <v>1</v>
      </c>
      <c r="AH71" s="13"/>
      <c r="AI71" s="13"/>
      <c r="AJ71" s="15"/>
      <c r="AK71" s="13"/>
      <c r="AL71" s="13"/>
      <c r="AM71" s="14"/>
      <c r="AN71" s="13">
        <v>1</v>
      </c>
      <c r="AO71" s="8"/>
      <c r="AP71" s="8"/>
      <c r="AQ71" s="8"/>
      <c r="AR71" s="8"/>
      <c r="AS71" s="8"/>
      <c r="AT71" s="8"/>
      <c r="AU71" s="8"/>
      <c r="AV71" s="8"/>
      <c r="AW71" s="8"/>
      <c r="AX71" s="8"/>
      <c r="AY71" s="8"/>
      <c r="AZ71" s="8"/>
      <c r="BA71" s="11"/>
      <c r="BB71" s="9"/>
      <c r="BC71" s="9"/>
      <c r="BD71" s="9"/>
      <c r="BE71" s="9"/>
      <c r="BF71" s="9"/>
      <c r="BG71" s="8"/>
      <c r="BH71" s="8"/>
      <c r="BI71" s="8"/>
      <c r="BJ71" s="8"/>
      <c r="BK71" s="8"/>
      <c r="BL71" s="8"/>
      <c r="BM71" s="11"/>
      <c r="BN71" s="8"/>
      <c r="BO71" s="8"/>
      <c r="BP71" s="8"/>
      <c r="BQ71" s="8"/>
      <c r="BR71" s="8"/>
      <c r="BS71" s="201">
        <v>0</v>
      </c>
      <c r="BT71" s="9">
        <f t="shared" si="14"/>
        <v>0</v>
      </c>
      <c r="BU71" s="9">
        <v>0</v>
      </c>
      <c r="BV71" s="9">
        <v>0</v>
      </c>
      <c r="BW71" s="9">
        <v>0</v>
      </c>
      <c r="BX71" s="9">
        <v>0</v>
      </c>
      <c r="BY71" s="200"/>
      <c r="BZ71" s="10"/>
      <c r="CA71" s="9"/>
      <c r="CB71" s="9"/>
      <c r="CC71" s="9"/>
      <c r="CD71" s="9"/>
      <c r="CE71" s="8"/>
      <c r="CF71" s="8"/>
      <c r="CG71" s="8"/>
      <c r="CH71" s="8"/>
      <c r="CI71" s="8"/>
      <c r="CJ71" s="8"/>
      <c r="CK71" s="10">
        <f>BS71</f>
        <v>0</v>
      </c>
      <c r="CL71" s="9">
        <f>+BS71/AG71</f>
        <v>0</v>
      </c>
    </row>
    <row r="72" spans="1:90" ht="15.75" x14ac:dyDescent="0.25">
      <c r="A72" s="170" t="s">
        <v>15</v>
      </c>
      <c r="B72" s="170"/>
      <c r="C72" s="170"/>
      <c r="D72" s="170"/>
      <c r="E72" s="170"/>
      <c r="F72" s="170"/>
      <c r="G72" s="170"/>
      <c r="H72" s="170"/>
      <c r="I72" s="170"/>
      <c r="J72" s="170"/>
      <c r="K72" s="170"/>
      <c r="L72" s="170"/>
      <c r="M72" s="170"/>
      <c r="N72" s="170"/>
      <c r="O72" s="170"/>
      <c r="P72" s="170"/>
      <c r="Q72" s="170"/>
      <c r="R72" s="170"/>
      <c r="S72" s="170"/>
      <c r="T72" s="170"/>
      <c r="U72" s="170"/>
      <c r="V72" s="170"/>
      <c r="W72" s="170"/>
      <c r="X72" s="170"/>
      <c r="Y72" s="170"/>
      <c r="Z72" s="170"/>
      <c r="AA72" s="170"/>
      <c r="AB72" s="170"/>
      <c r="AC72" s="170"/>
      <c r="AD72" s="170"/>
      <c r="AE72" s="170"/>
      <c r="AF72" s="170"/>
      <c r="AG72" s="170"/>
      <c r="AH72" s="170"/>
      <c r="AI72" s="170"/>
      <c r="AJ72" s="170"/>
      <c r="AK72" s="170"/>
      <c r="AL72" s="170"/>
      <c r="AM72" s="170"/>
      <c r="AN72" s="170"/>
      <c r="AO72" s="170"/>
      <c r="AP72" s="170"/>
      <c r="AQ72" s="170"/>
      <c r="AR72" s="170"/>
      <c r="AS72" s="170"/>
      <c r="AT72" s="170"/>
      <c r="AU72" s="170"/>
      <c r="AV72" s="170"/>
      <c r="AW72" s="170"/>
      <c r="AX72" s="170"/>
      <c r="AY72" s="170"/>
      <c r="AZ72" s="170"/>
      <c r="BA72" s="170"/>
      <c r="BB72" s="170"/>
      <c r="BC72" s="170"/>
      <c r="BD72" s="170"/>
      <c r="BE72" s="170"/>
      <c r="BF72" s="170"/>
      <c r="BG72" s="170"/>
      <c r="BH72" s="170"/>
      <c r="BI72" s="170"/>
      <c r="BJ72" s="170"/>
      <c r="BK72" s="170"/>
      <c r="BL72" s="170"/>
      <c r="BM72" s="170"/>
      <c r="BN72" s="170"/>
      <c r="BO72" s="170"/>
      <c r="BP72" s="170"/>
      <c r="BQ72" s="170"/>
      <c r="BR72" s="170"/>
      <c r="BS72" s="170"/>
      <c r="BT72" s="170"/>
      <c r="BU72" s="170"/>
      <c r="BV72" s="170"/>
      <c r="BW72" s="170"/>
      <c r="BX72" s="170"/>
      <c r="BY72" s="170"/>
      <c r="BZ72" s="170"/>
      <c r="CA72" s="170"/>
      <c r="CB72" s="170"/>
      <c r="CC72" s="170"/>
      <c r="CD72" s="170"/>
      <c r="CE72" s="170"/>
      <c r="CF72" s="170"/>
      <c r="CG72" s="170"/>
      <c r="CH72" s="170"/>
      <c r="CI72" s="170"/>
      <c r="CJ72" s="170"/>
      <c r="CK72" s="170"/>
      <c r="CL72" s="170"/>
    </row>
    <row r="73" spans="1:90" x14ac:dyDescent="0.25">
      <c r="A73" s="171" t="s">
        <v>14</v>
      </c>
      <c r="B73" s="171"/>
      <c r="C73" s="171"/>
      <c r="D73" s="171"/>
      <c r="E73" s="171"/>
      <c r="F73" s="171"/>
      <c r="G73" s="171"/>
      <c r="H73" s="171"/>
      <c r="I73" s="171"/>
      <c r="J73" s="171"/>
      <c r="K73" s="171"/>
      <c r="L73" s="171"/>
      <c r="M73" s="171"/>
      <c r="N73" s="172" t="s">
        <v>13</v>
      </c>
      <c r="O73" s="172"/>
      <c r="P73" s="172"/>
      <c r="Q73" s="172"/>
      <c r="R73" s="172"/>
      <c r="S73" s="172"/>
      <c r="T73" s="172"/>
      <c r="U73" s="172"/>
      <c r="V73" s="172"/>
      <c r="W73" s="172"/>
      <c r="X73" s="173" t="s">
        <v>12</v>
      </c>
      <c r="Y73" s="174"/>
      <c r="Z73" s="174"/>
      <c r="AA73" s="174"/>
      <c r="AB73" s="174"/>
      <c r="AC73" s="174"/>
      <c r="AD73" s="174"/>
      <c r="AE73" s="174"/>
      <c r="AF73" s="174"/>
      <c r="AG73" s="174"/>
      <c r="AH73" s="174"/>
      <c r="AI73" s="174"/>
      <c r="AJ73" s="174"/>
      <c r="AK73" s="174"/>
      <c r="AL73" s="174"/>
      <c r="AM73" s="174"/>
      <c r="AN73" s="174"/>
      <c r="AO73" s="174"/>
      <c r="AP73" s="174"/>
      <c r="AQ73" s="174"/>
      <c r="AR73" s="174"/>
      <c r="AS73" s="174"/>
      <c r="AT73" s="174"/>
      <c r="AU73" s="174"/>
      <c r="AV73" s="174"/>
      <c r="AW73" s="174"/>
      <c r="AX73" s="174"/>
      <c r="AY73" s="174"/>
      <c r="AZ73" s="174"/>
      <c r="BA73" s="174"/>
      <c r="BB73" s="174"/>
      <c r="BC73" s="174"/>
      <c r="BD73" s="174"/>
      <c r="BE73" s="174"/>
      <c r="BF73" s="174"/>
      <c r="BG73" s="174"/>
      <c r="BH73" s="174"/>
      <c r="BI73" s="174"/>
      <c r="BJ73" s="174"/>
      <c r="BK73" s="174"/>
      <c r="BL73" s="174"/>
      <c r="BM73" s="174"/>
      <c r="BN73" s="174"/>
      <c r="BO73" s="174"/>
      <c r="BP73" s="174"/>
      <c r="BQ73" s="174"/>
      <c r="BR73" s="174"/>
      <c r="BS73" s="174"/>
      <c r="BT73" s="174"/>
      <c r="BU73" s="174"/>
      <c r="BV73" s="174"/>
      <c r="BW73" s="174"/>
      <c r="BX73" s="174"/>
      <c r="BY73" s="174"/>
      <c r="BZ73" s="174"/>
      <c r="CA73" s="174"/>
      <c r="CB73" s="174"/>
      <c r="CC73" s="174"/>
      <c r="CD73" s="174"/>
      <c r="CE73" s="174"/>
      <c r="CF73" s="174"/>
      <c r="CG73" s="174"/>
      <c r="CH73" s="174"/>
      <c r="CI73" s="174"/>
      <c r="CJ73" s="174"/>
      <c r="CK73" s="174"/>
      <c r="CL73" s="174"/>
    </row>
    <row r="74" spans="1:90" x14ac:dyDescent="0.25">
      <c r="A74" s="175" t="s">
        <v>11</v>
      </c>
      <c r="B74" s="176"/>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6"/>
      <c r="AL74" s="176"/>
      <c r="AM74" s="176"/>
      <c r="AN74" s="176"/>
      <c r="AO74" s="176"/>
      <c r="AP74" s="176"/>
      <c r="AQ74" s="176"/>
      <c r="AR74" s="176"/>
      <c r="AS74" s="176"/>
      <c r="AT74" s="176"/>
      <c r="AU74" s="176"/>
      <c r="AV74" s="176"/>
      <c r="AW74" s="176"/>
      <c r="AX74" s="176"/>
      <c r="AY74" s="176"/>
      <c r="AZ74" s="176"/>
      <c r="BA74" s="176"/>
      <c r="BB74" s="176"/>
      <c r="BC74" s="176"/>
      <c r="BD74" s="176"/>
      <c r="BE74" s="176"/>
      <c r="BF74" s="176"/>
      <c r="BG74" s="176"/>
      <c r="BH74" s="176"/>
      <c r="BI74" s="176"/>
      <c r="BJ74" s="176"/>
      <c r="BK74" s="176"/>
      <c r="BL74" s="176"/>
      <c r="BM74" s="176"/>
      <c r="BN74" s="176"/>
      <c r="BO74" s="176"/>
      <c r="BP74" s="176"/>
      <c r="BQ74" s="176"/>
      <c r="BR74" s="176"/>
      <c r="BS74" s="176"/>
      <c r="BT74" s="176"/>
      <c r="BU74" s="176"/>
      <c r="BV74" s="176"/>
      <c r="BW74" s="176"/>
      <c r="BX74" s="176"/>
      <c r="BY74" s="176"/>
      <c r="BZ74" s="176"/>
      <c r="CA74" s="176"/>
      <c r="CB74" s="176"/>
      <c r="CC74" s="176"/>
      <c r="CD74" s="176"/>
      <c r="CE74" s="176"/>
      <c r="CF74" s="176"/>
      <c r="CG74" s="176"/>
      <c r="CH74" s="176"/>
      <c r="CI74" s="176"/>
      <c r="CJ74" s="176"/>
      <c r="CK74" s="176"/>
      <c r="CL74" s="176"/>
    </row>
    <row r="75" spans="1:90" x14ac:dyDescent="0.25">
      <c r="A75" s="177" t="s">
        <v>10</v>
      </c>
      <c r="B75" s="178"/>
      <c r="C75" s="178"/>
      <c r="D75" s="178"/>
      <c r="E75" s="178"/>
      <c r="F75" s="178"/>
      <c r="G75" s="178"/>
      <c r="H75" s="178"/>
      <c r="I75" s="178"/>
      <c r="J75" s="178"/>
      <c r="K75" s="178"/>
      <c r="L75" s="178"/>
      <c r="M75" s="179"/>
      <c r="N75" s="180" t="s">
        <v>9</v>
      </c>
      <c r="O75" s="180"/>
      <c r="P75" s="180"/>
      <c r="Q75" s="180"/>
      <c r="R75" s="180"/>
      <c r="S75" s="180"/>
      <c r="T75" s="180"/>
      <c r="U75" s="180"/>
      <c r="V75" s="181" t="s">
        <v>8</v>
      </c>
      <c r="W75" s="181"/>
      <c r="X75" s="181"/>
      <c r="Y75" s="181"/>
      <c r="Z75" s="181"/>
      <c r="AA75" s="181"/>
      <c r="AB75" s="181"/>
      <c r="AC75" s="181"/>
      <c r="AD75" s="181"/>
      <c r="AE75" s="181"/>
      <c r="AF75" s="181"/>
      <c r="AG75" s="181"/>
      <c r="AH75" s="181"/>
      <c r="AI75" s="181"/>
      <c r="AJ75" s="181"/>
      <c r="AK75" s="181"/>
      <c r="AL75" s="181"/>
      <c r="AM75" s="181"/>
      <c r="AN75" s="181"/>
      <c r="AO75" s="181"/>
      <c r="AP75" s="181"/>
      <c r="AQ75" s="181"/>
      <c r="AR75" s="181"/>
      <c r="AS75" s="181"/>
      <c r="AT75" s="181"/>
      <c r="AU75" s="181"/>
      <c r="AV75" s="181"/>
      <c r="AW75" s="181"/>
      <c r="AX75" s="181"/>
      <c r="AY75" s="181"/>
      <c r="AZ75" s="181"/>
      <c r="BA75" s="181"/>
      <c r="BB75" s="181"/>
      <c r="BC75" s="180" t="s">
        <v>7</v>
      </c>
      <c r="BD75" s="180"/>
      <c r="BE75" s="180"/>
      <c r="BF75" s="180"/>
      <c r="BG75" s="180"/>
      <c r="BH75" s="180"/>
      <c r="BI75" s="180"/>
      <c r="BJ75" s="180"/>
      <c r="BK75" s="180"/>
      <c r="BL75" s="180"/>
      <c r="BM75" s="180"/>
      <c r="BN75" s="180"/>
      <c r="BO75" s="180"/>
      <c r="BP75" s="180"/>
      <c r="BQ75" s="180"/>
      <c r="BR75" s="180"/>
      <c r="BS75" s="180"/>
      <c r="BT75" s="180"/>
      <c r="BU75" s="180"/>
      <c r="BV75" s="180"/>
      <c r="BW75" s="180"/>
      <c r="BX75" s="180"/>
      <c r="BY75" s="180"/>
      <c r="BZ75" s="180"/>
      <c r="CA75" s="180"/>
      <c r="CB75" s="180"/>
      <c r="CC75" s="180"/>
      <c r="CD75" s="180"/>
      <c r="CE75" s="180"/>
      <c r="CF75" s="180"/>
      <c r="CG75" s="180"/>
      <c r="CH75" s="180"/>
      <c r="CI75" s="180"/>
      <c r="CJ75" s="180"/>
      <c r="CK75" s="180"/>
      <c r="CL75" s="180"/>
    </row>
    <row r="76" spans="1:90" x14ac:dyDescent="0.25">
      <c r="A76" s="182">
        <v>9</v>
      </c>
      <c r="B76" s="183"/>
      <c r="C76" s="183"/>
      <c r="D76" s="183"/>
      <c r="E76" s="183"/>
      <c r="F76" s="183"/>
      <c r="G76" s="183"/>
      <c r="H76" s="183"/>
      <c r="I76" s="183"/>
      <c r="J76" s="183"/>
      <c r="K76" s="183"/>
      <c r="L76" s="183"/>
      <c r="M76" s="184"/>
      <c r="N76" s="185" t="s">
        <v>6</v>
      </c>
      <c r="O76" s="185"/>
      <c r="P76" s="185"/>
      <c r="Q76" s="185"/>
      <c r="R76" s="185"/>
      <c r="S76" s="185"/>
      <c r="T76" s="185"/>
      <c r="U76" s="185"/>
      <c r="V76" s="186" t="s">
        <v>5</v>
      </c>
      <c r="W76" s="187"/>
      <c r="X76" s="187"/>
      <c r="Y76" s="187"/>
      <c r="Z76" s="187"/>
      <c r="AA76" s="187"/>
      <c r="AB76" s="187"/>
      <c r="AC76" s="187"/>
      <c r="AD76" s="187"/>
      <c r="AE76" s="187"/>
      <c r="AF76" s="187"/>
      <c r="AG76" s="187"/>
      <c r="AH76" s="187"/>
      <c r="AI76" s="187"/>
      <c r="AJ76" s="187"/>
      <c r="AK76" s="187"/>
      <c r="AL76" s="187"/>
      <c r="AM76" s="187"/>
      <c r="AN76" s="187"/>
      <c r="AO76" s="187"/>
      <c r="AP76" s="187"/>
      <c r="AQ76" s="187"/>
      <c r="AR76" s="187"/>
      <c r="AS76" s="187"/>
      <c r="AT76" s="187"/>
      <c r="AU76" s="187"/>
      <c r="AV76" s="187"/>
      <c r="AW76" s="187"/>
      <c r="AX76" s="187"/>
      <c r="AY76" s="187"/>
      <c r="AZ76" s="187"/>
      <c r="BA76" s="187"/>
      <c r="BB76" s="187"/>
      <c r="BC76" s="188">
        <v>10</v>
      </c>
      <c r="BD76" s="188"/>
      <c r="BE76" s="188"/>
      <c r="BF76" s="188"/>
      <c r="BG76" s="188"/>
      <c r="BH76" s="188"/>
      <c r="BI76" s="188"/>
      <c r="BJ76" s="188"/>
      <c r="BK76" s="188"/>
      <c r="BL76" s="188"/>
      <c r="BM76" s="188"/>
      <c r="BN76" s="188"/>
      <c r="BO76" s="188"/>
      <c r="BP76" s="188"/>
      <c r="BQ76" s="188"/>
      <c r="BR76" s="188"/>
      <c r="BS76" s="188"/>
      <c r="BT76" s="188"/>
      <c r="BU76" s="188"/>
      <c r="BV76" s="188"/>
      <c r="BW76" s="188"/>
      <c r="BX76" s="188"/>
      <c r="BY76" s="188"/>
      <c r="BZ76" s="188"/>
      <c r="CA76" s="188"/>
      <c r="CB76" s="188"/>
      <c r="CC76" s="188"/>
      <c r="CD76" s="188"/>
      <c r="CE76" s="188"/>
      <c r="CF76" s="188"/>
      <c r="CG76" s="188"/>
      <c r="CH76" s="188"/>
      <c r="CI76" s="188"/>
      <c r="CJ76" s="188"/>
      <c r="CK76" s="188"/>
      <c r="CL76" s="188"/>
    </row>
    <row r="77" spans="1:90" x14ac:dyDescent="0.25">
      <c r="A77" s="182">
        <v>10</v>
      </c>
      <c r="B77" s="183"/>
      <c r="C77" s="183"/>
      <c r="D77" s="183"/>
      <c r="E77" s="183"/>
      <c r="F77" s="183"/>
      <c r="G77" s="183"/>
      <c r="H77" s="183"/>
      <c r="I77" s="183"/>
      <c r="J77" s="183"/>
      <c r="K77" s="183"/>
      <c r="L77" s="183"/>
      <c r="M77" s="184"/>
      <c r="N77" s="185" t="s">
        <v>4</v>
      </c>
      <c r="O77" s="185"/>
      <c r="P77" s="185"/>
      <c r="Q77" s="185"/>
      <c r="R77" s="185"/>
      <c r="S77" s="185"/>
      <c r="T77" s="185"/>
      <c r="U77" s="185"/>
      <c r="V77" s="186" t="s">
        <v>3</v>
      </c>
      <c r="W77" s="187"/>
      <c r="X77" s="187"/>
      <c r="Y77" s="187"/>
      <c r="Z77" s="187"/>
      <c r="AA77" s="187"/>
      <c r="AB77" s="187"/>
      <c r="AC77" s="187"/>
      <c r="AD77" s="187"/>
      <c r="AE77" s="187"/>
      <c r="AF77" s="187"/>
      <c r="AG77" s="187"/>
      <c r="AH77" s="187"/>
      <c r="AI77" s="187"/>
      <c r="AJ77" s="187"/>
      <c r="AK77" s="187"/>
      <c r="AL77" s="187"/>
      <c r="AM77" s="187"/>
      <c r="AN77" s="187"/>
      <c r="AO77" s="187"/>
      <c r="AP77" s="187"/>
      <c r="AQ77" s="187"/>
      <c r="AR77" s="187"/>
      <c r="AS77" s="187"/>
      <c r="AT77" s="187"/>
      <c r="AU77" s="187"/>
      <c r="AV77" s="187"/>
      <c r="AW77" s="187"/>
      <c r="AX77" s="187"/>
      <c r="AY77" s="187"/>
      <c r="AZ77" s="187"/>
      <c r="BA77" s="187"/>
      <c r="BB77" s="187"/>
      <c r="BC77" s="188">
        <v>11</v>
      </c>
      <c r="BD77" s="188"/>
      <c r="BE77" s="188"/>
      <c r="BF77" s="188"/>
      <c r="BG77" s="188"/>
      <c r="BH77" s="188"/>
      <c r="BI77" s="188"/>
      <c r="BJ77" s="188"/>
      <c r="BK77" s="188"/>
      <c r="BL77" s="188"/>
      <c r="BM77" s="188"/>
      <c r="BN77" s="188"/>
      <c r="BO77" s="188"/>
      <c r="BP77" s="188"/>
      <c r="BQ77" s="188"/>
      <c r="BR77" s="188"/>
      <c r="BS77" s="188"/>
      <c r="BT77" s="188"/>
      <c r="BU77" s="188"/>
      <c r="BV77" s="188"/>
      <c r="BW77" s="188"/>
      <c r="BX77" s="188"/>
      <c r="BY77" s="188"/>
      <c r="BZ77" s="188"/>
      <c r="CA77" s="188"/>
      <c r="CB77" s="188"/>
      <c r="CC77" s="188"/>
      <c r="CD77" s="188"/>
      <c r="CE77" s="188"/>
      <c r="CF77" s="188"/>
      <c r="CG77" s="188"/>
      <c r="CH77" s="188"/>
      <c r="CI77" s="188"/>
      <c r="CJ77" s="188"/>
      <c r="CK77" s="188"/>
      <c r="CL77" s="188"/>
    </row>
    <row r="78" spans="1:90" x14ac:dyDescent="0.25">
      <c r="A78" s="189">
        <v>11</v>
      </c>
      <c r="B78" s="190"/>
      <c r="C78" s="190"/>
      <c r="D78" s="190"/>
      <c r="E78" s="190"/>
      <c r="F78" s="190"/>
      <c r="G78" s="190"/>
      <c r="H78" s="190"/>
      <c r="I78" s="190"/>
      <c r="J78" s="190"/>
      <c r="K78" s="190"/>
      <c r="L78" s="190"/>
      <c r="M78" s="191"/>
      <c r="N78" s="192" t="s">
        <v>2</v>
      </c>
      <c r="O78" s="193"/>
      <c r="P78" s="193"/>
      <c r="Q78" s="193"/>
      <c r="R78" s="193"/>
      <c r="S78" s="193"/>
      <c r="T78" s="193"/>
      <c r="U78" s="194"/>
      <c r="V78" s="186">
        <v>44023</v>
      </c>
      <c r="W78" s="187"/>
      <c r="X78" s="187"/>
      <c r="Y78" s="187"/>
      <c r="Z78" s="187"/>
      <c r="AA78" s="187"/>
      <c r="AB78" s="187"/>
      <c r="AC78" s="187"/>
      <c r="AD78" s="187"/>
      <c r="AE78" s="187"/>
      <c r="AF78" s="187"/>
      <c r="AG78" s="187"/>
      <c r="AH78" s="187"/>
      <c r="AI78" s="187"/>
      <c r="AJ78" s="187"/>
      <c r="AK78" s="187"/>
      <c r="AL78" s="187"/>
      <c r="AM78" s="187"/>
      <c r="AN78" s="187"/>
      <c r="AO78" s="187"/>
      <c r="AP78" s="187"/>
      <c r="AQ78" s="187"/>
      <c r="AR78" s="187"/>
      <c r="AS78" s="187"/>
      <c r="AT78" s="187"/>
      <c r="AU78" s="187"/>
      <c r="AV78" s="187"/>
      <c r="AW78" s="187"/>
      <c r="AX78" s="187"/>
      <c r="AY78" s="187"/>
      <c r="AZ78" s="187"/>
      <c r="BA78" s="187"/>
      <c r="BB78" s="187"/>
      <c r="BC78" s="188">
        <v>12</v>
      </c>
      <c r="BD78" s="188"/>
      <c r="BE78" s="188"/>
      <c r="BF78" s="188"/>
      <c r="BG78" s="188"/>
      <c r="BH78" s="188"/>
      <c r="BI78" s="188"/>
      <c r="BJ78" s="188"/>
      <c r="BK78" s="188"/>
      <c r="BL78" s="188"/>
      <c r="BM78" s="188"/>
      <c r="BN78" s="188"/>
      <c r="BO78" s="188"/>
      <c r="BP78" s="188"/>
      <c r="BQ78" s="188"/>
      <c r="BR78" s="188"/>
      <c r="BS78" s="188"/>
      <c r="BT78" s="188"/>
      <c r="BU78" s="188"/>
      <c r="BV78" s="188"/>
      <c r="BW78" s="188"/>
      <c r="BX78" s="188"/>
      <c r="BY78" s="188"/>
      <c r="BZ78" s="188"/>
      <c r="CA78" s="188"/>
      <c r="CB78" s="188"/>
      <c r="CC78" s="188"/>
      <c r="CD78" s="188"/>
      <c r="CE78" s="188"/>
      <c r="CF78" s="188"/>
      <c r="CG78" s="188"/>
      <c r="CH78" s="188"/>
      <c r="CI78" s="188"/>
      <c r="CJ78" s="188"/>
      <c r="CK78" s="188"/>
      <c r="CL78" s="188"/>
    </row>
    <row r="79" spans="1:90" x14ac:dyDescent="0.25">
      <c r="A79" s="189">
        <v>12</v>
      </c>
      <c r="B79" s="190"/>
      <c r="C79" s="190"/>
      <c r="D79" s="190"/>
      <c r="E79" s="190"/>
      <c r="F79" s="190"/>
      <c r="G79" s="190"/>
      <c r="H79" s="190"/>
      <c r="I79" s="190"/>
      <c r="J79" s="190"/>
      <c r="K79" s="190"/>
      <c r="L79" s="190"/>
      <c r="M79" s="191"/>
      <c r="N79" s="192" t="s">
        <v>1</v>
      </c>
      <c r="O79" s="193"/>
      <c r="P79" s="193"/>
      <c r="Q79" s="193"/>
      <c r="R79" s="193"/>
      <c r="S79" s="193"/>
      <c r="T79" s="193"/>
      <c r="U79" s="194"/>
      <c r="V79" s="186">
        <v>44215</v>
      </c>
      <c r="W79" s="187"/>
      <c r="X79" s="187"/>
      <c r="Y79" s="187"/>
      <c r="Z79" s="187"/>
      <c r="AA79" s="187"/>
      <c r="AB79" s="187"/>
      <c r="AC79" s="187"/>
      <c r="AD79" s="187"/>
      <c r="AE79" s="187"/>
      <c r="AF79" s="187"/>
      <c r="AG79" s="187"/>
      <c r="AH79" s="187"/>
      <c r="AI79" s="187"/>
      <c r="AJ79" s="187"/>
      <c r="AK79" s="187"/>
      <c r="AL79" s="187"/>
      <c r="AM79" s="187"/>
      <c r="AN79" s="187"/>
      <c r="AO79" s="187"/>
      <c r="AP79" s="187"/>
      <c r="AQ79" s="187"/>
      <c r="AR79" s="187"/>
      <c r="AS79" s="187"/>
      <c r="AT79" s="187"/>
      <c r="AU79" s="187"/>
      <c r="AV79" s="187"/>
      <c r="AW79" s="187"/>
      <c r="AX79" s="187"/>
      <c r="AY79" s="187"/>
      <c r="AZ79" s="187"/>
      <c r="BA79" s="187"/>
      <c r="BB79" s="187"/>
      <c r="BC79" s="188">
        <v>13</v>
      </c>
      <c r="BD79" s="188"/>
      <c r="BE79" s="188"/>
      <c r="BF79" s="188"/>
      <c r="BG79" s="188"/>
      <c r="BH79" s="188"/>
      <c r="BI79" s="188"/>
      <c r="BJ79" s="188"/>
      <c r="BK79" s="188"/>
      <c r="BL79" s="188"/>
      <c r="BM79" s="188"/>
      <c r="BN79" s="188"/>
      <c r="BO79" s="188"/>
      <c r="BP79" s="188"/>
      <c r="BQ79" s="188"/>
      <c r="BR79" s="188"/>
      <c r="BS79" s="188"/>
      <c r="BT79" s="188"/>
      <c r="BU79" s="188"/>
      <c r="BV79" s="188"/>
      <c r="BW79" s="188"/>
      <c r="BX79" s="188"/>
      <c r="BY79" s="188"/>
      <c r="BZ79" s="188"/>
      <c r="CA79" s="188"/>
      <c r="CB79" s="188"/>
      <c r="CC79" s="188"/>
      <c r="CD79" s="188"/>
      <c r="CE79" s="188"/>
      <c r="CF79" s="188"/>
      <c r="CG79" s="188"/>
      <c r="CH79" s="188"/>
      <c r="CI79" s="188"/>
      <c r="CJ79" s="188"/>
      <c r="CK79" s="188"/>
      <c r="CL79" s="188"/>
    </row>
    <row r="80" spans="1:90" x14ac:dyDescent="0.25">
      <c r="A80" s="189">
        <v>13</v>
      </c>
      <c r="B80" s="190"/>
      <c r="C80" s="190"/>
      <c r="D80" s="190"/>
      <c r="E80" s="190"/>
      <c r="F80" s="190"/>
      <c r="G80" s="190"/>
      <c r="H80" s="190"/>
      <c r="I80" s="190"/>
      <c r="J80" s="190"/>
      <c r="K80" s="190"/>
      <c r="L80" s="190"/>
      <c r="M80" s="191"/>
      <c r="N80" s="195" t="s">
        <v>0</v>
      </c>
      <c r="O80" s="196"/>
      <c r="P80" s="196"/>
      <c r="Q80" s="196"/>
      <c r="R80" s="196"/>
      <c r="S80" s="196"/>
      <c r="T80" s="196"/>
      <c r="U80" s="197"/>
      <c r="V80" s="186">
        <v>44281</v>
      </c>
      <c r="W80" s="187"/>
      <c r="X80" s="187"/>
      <c r="Y80" s="187"/>
      <c r="Z80" s="187"/>
      <c r="AA80" s="187"/>
      <c r="AB80" s="187"/>
      <c r="AC80" s="187"/>
      <c r="AD80" s="187"/>
      <c r="AE80" s="187"/>
      <c r="AF80" s="187"/>
      <c r="AG80" s="187"/>
      <c r="AH80" s="187"/>
      <c r="AI80" s="187"/>
      <c r="AJ80" s="187"/>
      <c r="AK80" s="187"/>
      <c r="AL80" s="187"/>
      <c r="AM80" s="187"/>
      <c r="AN80" s="187"/>
      <c r="AO80" s="187"/>
      <c r="AP80" s="187"/>
      <c r="AQ80" s="187"/>
      <c r="AR80" s="187"/>
      <c r="AS80" s="187"/>
      <c r="AT80" s="187"/>
      <c r="AU80" s="187"/>
      <c r="AV80" s="187"/>
      <c r="AW80" s="187"/>
      <c r="AX80" s="187"/>
      <c r="AY80" s="187"/>
      <c r="AZ80" s="187"/>
      <c r="BA80" s="187"/>
      <c r="BB80" s="187"/>
      <c r="BC80" s="198">
        <v>14</v>
      </c>
      <c r="BD80" s="199"/>
      <c r="BE80" s="199"/>
      <c r="BF80" s="199"/>
      <c r="BG80" s="199"/>
      <c r="BH80" s="199"/>
      <c r="BI80" s="199"/>
      <c r="BJ80" s="199"/>
      <c r="BK80" s="199"/>
      <c r="BL80" s="199"/>
      <c r="BM80" s="199"/>
      <c r="BN80" s="199"/>
      <c r="BO80" s="199"/>
      <c r="BP80" s="199"/>
      <c r="BQ80" s="199"/>
      <c r="BR80" s="199"/>
      <c r="BS80" s="199"/>
      <c r="BT80" s="199"/>
      <c r="BU80" s="199"/>
      <c r="BV80" s="199"/>
      <c r="BW80" s="199"/>
      <c r="BX80" s="199"/>
      <c r="BY80" s="199"/>
      <c r="BZ80" s="199"/>
      <c r="CA80" s="199"/>
      <c r="CB80" s="199"/>
      <c r="CC80" s="199"/>
      <c r="CD80" s="199"/>
      <c r="CE80" s="199"/>
      <c r="CF80" s="199"/>
      <c r="CG80" s="199"/>
      <c r="CH80" s="199"/>
      <c r="CI80" s="199"/>
      <c r="CJ80" s="199"/>
      <c r="CK80" s="199"/>
      <c r="CL80" s="199"/>
    </row>
    <row r="81" spans="1:90" x14ac:dyDescent="0.25">
      <c r="A81" s="2"/>
      <c r="B81" s="2"/>
      <c r="C81" s="2"/>
      <c r="D81" s="2"/>
      <c r="E81" s="2"/>
      <c r="F81" s="4"/>
      <c r="G81" s="4"/>
      <c r="H81" s="4"/>
      <c r="I81" s="2"/>
      <c r="J81" s="7"/>
      <c r="K81" s="6"/>
      <c r="L81" s="6"/>
      <c r="M81" s="6"/>
      <c r="N81" s="2"/>
      <c r="O81" s="5"/>
      <c r="P81" s="2"/>
      <c r="Q81" s="3"/>
      <c r="R81" s="3"/>
      <c r="S81" s="4"/>
      <c r="T81" s="3"/>
      <c r="U81" s="4"/>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2"/>
      <c r="BH81" s="2"/>
      <c r="BI81" s="2"/>
      <c r="BJ81" s="2"/>
      <c r="BK81" s="2"/>
      <c r="BL81" s="2"/>
      <c r="BM81" s="3"/>
      <c r="BN81" s="3"/>
      <c r="BO81" s="3"/>
      <c r="BP81" s="3"/>
      <c r="BQ81" s="3"/>
      <c r="BR81" s="3"/>
      <c r="BS81" s="208"/>
      <c r="BT81" s="3"/>
      <c r="BU81" s="3"/>
      <c r="BV81" s="3"/>
      <c r="BW81" s="3"/>
      <c r="BX81" s="3"/>
      <c r="BY81" s="208"/>
      <c r="BZ81" s="3"/>
      <c r="CA81" s="3"/>
      <c r="CB81" s="3"/>
      <c r="CC81" s="3"/>
      <c r="CD81" s="3"/>
      <c r="CE81" s="2"/>
      <c r="CF81" s="2"/>
      <c r="CG81" s="3"/>
      <c r="CH81" s="3"/>
      <c r="CI81" s="3"/>
      <c r="CJ81" s="3"/>
      <c r="CK81" s="2"/>
      <c r="CL81" s="2"/>
    </row>
    <row r="82" spans="1:90" x14ac:dyDescent="0.25">
      <c r="A82" s="2"/>
      <c r="B82" s="2"/>
      <c r="C82" s="2"/>
      <c r="D82" s="2"/>
      <c r="E82" s="2"/>
      <c r="F82" s="4"/>
      <c r="G82" s="4"/>
      <c r="H82" s="4"/>
      <c r="I82" s="2"/>
      <c r="J82" s="7"/>
      <c r="K82" s="6"/>
      <c r="L82" s="6"/>
      <c r="M82" s="6"/>
      <c r="N82" s="2"/>
      <c r="O82" s="5"/>
      <c r="P82" s="2"/>
      <c r="Q82" s="3"/>
      <c r="R82" s="3"/>
      <c r="S82" s="4"/>
      <c r="T82" s="3"/>
      <c r="U82" s="4"/>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2"/>
      <c r="BH82" s="2"/>
      <c r="BI82" s="2"/>
      <c r="BJ82" s="2"/>
      <c r="BK82" s="2"/>
      <c r="BL82" s="2"/>
      <c r="BM82" s="3"/>
      <c r="BN82" s="3"/>
      <c r="BO82" s="3"/>
      <c r="BP82" s="3"/>
      <c r="BQ82" s="3"/>
      <c r="BR82" s="3"/>
      <c r="BS82" s="208"/>
      <c r="BT82" s="3"/>
      <c r="BU82" s="3"/>
      <c r="BV82" s="3"/>
      <c r="BW82" s="3"/>
      <c r="BX82" s="3"/>
      <c r="BY82" s="208"/>
      <c r="BZ82" s="3"/>
      <c r="CA82" s="3"/>
      <c r="CB82" s="3"/>
      <c r="CC82" s="3"/>
      <c r="CD82" s="3"/>
      <c r="CE82" s="2"/>
      <c r="CF82" s="2"/>
      <c r="CG82" s="3"/>
      <c r="CH82" s="3"/>
      <c r="CI82" s="3"/>
      <c r="CJ82" s="3"/>
      <c r="CK82" s="2"/>
      <c r="CL82" s="2"/>
    </row>
  </sheetData>
  <mergeCells count="102">
    <mergeCell ref="A79:M79"/>
    <mergeCell ref="N79:U79"/>
    <mergeCell ref="V79:BB79"/>
    <mergeCell ref="BC79:CL79"/>
    <mergeCell ref="A80:M80"/>
    <mergeCell ref="N80:U80"/>
    <mergeCell ref="V80:BB80"/>
    <mergeCell ref="BC80:CL80"/>
    <mergeCell ref="A76:M76"/>
    <mergeCell ref="N76:U76"/>
    <mergeCell ref="V76:BB76"/>
    <mergeCell ref="BC76:CL76"/>
    <mergeCell ref="A77:M77"/>
    <mergeCell ref="N77:U77"/>
    <mergeCell ref="V77:BB77"/>
    <mergeCell ref="BC77:CL77"/>
    <mergeCell ref="A78:M78"/>
    <mergeCell ref="N78:U78"/>
    <mergeCell ref="V78:BB78"/>
    <mergeCell ref="BC78:CL78"/>
    <mergeCell ref="A72:CL72"/>
    <mergeCell ref="A73:M73"/>
    <mergeCell ref="N73:W73"/>
    <mergeCell ref="X73:CL73"/>
    <mergeCell ref="A74:CL74"/>
    <mergeCell ref="A75:M75"/>
    <mergeCell ref="N75:U75"/>
    <mergeCell ref="V75:BB75"/>
    <mergeCell ref="BC75:CL75"/>
    <mergeCell ref="J17:J22"/>
    <mergeCell ref="M17:M22"/>
    <mergeCell ref="G23:G34"/>
    <mergeCell ref="I23:I34"/>
    <mergeCell ref="J23:J34"/>
    <mergeCell ref="M23:M34"/>
    <mergeCell ref="A35:A38"/>
    <mergeCell ref="B35:B38"/>
    <mergeCell ref="C35:C38"/>
    <mergeCell ref="D35:D38"/>
    <mergeCell ref="E35:E71"/>
    <mergeCell ref="F35:F38"/>
    <mergeCell ref="I36:I38"/>
    <mergeCell ref="J36:J38"/>
    <mergeCell ref="M36:M38"/>
    <mergeCell ref="A39:A71"/>
    <mergeCell ref="B39:B71"/>
    <mergeCell ref="C39:C71"/>
    <mergeCell ref="D39:D71"/>
    <mergeCell ref="F39:F71"/>
    <mergeCell ref="I44:I69"/>
    <mergeCell ref="J44:J69"/>
    <mergeCell ref="M44:M69"/>
    <mergeCell ref="A17:A34"/>
    <mergeCell ref="B17:B34"/>
    <mergeCell ref="C17:C34"/>
    <mergeCell ref="D17:D34"/>
    <mergeCell ref="E17:E34"/>
    <mergeCell ref="F17:F34"/>
    <mergeCell ref="G17:G22"/>
    <mergeCell ref="H17:H34"/>
    <mergeCell ref="I17:I22"/>
    <mergeCell ref="J6:J9"/>
    <mergeCell ref="M6:M9"/>
    <mergeCell ref="B10:B16"/>
    <mergeCell ref="C10:C16"/>
    <mergeCell ref="D10:D16"/>
    <mergeCell ref="E10:E16"/>
    <mergeCell ref="F10:F16"/>
    <mergeCell ref="G10:G12"/>
    <mergeCell ref="H10:H16"/>
    <mergeCell ref="I10:I12"/>
    <mergeCell ref="J10:J12"/>
    <mergeCell ref="M10:M12"/>
    <mergeCell ref="G14:G15"/>
    <mergeCell ref="I14:I15"/>
    <mergeCell ref="J14:J15"/>
    <mergeCell ref="M14:M15"/>
    <mergeCell ref="A6:A16"/>
    <mergeCell ref="B6:B9"/>
    <mergeCell ref="C6:C9"/>
    <mergeCell ref="D6:D9"/>
    <mergeCell ref="E6:E9"/>
    <mergeCell ref="F6:F9"/>
    <mergeCell ref="G6:G9"/>
    <mergeCell ref="H6:H9"/>
    <mergeCell ref="I6:I9"/>
    <mergeCell ref="A1:B3"/>
    <mergeCell ref="C1:BL1"/>
    <mergeCell ref="BM1:CL3"/>
    <mergeCell ref="C2:BL2"/>
    <mergeCell ref="C3:BL3"/>
    <mergeCell ref="A4:D4"/>
    <mergeCell ref="F4:M4"/>
    <mergeCell ref="W4:W5"/>
    <mergeCell ref="X4:X5"/>
    <mergeCell ref="Y4:Y5"/>
    <mergeCell ref="Z4:Z5"/>
    <mergeCell ref="AA4:AA5"/>
    <mergeCell ref="AB4:AM4"/>
    <mergeCell ref="AN4:AN5"/>
    <mergeCell ref="AO4:BL4"/>
    <mergeCell ref="BM4:CL4"/>
  </mergeCells>
  <dataValidations count="37">
    <dataValidation allowBlank="1" showInputMessage="1" showErrorMessage="1" prompt="Diligenciar el cumplimiento del reporte Total al Indicador al PAI" sqref="CL5" xr:uid="{BDEAF72C-3901-4321-9ADB-EF89D36F8150}"/>
    <dataValidation allowBlank="1" showInputMessage="1" showErrorMessage="1" prompt="Diligenciar el avance del reporte del indicador dependiendo la frecuencia" sqref="CK5" xr:uid="{50DFF30C-297A-4B0E-9F5B-53E82CA7C6BD}"/>
    <dataValidation allowBlank="1" showInputMessage="1" showErrorMessage="1" prompt="Diligenciar la calificación entre 0% o 25% de acuerdo a los criterios Recopilación de datos y evidencia( PIN-MA-04) " sqref="AQ5:AT5 AW5:AZ5 BC5:BF5 BI5:BL5 BU5:BX5 CG5:CJ5 BO5:BR5 CA5:CD5" xr:uid="{6218A89A-A1CC-4E21-B0AB-452C1ACC0D3C}"/>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 BH5 BN5 BT5 BZ5 CF5" xr:uid="{BA0213FA-E045-4121-9EF9-2C3AA9466AD1}"/>
    <dataValidation allowBlank="1" showInputMessage="1" showErrorMessage="1" prompt="Diligenciar el Avance Obtenido en reporte del Indicador (PAI)" sqref="AO5 AU5 BA5 BG5 BM5 BS5 BY5 CE5" xr:uid="{C665DE27-F893-43EC-96DF-62ECFD7722E5}"/>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0DB98E5D-267D-4000-AD3B-865907D18C18}"/>
    <dataValidation allowBlank="1" showInputMessage="1" showErrorMessage="1" prompt="Diligencair el Plan Institucional Asociado" sqref="X4:X5" xr:uid="{E157B698-3606-4FE4-A0EF-BBDA85ED4A3E}"/>
    <dataValidation allowBlank="1" showInputMessage="1" showErrorMessage="1" prompt="Diligenciar las perspectivas del cuadro de Mando Integral( Perspectivas Usuuario/Beneficiario, Perspectiva  procesos Internos, Perspectiva  Financiera, Perspectiva Aprendizaje y Desarrollo) " sqref="L5" xr:uid="{5B2C9987-C8AE-4665-8B27-59308C98EB40}"/>
    <dataValidation allowBlank="1" showInputMessage="1" showErrorMessage="1" prompt="Definición clara del propósito fundamental y el contexto dentro del cual se desarrollan las actividades de la Unidad. Debe iniciar con un verbo en infinitivo." sqref="H5" xr:uid="{0C79373A-942B-484C-B332-84CA7C202504}"/>
    <dataValidation allowBlank="1" showInputMessage="1" showErrorMessage="1" prompt="Nombre del indicador relacionado directamente con la Estrategia Institucional" sqref="J5" xr:uid="{B46CD360-978F-4346-A63C-3CD4B5C5D650}"/>
    <dataValidation allowBlank="1" showInputMessage="1" showErrorMessage="1" prompt="Define los cursos de acción que muestran los medios, recursos y esfuerzos para el cumplimiento de los objetivos estratégicos." sqref="I5" xr:uid="{ADFE3A9D-0B65-4EC6-8305-36C57347ABE5}"/>
    <dataValidation allowBlank="1" showInputMessage="1" showErrorMessage="1" prompt="Indica el nombre del Pacto estipulado dentro del PND._x000a_" sqref="A5" xr:uid="{ECEE7024-FDBA-45B0-9D58-CB74C3C6B891}"/>
    <dataValidation allowBlank="1" showInputMessage="1" showErrorMessage="1" prompt="Indica el nombre de la línea estratégica estipulada dentro del PND. " sqref="B5" xr:uid="{C7758C38-BFB5-40F7-888A-4E67D687ED90}"/>
    <dataValidation allowBlank="1" showInputMessage="1" showErrorMessage="1" prompt="Indica el nombre de la estrategia estipulada dentro del PND. " sqref="D5" xr:uid="{6EC3C591-F1BC-41A9-87E1-EE8553BB9479}"/>
    <dataValidation allowBlank="1" showInputMessage="1" showErrorMessage="1" prompt="Establece la periocidad en que se debe realizar el reporte del indicador." sqref="AA4:AA5" xr:uid="{0A3647D4-8BCF-4AB3-ACEB-2F11D2BB8F52}"/>
    <dataValidation allowBlank="1" showInputMessage="1" showErrorMessage="1" prompt="Pueden ser de eficiencia, eficacia, efectividad y de producto." sqref="V5" xr:uid="{37A1FE6A-0690-4354-BF3B-65E8EFC90DC5}"/>
    <dataValidation allowBlank="1" showInputMessage="1" showErrorMessage="1" prompt="Corresponde a la ecuación, la cual indica la forma en que se calcula el indicador" sqref="U5" xr:uid="{0471DB73-DDE2-48C0-884E-1D81FD5D25F1}"/>
    <dataValidation allowBlank="1" showInputMessage="1" showErrorMessage="1" prompt="Es el entregable de la actividad definida" sqref="P5" xr:uid="{FC0E11B8-B238-4BAD-ADD5-8BAEDFAFCC72}"/>
    <dataValidation allowBlank="1" showInputMessage="1" showErrorMessage="1" prompt="Describe la actividad que va hacer medida con el indicador. Debe iniciar con un verbo en infinitivo, ser cuantificable y clara" sqref="N5" xr:uid="{7A30BB3E-684C-404E-B426-506CCFE8904E}"/>
    <dataValidation allowBlank="1" showInputMessage="1" showErrorMessage="1" prompt="Diligenciar el Nombre del  proceso" sqref="W4" xr:uid="{FA8739F5-508D-49FA-8D0C-0D7D6A614D01}"/>
    <dataValidation allowBlank="1" showInputMessage="1" showErrorMessage="1" prompt="Describe el número al cual se encuentra asociada la actividad y aporta al objetivo estrategico y a la estrategia institucional." sqref="K5" xr:uid="{C371F538-9FF1-49CF-822E-D68D600D167A}"/>
    <dataValidation allowBlank="1" showInputMessage="1" showErrorMessage="1" prompt="Definición clara del propósito fundamental y el contexto dentro del cual se desarrollan las actividades de la Unidad. Debe iniciar con un verbo en infinitivo. " sqref="F5" xr:uid="{10857018-4E48-49D4-B5F7-BB49455B5B69}"/>
    <dataValidation allowBlank="1" showInputMessage="1" showErrorMessage="1" prompt="Es la ponderación porcentual de cada estrategia del Plan referente a la actividad que tiene asociada, debe dar un 100%" sqref="M5" xr:uid="{98CB329C-1302-4FA5-B842-572E154D484A}"/>
    <dataValidation allowBlank="1" showInputMessage="1" showErrorMessage="1" prompt="Seguimiento realizado por los responsables de los planes, programas y proyectos" sqref="AO4:BL4" xr:uid="{E267937D-2B87-452A-AA3F-ABFB12665AC7}"/>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D5F702A2-2155-46DC-9BA0-5D7BA81F644C}"/>
    <dataValidation allowBlank="1" showInputMessage="1" showErrorMessage="1" prompt="Es el porcentaje de cada estrategia con el nivel de importancia que tiene respecto al objetivo estratégico. La sumatoria de las estrategias deben ser el 100%" sqref="G5" xr:uid="{CC3D033D-8A4C-4598-B4B1-04F894B411AA}"/>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0D46D149-A0C5-45AA-925A-AA4EDAA1C90D}"/>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B6685F1B-CFE4-46D0-8E77-05456FAE10D4}"/>
    <dataValidation allowBlank="1" showInputMessage="1" showErrorMessage="1" prompt="Establece el mes en el cual se debe hacer el reporte teniendo en cuenta la periocidad definida del indicador." sqref="AB4:AM4" xr:uid="{02D58968-9BB4-407A-8F63-6CEA8D3ADEBE}"/>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743264AB-CCD7-49EA-A04F-9AE6D80A8E04}"/>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E4FAF369-4AF5-4651-A7FF-26EEF39615AE}"/>
    <dataValidation allowBlank="1" showInputMessage="1" showErrorMessage="1" prompt="Escribir el Monto a un proyecto de inversión asignado del indicador del PAI_x000a_Nota: Para en caso no tener presupuestoasigado diligenciar, indicar con la abreviación N/A" sqref="Q5" xr:uid="{28F9170C-CD6B-4DA0-9A28-1D699D1C6C3C}"/>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B13DDC64-23D0-4E29-BDCC-0FD9E14B7276}"/>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0B0FEC04-CA2C-4D64-BCEE-3BAE73F29E49}"/>
    <dataValidation allowBlank="1" showInputMessage="1" showErrorMessage="1" prompt="Diligenciar el proyecto de Inversión asociado a los planes de Decreto 612 de 2018_x000a_Nota: Para en caso no tener proyecto indicar con la abreviación N/A" sqref="Y4:Y5" xr:uid="{7E92C514-AF28-4B99-8900-456ED19663A5}"/>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5E3F3415-E742-470A-A28A-7BFAC0A81D2A}"/>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M4:CL4" xr:uid="{BAE23D9A-23E9-4782-98D4-0F58A074F3DB}"/>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DEP-FT-36 final III 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LORENA PULIDO MORA</dc:creator>
  <cp:lastModifiedBy>Gina Margarita Diaz Lobo</cp:lastModifiedBy>
  <dcterms:created xsi:type="dcterms:W3CDTF">2023-11-14T12:43:59Z</dcterms:created>
  <dcterms:modified xsi:type="dcterms:W3CDTF">2023-11-14T13:18:38Z</dcterms:modified>
</cp:coreProperties>
</file>