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REPORTES/"/>
    </mc:Choice>
  </mc:AlternateContent>
  <xr:revisionPtr revIDLastSave="0" documentId="8_{3C77F9F9-4F19-4DBD-935A-5799E7E5276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12 A 2018" sheetId="1" r:id="rId1"/>
    <sheet name="2019 A 2023" sheetId="5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AM18" i="5" l="1"/>
  <c r="AJ26" i="5" l="1"/>
  <c r="AL26" i="5" s="1"/>
  <c r="AL25" i="5"/>
  <c r="AJ25" i="5"/>
  <c r="AJ24" i="5"/>
  <c r="AJ23" i="5"/>
  <c r="AM22" i="5"/>
  <c r="AJ22" i="5"/>
  <c r="AL22" i="5" s="1"/>
  <c r="AJ21" i="5"/>
  <c r="AL21" i="5" s="1"/>
  <c r="AJ20" i="5"/>
  <c r="AL20" i="5" s="1"/>
  <c r="AJ19" i="5"/>
  <c r="AJ18" i="5"/>
  <c r="AL18" i="5" s="1"/>
  <c r="AK17" i="5"/>
  <c r="AK27" i="5" s="1"/>
  <c r="AI17" i="5"/>
  <c r="AI27" i="5" s="1"/>
  <c r="AH17" i="5"/>
  <c r="AH27" i="5" s="1"/>
  <c r="AG17" i="5"/>
  <c r="AG27" i="5" s="1"/>
  <c r="AJ16" i="5"/>
  <c r="AM16" i="5" s="1"/>
  <c r="AJ15" i="5"/>
  <c r="AL15" i="5" s="1"/>
  <c r="AM14" i="5"/>
  <c r="AL14" i="5"/>
  <c r="AJ14" i="5"/>
  <c r="AJ13" i="5"/>
  <c r="AM13" i="5" s="1"/>
  <c r="AJ12" i="5"/>
  <c r="AM12" i="5" s="1"/>
  <c r="AL11" i="5"/>
  <c r="AJ11" i="5"/>
  <c r="AJ10" i="5"/>
  <c r="AM10" i="5" s="1"/>
  <c r="AJ9" i="5"/>
  <c r="AL9" i="5" s="1"/>
  <c r="AJ7" i="5"/>
  <c r="AM7" i="5" s="1"/>
  <c r="AJ6" i="5"/>
  <c r="AM6" i="5" s="1"/>
  <c r="Z27" i="5"/>
  <c r="AC24" i="5"/>
  <c r="AE24" i="5" s="1"/>
  <c r="AC23" i="5"/>
  <c r="AC22" i="5"/>
  <c r="AE22" i="5" s="1"/>
  <c r="AC21" i="5"/>
  <c r="AC20" i="5"/>
  <c r="AC19" i="5"/>
  <c r="AC18" i="5"/>
  <c r="AD17" i="5"/>
  <c r="AD27" i="5" s="1"/>
  <c r="AB17" i="5"/>
  <c r="AB27" i="5" s="1"/>
  <c r="AA17" i="5"/>
  <c r="AA27" i="5" s="1"/>
  <c r="Z17" i="5"/>
  <c r="AE26" i="5"/>
  <c r="AC26" i="5"/>
  <c r="AF26" i="5" s="1"/>
  <c r="AC25" i="5"/>
  <c r="AF25" i="5" s="1"/>
  <c r="AF23" i="5"/>
  <c r="AC16" i="5"/>
  <c r="AF16" i="5" s="1"/>
  <c r="AE21" i="5"/>
  <c r="AE20" i="5"/>
  <c r="AC15" i="5"/>
  <c r="AE15" i="5" s="1"/>
  <c r="AC14" i="5"/>
  <c r="AF14" i="5" s="1"/>
  <c r="AC13" i="5"/>
  <c r="AF13" i="5" s="1"/>
  <c r="AC12" i="5"/>
  <c r="AF12" i="5" s="1"/>
  <c r="AC11" i="5"/>
  <c r="AE11" i="5" s="1"/>
  <c r="AC10" i="5"/>
  <c r="AF10" i="5" s="1"/>
  <c r="AC9" i="5"/>
  <c r="AE9" i="5" s="1"/>
  <c r="AC7" i="5"/>
  <c r="AF7" i="5" s="1"/>
  <c r="AC6" i="5"/>
  <c r="AF6" i="5" s="1"/>
  <c r="V17" i="5"/>
  <c r="V27" i="5" s="1"/>
  <c r="T17" i="5"/>
  <c r="T27" i="5" s="1"/>
  <c r="S17" i="5"/>
  <c r="S27" i="5" s="1"/>
  <c r="R17" i="5"/>
  <c r="R27" i="5" s="1"/>
  <c r="U24" i="5"/>
  <c r="X24" i="5" s="1"/>
  <c r="U22" i="5"/>
  <c r="W22" i="5" s="1"/>
  <c r="U21" i="5"/>
  <c r="W21" i="5" s="1"/>
  <c r="U15" i="5"/>
  <c r="W15" i="5" s="1"/>
  <c r="U14" i="5"/>
  <c r="X14" i="5" s="1"/>
  <c r="U13" i="5"/>
  <c r="W13" i="5" s="1"/>
  <c r="U12" i="5"/>
  <c r="X12" i="5" s="1"/>
  <c r="U11" i="5"/>
  <c r="W11" i="5" s="1"/>
  <c r="U10" i="5"/>
  <c r="W10" i="5" s="1"/>
  <c r="U9" i="5"/>
  <c r="W9" i="5" s="1"/>
  <c r="U8" i="5"/>
  <c r="X8" i="5" s="1"/>
  <c r="U7" i="5"/>
  <c r="W7" i="5" s="1"/>
  <c r="U6" i="5"/>
  <c r="W6" i="5" s="1"/>
  <c r="U20" i="5"/>
  <c r="W20" i="5" s="1"/>
  <c r="U19" i="5"/>
  <c r="W19" i="5" s="1"/>
  <c r="U18" i="5"/>
  <c r="AJ17" i="5" l="1"/>
  <c r="AM17" i="5" s="1"/>
  <c r="AL7" i="5"/>
  <c r="AL6" i="5"/>
  <c r="AL10" i="5"/>
  <c r="AL13" i="5"/>
  <c r="AL16" i="5"/>
  <c r="AL19" i="5"/>
  <c r="AL17" i="5" s="1"/>
  <c r="AL24" i="5"/>
  <c r="AL12" i="5"/>
  <c r="AL23" i="5"/>
  <c r="AE25" i="5"/>
  <c r="AC17" i="5"/>
  <c r="AC27" i="5" s="1"/>
  <c r="AE18" i="5"/>
  <c r="AE23" i="5"/>
  <c r="AE16" i="5"/>
  <c r="AF22" i="5"/>
  <c r="AE14" i="5"/>
  <c r="W14" i="5"/>
  <c r="AF24" i="5"/>
  <c r="AE7" i="5"/>
  <c r="AE10" i="5"/>
  <c r="AE13" i="5"/>
  <c r="AE6" i="5"/>
  <c r="AE12" i="5"/>
  <c r="AE19" i="5"/>
  <c r="W24" i="5"/>
  <c r="X7" i="5"/>
  <c r="U17" i="5"/>
  <c r="X22" i="5"/>
  <c r="X6" i="5"/>
  <c r="X10" i="5"/>
  <c r="X13" i="5"/>
  <c r="W12" i="5"/>
  <c r="W8" i="5"/>
  <c r="W18" i="5"/>
  <c r="M17" i="5"/>
  <c r="M27" i="5" s="1"/>
  <c r="L17" i="5"/>
  <c r="L27" i="5" s="1"/>
  <c r="K17" i="5"/>
  <c r="K27" i="5" s="1"/>
  <c r="O17" i="5"/>
  <c r="O27" i="5" s="1"/>
  <c r="Q22" i="5"/>
  <c r="P22" i="5"/>
  <c r="P21" i="5"/>
  <c r="Q15" i="5"/>
  <c r="P15" i="5"/>
  <c r="Q9" i="5"/>
  <c r="P9" i="5"/>
  <c r="AJ27" i="5" l="1"/>
  <c r="AM27" i="5" s="1"/>
  <c r="AL27" i="5"/>
  <c r="AF17" i="5"/>
  <c r="AE17" i="5"/>
  <c r="AE27" i="5" s="1"/>
  <c r="W17" i="5"/>
  <c r="W27" i="5" s="1"/>
  <c r="AF27" i="5"/>
  <c r="U27" i="5"/>
  <c r="X27" i="5" s="1"/>
  <c r="X17" i="5"/>
  <c r="G22" i="5"/>
  <c r="G21" i="5"/>
  <c r="N20" i="5" l="1"/>
  <c r="P20" i="5" s="1"/>
  <c r="N19" i="5"/>
  <c r="P19" i="5" s="1"/>
  <c r="N18" i="5"/>
  <c r="P14" i="5"/>
  <c r="N13" i="5"/>
  <c r="Q12" i="5"/>
  <c r="P11" i="5"/>
  <c r="Q10" i="5"/>
  <c r="Q8" i="5"/>
  <c r="Q7" i="5"/>
  <c r="P6" i="5"/>
  <c r="G20" i="5"/>
  <c r="I20" i="5" s="1"/>
  <c r="G19" i="5"/>
  <c r="I19" i="5" s="1"/>
  <c r="G18" i="5"/>
  <c r="H17" i="5"/>
  <c r="H27" i="5" s="1"/>
  <c r="F17" i="5"/>
  <c r="F27" i="5" s="1"/>
  <c r="E17" i="5"/>
  <c r="E27" i="5" s="1"/>
  <c r="D17" i="5"/>
  <c r="D27" i="5" s="1"/>
  <c r="G14" i="5"/>
  <c r="I14" i="5" s="1"/>
  <c r="G13" i="5"/>
  <c r="I13" i="5" s="1"/>
  <c r="G12" i="5"/>
  <c r="J12" i="5" s="1"/>
  <c r="G11" i="5"/>
  <c r="J11" i="5" s="1"/>
  <c r="G10" i="5"/>
  <c r="J10" i="5" s="1"/>
  <c r="G8" i="5"/>
  <c r="I8" i="5" s="1"/>
  <c r="G7" i="5"/>
  <c r="I7" i="5" s="1"/>
  <c r="G6" i="5"/>
  <c r="I6" i="5" s="1"/>
  <c r="Q18" i="5" l="1"/>
  <c r="N17" i="5"/>
  <c r="Q17" i="5" s="1"/>
  <c r="Q13" i="5"/>
  <c r="P18" i="5"/>
  <c r="P17" i="5" s="1"/>
  <c r="P10" i="5"/>
  <c r="Q14" i="5"/>
  <c r="Q6" i="5"/>
  <c r="P8" i="5"/>
  <c r="P13" i="5"/>
  <c r="P7" i="5"/>
  <c r="P12" i="5"/>
  <c r="G17" i="5"/>
  <c r="G27" i="5" s="1"/>
  <c r="J27" i="5" s="1"/>
  <c r="I18" i="5"/>
  <c r="I17" i="5" s="1"/>
  <c r="J7" i="5"/>
  <c r="J6" i="5"/>
  <c r="J8" i="5"/>
  <c r="I12" i="5"/>
  <c r="J13" i="5"/>
  <c r="J14" i="5"/>
  <c r="I10" i="5"/>
  <c r="I11" i="5"/>
  <c r="BA11" i="1"/>
  <c r="BB11" i="1"/>
  <c r="BC11" i="1"/>
  <c r="BE11" i="1"/>
  <c r="BE17" i="1"/>
  <c r="BE16" i="1"/>
  <c r="BC17" i="1"/>
  <c r="BC16" i="1"/>
  <c r="BB17" i="1"/>
  <c r="BB16" i="1"/>
  <c r="P27" i="5" l="1"/>
  <c r="N27" i="5"/>
  <c r="Q27" i="5" s="1"/>
  <c r="I27" i="5"/>
  <c r="BE15" i="1"/>
  <c r="BA17" i="1"/>
  <c r="BA16" i="1"/>
  <c r="BE14" i="1"/>
  <c r="BC14" i="1"/>
  <c r="BB14" i="1"/>
  <c r="BA14" i="1"/>
  <c r="BE12" i="1"/>
  <c r="BC12" i="1"/>
  <c r="BB12" i="1"/>
  <c r="BA12" i="1"/>
  <c r="BE8" i="1"/>
  <c r="BC8" i="1"/>
  <c r="BB8" i="1"/>
  <c r="BA8" i="1"/>
  <c r="BE6" i="1"/>
  <c r="BC6" i="1"/>
  <c r="BB6" i="1"/>
  <c r="BA6" i="1"/>
  <c r="BB7" i="1"/>
  <c r="BC7" i="1"/>
  <c r="BD10" i="1"/>
  <c r="BF10" i="1" s="1"/>
  <c r="BD13" i="1"/>
  <c r="BF13" i="1" s="1"/>
  <c r="BD6" i="1" l="1"/>
  <c r="BG6" i="1" s="1"/>
  <c r="BD16" i="1"/>
  <c r="BD7" i="1"/>
  <c r="BF7" i="1" s="1"/>
  <c r="BB15" i="1"/>
  <c r="BB18" i="1" s="1"/>
  <c r="BE18" i="1"/>
  <c r="BA15" i="1"/>
  <c r="BA18" i="1" s="1"/>
  <c r="BD14" i="1"/>
  <c r="BF14" i="1" s="1"/>
  <c r="BD12" i="1"/>
  <c r="BF12" i="1" s="1"/>
  <c r="BD8" i="1"/>
  <c r="BF8" i="1" s="1"/>
  <c r="BD11" i="1"/>
  <c r="BF11" i="1" s="1"/>
  <c r="BG14" i="1"/>
  <c r="BF9" i="1"/>
  <c r="BF6" i="1"/>
  <c r="BD17" i="1"/>
  <c r="BC15" i="1"/>
  <c r="BC18" i="1" s="1"/>
  <c r="BF16" i="1" l="1"/>
  <c r="BG16" i="1"/>
  <c r="BD15" i="1"/>
  <c r="BF15" i="1" s="1"/>
  <c r="BF18" i="1" s="1"/>
  <c r="BG8" i="1"/>
  <c r="BG12" i="1"/>
  <c r="BG11" i="1"/>
  <c r="BG17" i="1"/>
  <c r="BF17" i="1"/>
  <c r="BG15" i="1" l="1"/>
  <c r="BD18" i="1"/>
  <c r="BG18" i="1" s="1"/>
  <c r="AW17" i="1"/>
  <c r="AW16" i="1"/>
  <c r="AW14" i="1"/>
  <c r="AW12" i="1"/>
  <c r="AW11" i="1"/>
  <c r="AW9" i="1"/>
  <c r="AW8" i="1"/>
  <c r="AW6" i="1"/>
  <c r="AU14" i="1"/>
  <c r="AU12" i="1"/>
  <c r="AT14" i="1"/>
  <c r="AT17" i="1"/>
  <c r="AU17" i="1"/>
  <c r="AU16" i="1"/>
  <c r="AT16" i="1"/>
  <c r="AT12" i="1"/>
  <c r="AU11" i="1"/>
  <c r="AT11" i="1"/>
  <c r="AU9" i="1"/>
  <c r="AT9" i="1"/>
  <c r="AU8" i="1"/>
  <c r="AT8" i="1"/>
  <c r="AU6" i="1"/>
  <c r="AT6" i="1"/>
  <c r="AS17" i="1"/>
  <c r="AS16" i="1"/>
  <c r="AS14" i="1"/>
  <c r="AS12" i="1"/>
  <c r="AS11" i="1"/>
  <c r="AS8" i="1"/>
  <c r="AS6" i="1"/>
  <c r="AS15" i="1" l="1"/>
  <c r="AU15" i="1" l="1"/>
  <c r="AV17" i="1"/>
  <c r="AW15" i="1"/>
  <c r="AV16" i="1"/>
  <c r="AX16" i="1" s="1"/>
  <c r="AT15" i="1"/>
  <c r="AV14" i="1"/>
  <c r="AV13" i="1"/>
  <c r="AX13" i="1" s="1"/>
  <c r="AV12" i="1"/>
  <c r="AV11" i="1"/>
  <c r="AV10" i="1"/>
  <c r="AX10" i="1" s="1"/>
  <c r="AV9" i="1"/>
  <c r="AV8" i="1"/>
  <c r="AU7" i="1"/>
  <c r="AU18" i="1" s="1"/>
  <c r="AT7" i="1"/>
  <c r="AT18" i="1" s="1"/>
  <c r="AX9" i="1" l="1"/>
  <c r="AY9" i="1"/>
  <c r="AX12" i="1"/>
  <c r="AY12" i="1"/>
  <c r="AW18" i="1"/>
  <c r="AX14" i="1"/>
  <c r="AY14" i="1"/>
  <c r="AX17" i="1"/>
  <c r="AY17" i="1"/>
  <c r="AX8" i="1"/>
  <c r="AY8" i="1"/>
  <c r="AV7" i="1"/>
  <c r="AX7" i="1" s="1"/>
  <c r="AX11" i="1"/>
  <c r="AY11" i="1"/>
  <c r="AV15" i="1"/>
  <c r="AX15" i="1" s="1"/>
  <c r="AV6" i="1"/>
  <c r="AS18" i="1"/>
  <c r="AO11" i="1"/>
  <c r="AO17" i="1"/>
  <c r="AO16" i="1"/>
  <c r="AO14" i="1"/>
  <c r="AO12" i="1"/>
  <c r="AO8" i="1"/>
  <c r="AO6" i="1"/>
  <c r="AO7" i="1"/>
  <c r="AK6" i="1"/>
  <c r="AY15" i="1" l="1"/>
  <c r="AX6" i="1"/>
  <c r="AX18" i="1" s="1"/>
  <c r="AV18" i="1"/>
  <c r="AY18" i="1" s="1"/>
  <c r="AY6" i="1"/>
  <c r="AM17" i="1"/>
  <c r="AM16" i="1"/>
  <c r="AL17" i="1"/>
  <c r="AL16" i="1"/>
  <c r="AK17" i="1"/>
  <c r="AK16" i="1"/>
  <c r="AM14" i="1"/>
  <c r="AL14" i="1"/>
  <c r="AK14" i="1"/>
  <c r="AM12" i="1"/>
  <c r="AL12" i="1"/>
  <c r="AK12" i="1"/>
  <c r="AP12" i="1" s="1"/>
  <c r="AM11" i="1"/>
  <c r="AL11" i="1"/>
  <c r="AK11" i="1"/>
  <c r="AM8" i="1"/>
  <c r="AL8" i="1"/>
  <c r="AK8" i="1"/>
  <c r="AM7" i="1"/>
  <c r="AL7" i="1"/>
  <c r="AK7" i="1"/>
  <c r="AM6" i="1"/>
  <c r="AL6" i="1"/>
  <c r="AK15" i="1" l="1"/>
  <c r="AN6" i="1"/>
  <c r="AP6" i="1" s="1"/>
  <c r="AM15" i="1"/>
  <c r="AN17" i="1"/>
  <c r="AP17" i="1" s="1"/>
  <c r="AO15" i="1"/>
  <c r="AO18" i="1" s="1"/>
  <c r="AN16" i="1"/>
  <c r="AP16" i="1" s="1"/>
  <c r="AL15" i="1"/>
  <c r="AL18" i="1" s="1"/>
  <c r="AN14" i="1"/>
  <c r="AP14" i="1" s="1"/>
  <c r="AN13" i="1"/>
  <c r="AN12" i="1"/>
  <c r="AQ12" i="1" s="1"/>
  <c r="AN11" i="1"/>
  <c r="AP11" i="1" s="1"/>
  <c r="AN10" i="1"/>
  <c r="AP10" i="1" s="1"/>
  <c r="AN9" i="1"/>
  <c r="AP9" i="1" s="1"/>
  <c r="AN8" i="1"/>
  <c r="AP8" i="1" s="1"/>
  <c r="AN7" i="1"/>
  <c r="AP7" i="1" s="1"/>
  <c r="AQ6" i="1" l="1"/>
  <c r="AQ8" i="1"/>
  <c r="AQ7" i="1"/>
  <c r="AQ14" i="1"/>
  <c r="AM18" i="1"/>
  <c r="AQ11" i="1"/>
  <c r="AN15" i="1"/>
  <c r="AP15" i="1" s="1"/>
  <c r="AQ17" i="1"/>
  <c r="AK18" i="1"/>
  <c r="AG6" i="1"/>
  <c r="AD6" i="1"/>
  <c r="AC6" i="1"/>
  <c r="AG14" i="1"/>
  <c r="AE14" i="1"/>
  <c r="AD14" i="1"/>
  <c r="AC14" i="1"/>
  <c r="AG17" i="1"/>
  <c r="AG16" i="1"/>
  <c r="AF13" i="1"/>
  <c r="AF9" i="1"/>
  <c r="AE17" i="1"/>
  <c r="AE16" i="1"/>
  <c r="AD17" i="1"/>
  <c r="AD16" i="1"/>
  <c r="AC17" i="1"/>
  <c r="AC16" i="1"/>
  <c r="AG12" i="1"/>
  <c r="AE12" i="1"/>
  <c r="AD12" i="1"/>
  <c r="AC12" i="1"/>
  <c r="AG11" i="1"/>
  <c r="AE11" i="1"/>
  <c r="AD11" i="1"/>
  <c r="AC11" i="1"/>
  <c r="AG10" i="1"/>
  <c r="AE10" i="1"/>
  <c r="AD10" i="1"/>
  <c r="AC10" i="1"/>
  <c r="AG8" i="1"/>
  <c r="AE8" i="1"/>
  <c r="AD8" i="1"/>
  <c r="AC8" i="1"/>
  <c r="AG7" i="1"/>
  <c r="AE7" i="1"/>
  <c r="AD7" i="1"/>
  <c r="AC7" i="1"/>
  <c r="AE6" i="1"/>
  <c r="AF14" i="1" l="1"/>
  <c r="AH14" i="1"/>
  <c r="AC15" i="1"/>
  <c r="AE15" i="1"/>
  <c r="AE18" i="1" s="1"/>
  <c r="AG15" i="1"/>
  <c r="AG18" i="1" s="1"/>
  <c r="AN18" i="1"/>
  <c r="AQ18" i="1" s="1"/>
  <c r="AP18" i="1"/>
  <c r="AQ15" i="1"/>
  <c r="AD15" i="1"/>
  <c r="AD18" i="1" s="1"/>
  <c r="AI14" i="1"/>
  <c r="AF17" i="1"/>
  <c r="AH17" i="1" s="1"/>
  <c r="AF7" i="1"/>
  <c r="AH7" i="1" s="1"/>
  <c r="AF8" i="1"/>
  <c r="AF10" i="1"/>
  <c r="AC18" i="1"/>
  <c r="AF6" i="1"/>
  <c r="AH6" i="1" s="1"/>
  <c r="AF11" i="1"/>
  <c r="AF12" i="1"/>
  <c r="AI17" i="1"/>
  <c r="AF16" i="1"/>
  <c r="AF15" i="1" l="1"/>
  <c r="AH15" i="1" s="1"/>
  <c r="AH16" i="1"/>
  <c r="AI6" i="1"/>
  <c r="AF18" i="1" l="1"/>
  <c r="AI18" i="1" s="1"/>
  <c r="AI15" i="1"/>
  <c r="AH12" i="1"/>
  <c r="AI12" i="1"/>
  <c r="AH11" i="1"/>
  <c r="AI10" i="1"/>
  <c r="AH9" i="1"/>
  <c r="AH8" i="1"/>
  <c r="AI8" i="1" l="1"/>
  <c r="AI7" i="1"/>
  <c r="AI11" i="1"/>
  <c r="AH10" i="1"/>
  <c r="AH18" i="1" s="1"/>
  <c r="X16" i="1"/>
  <c r="AA15" i="1" l="1"/>
  <c r="X12" i="1"/>
  <c r="AA12" i="1" s="1"/>
  <c r="Y18" i="1"/>
  <c r="Z15" i="1" l="1"/>
  <c r="Z12" i="1"/>
  <c r="J13" i="1" l="1"/>
  <c r="J10" i="1"/>
  <c r="J11" i="1"/>
  <c r="J12" i="1"/>
  <c r="Q15" i="1" l="1"/>
  <c r="P12" i="1"/>
  <c r="R12" i="1" s="1"/>
  <c r="I18" i="1"/>
  <c r="R15" i="1" l="1"/>
  <c r="E18" i="1"/>
  <c r="H9" i="1"/>
  <c r="J9" i="1" s="1"/>
  <c r="H6" i="1"/>
  <c r="F18" i="1"/>
  <c r="P10" i="1"/>
  <c r="R10" i="1" s="1"/>
  <c r="P9" i="1"/>
  <c r="R9" i="1" s="1"/>
  <c r="P8" i="1"/>
  <c r="R8" i="1" s="1"/>
  <c r="P6" i="1"/>
  <c r="R6" i="1" s="1"/>
  <c r="N18" i="1"/>
  <c r="M18" i="1"/>
  <c r="J6" i="1" l="1"/>
  <c r="X10" i="1"/>
  <c r="X9" i="1"/>
  <c r="W18" i="1"/>
  <c r="V18" i="1"/>
  <c r="U18" i="1"/>
  <c r="Z10" i="1" l="1"/>
  <c r="AA10" i="1"/>
  <c r="Z9" i="1"/>
  <c r="AA9" i="1"/>
  <c r="H7" i="1"/>
  <c r="J7" i="1" s="1"/>
  <c r="H8" i="1"/>
  <c r="J8" i="1" s="1"/>
  <c r="G18" i="1"/>
  <c r="H18" i="1" s="1"/>
  <c r="K8" i="1" l="1"/>
  <c r="K7" i="1"/>
  <c r="K6" i="1"/>
  <c r="K9" i="1"/>
  <c r="J18" i="1"/>
  <c r="P7" i="1"/>
  <c r="X6" i="1"/>
  <c r="AA6" i="1" s="1"/>
  <c r="P11" i="1"/>
  <c r="O18" i="1"/>
  <c r="P18" i="1" s="1"/>
  <c r="S11" i="1" l="1"/>
  <c r="S7" i="1"/>
  <c r="S10" i="1"/>
  <c r="S6" i="1"/>
  <c r="S13" i="1"/>
  <c r="S9" i="1"/>
  <c r="S12" i="1"/>
  <c r="S8" i="1"/>
  <c r="S15" i="1"/>
  <c r="K18" i="1"/>
  <c r="Z6" i="1"/>
  <c r="R7" i="1"/>
  <c r="R11" i="1"/>
  <c r="X7" i="1"/>
  <c r="AA7" i="1" s="1"/>
  <c r="X8" i="1"/>
  <c r="X11" i="1"/>
  <c r="AA11" i="1" s="1"/>
  <c r="S18" i="1" l="1"/>
  <c r="AA8" i="1"/>
  <c r="Z8" i="1"/>
  <c r="Z11" i="1"/>
  <c r="Z7" i="1"/>
  <c r="X18" i="1"/>
  <c r="AA18" i="1" s="1"/>
  <c r="Z18" i="1" l="1"/>
  <c r="P16" i="1"/>
  <c r="Q16" i="1" s="1"/>
  <c r="Q18" i="1" s="1"/>
  <c r="U15" i="1"/>
  <c r="R18" i="1" l="1"/>
</calcChain>
</file>

<file path=xl/sharedStrings.xml><?xml version="1.0" encoding="utf-8"?>
<sst xmlns="http://schemas.openxmlformats.org/spreadsheetml/2006/main" count="165" uniqueCount="68">
  <si>
    <t>CONCEPTO</t>
  </si>
  <si>
    <t>Apropiación Inicial 2012</t>
  </si>
  <si>
    <t>Apropiación Inicial 2013</t>
  </si>
  <si>
    <t>GASTOS DE PERSONAL</t>
  </si>
  <si>
    <t>Servicios Personales Indirectos</t>
  </si>
  <si>
    <t>GASTOS GENERALES</t>
  </si>
  <si>
    <t>TRANSFERENCIAS</t>
  </si>
  <si>
    <t>INVERSION</t>
  </si>
  <si>
    <t>TOTAL PRESUPUESTO</t>
  </si>
  <si>
    <t>Datos : SIIF Nación II</t>
  </si>
  <si>
    <t>Apropiación Adicionada</t>
  </si>
  <si>
    <t>Apropicion Reducida</t>
  </si>
  <si>
    <t>Apropiacion Definitiva 2014</t>
  </si>
  <si>
    <t xml:space="preserve">Apropiación Definitiva 2013 </t>
  </si>
  <si>
    <t>Apropiación Definitiva 2012</t>
  </si>
  <si>
    <t>RECURSO</t>
  </si>
  <si>
    <t>Recurso</t>
  </si>
  <si>
    <t xml:space="preserve">GASTOS GENERALES </t>
  </si>
  <si>
    <t>EJECUCION 2012</t>
  </si>
  <si>
    <t>EJECUCION 2013</t>
  </si>
  <si>
    <t>EJECUCION 2014</t>
  </si>
  <si>
    <t>EJECUTADO (COMPROMISOS)</t>
  </si>
  <si>
    <t>APROPIACION SIN EJECUTAR AL CIERRE DE VIGENCIA</t>
  </si>
  <si>
    <t>%EJECUCION / APROPIACION DEFINITIVA</t>
  </si>
  <si>
    <t>Apropiación Inicial 2014</t>
  </si>
  <si>
    <t>EJECUCION 2015</t>
  </si>
  <si>
    <t>Apropiación Inicial 2015</t>
  </si>
  <si>
    <t>Apropiacion Definitiva 2015</t>
  </si>
  <si>
    <t>COMPRA DE BIENES Y SERVICIOS</t>
  </si>
  <si>
    <t>EJECUCION 2016</t>
  </si>
  <si>
    <t>Apropiación Inicial 2016</t>
  </si>
  <si>
    <t>IMPLEMENTACIÓN PROGRAMA DE GESTIÓN DOCUMENTAL NACIONAL</t>
  </si>
  <si>
    <t>Apropiacion Definitiva 2016</t>
  </si>
  <si>
    <t>Apropiación Inicial 2017</t>
  </si>
  <si>
    <t>Apropiacion Definitiva 2017</t>
  </si>
  <si>
    <t>EJECUCION 2017</t>
  </si>
  <si>
    <t>EJECUCION 2018</t>
  </si>
  <si>
    <t>Apropiación Inicial 2018</t>
  </si>
  <si>
    <t>Apropiacion Definitiva 2018</t>
  </si>
  <si>
    <t>EJECUCION 2019</t>
  </si>
  <si>
    <t>Apropiación Inicial 2019</t>
  </si>
  <si>
    <t>Apropiación Definitiva 2019</t>
  </si>
  <si>
    <t>ADQUISICIÓN DE ACTIVOS NO FINANCIEROS</t>
  </si>
  <si>
    <t>ADQUISICIONES DIFERENTES DE ACTIVOS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</si>
  <si>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</si>
  <si>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</si>
  <si>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</si>
  <si>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</si>
  <si>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Apropiación Inicial 2020</t>
  </si>
  <si>
    <t>Apropiación Definitiva 2020</t>
  </si>
  <si>
    <t>EJECUCION 2020</t>
  </si>
  <si>
    <t>ADQUISICIÓN DE SERVICIOS</t>
  </si>
  <si>
    <t>OPTIMIZACIÓN DE LOS PROCESOS DE EVALUACIÓN DEL RIESGO E IMPLEMENTACIÓN DE MEDIDAS DE LA UNIDAD NACIONAL DE PROTECCIÓN  NACIONAL-[PREVIO CONCEPTO DNP]</t>
  </si>
  <si>
    <t>MODERNIZACIÓN DEL SISTEMA DE GESTIÓN DOCUMENTAL EN LA UNP A NIVEL   NACIONAL</t>
  </si>
  <si>
    <t>EJECUCION 2021</t>
  </si>
  <si>
    <t>Apropiación Inicial 2021</t>
  </si>
  <si>
    <t>Apropiación Definitiva 2021</t>
  </si>
  <si>
    <t>IMPLEMENTACION DE LA RUTA DE  PROTECCION INDIVIDUAL DE LA UNIDAD NACIONAL DE PROTECCION  A  NIVEL    NACIONAL</t>
  </si>
  <si>
    <t>EJECUCION 2022</t>
  </si>
  <si>
    <t>Apropiación Inicial 2022</t>
  </si>
  <si>
    <t>Apropiación Definitiva 2022</t>
  </si>
  <si>
    <t>ADQUISICIÓN DE BIENES  Y SERVICIOS</t>
  </si>
  <si>
    <t>GASTOS DE COMERCIALIZACIÓN Y PRODUCCIÓN</t>
  </si>
  <si>
    <t>SERVICIO A LA DEUDA</t>
  </si>
  <si>
    <t>FORTALECIMIENTO  Y APROPIACION  DE  LA IMPLEMENTACION DE LOS SISTEMAS INTEGRADOS DE GESTION Y  DEL  MODELO INTEGRADO DE PLANEACION Y  GESTION DE LA UNIDAD NACIONAL DE PROTECCION  NACIONAL-[PREVIO CONCEPTO DNP]</t>
  </si>
  <si>
    <t>EJECUCION 2023</t>
  </si>
  <si>
    <t>Apropiación Inicial 2023</t>
  </si>
  <si>
    <t>Apropiación Definitiva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</si>
</sst>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[$-1240A]&quot;$&quot;\ #,##0.00;\(&quot;$&quot;\ #,##0.00\)"/>
    <numFmt numFmtId="167" formatCode="0.000%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  <scheme val="minor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  <font>
      <b/>
      <i/>
      <u val="singleAccounting"/>
      <sz val="12"/>
      <color theme="0"/>
      <name val="Arial Narrow"/>
      <family val="2"/>
    </font>
    <font>
      <b/>
      <i/>
      <u/>
      <sz val="10"/>
      <color theme="0"/>
      <name val="Calibri"/>
      <family val="2"/>
    </font>
    <font>
      <b/>
      <u val="singleAccounting"/>
      <sz val="12"/>
      <color theme="0"/>
      <name val="Arial Narrow"/>
      <family val="2"/>
    </font>
    <font>
      <sz val="12"/>
      <color rgb="FF000000"/>
      <name val="Arial Narrow"/>
      <family val="2"/>
    </font>
    <font>
      <b/>
      <u/>
      <sz val="12"/>
      <color theme="0"/>
      <name val="Calibri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164" fontId="0" fillId="0" borderId="0" xfId="1" applyFont="1"/>
    <xf numFmtId="165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3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9" fontId="0" fillId="0" borderId="0" xfId="0" applyNumberFormat="1"/>
    <xf numFmtId="166" fontId="8" fillId="0" borderId="0" xfId="0" applyNumberFormat="1" applyFont="1" applyAlignment="1">
      <alignment horizontal="right" vertical="center" wrapText="1" readingOrder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9" fontId="9" fillId="2" borderId="2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4" fillId="3" borderId="5" xfId="0" applyFont="1" applyFill="1" applyBorder="1"/>
    <xf numFmtId="4" fontId="7" fillId="0" borderId="6" xfId="3" applyNumberFormat="1" applyFont="1" applyBorder="1" applyAlignment="1">
      <alignment vertical="center" wrapText="1" readingOrder="1"/>
    </xf>
    <xf numFmtId="164" fontId="5" fillId="0" borderId="5" xfId="1" applyFont="1" applyFill="1" applyBorder="1"/>
    <xf numFmtId="4" fontId="7" fillId="0" borderId="5" xfId="3" applyNumberFormat="1" applyFont="1" applyBorder="1" applyAlignment="1">
      <alignment vertical="center" wrapText="1" readingOrder="1"/>
    </xf>
    <xf numFmtId="164" fontId="5" fillId="3" borderId="5" xfId="1" applyFont="1" applyFill="1" applyBorder="1"/>
    <xf numFmtId="4" fontId="7" fillId="0" borderId="7" xfId="3" applyNumberFormat="1" applyFont="1" applyBorder="1" applyAlignment="1">
      <alignment vertical="center" wrapText="1" readingOrder="1"/>
    </xf>
    <xf numFmtId="9" fontId="5" fillId="0" borderId="5" xfId="2" applyFont="1" applyFill="1" applyBorder="1" applyAlignment="1">
      <alignment horizontal="center"/>
    </xf>
    <xf numFmtId="164" fontId="5" fillId="0" borderId="7" xfId="1" applyFont="1" applyFill="1" applyBorder="1" applyAlignment="1">
      <alignment vertical="center" wrapText="1"/>
    </xf>
    <xf numFmtId="9" fontId="5" fillId="3" borderId="5" xfId="2" applyFont="1" applyFill="1" applyBorder="1" applyAlignment="1">
      <alignment horizontal="center"/>
    </xf>
    <xf numFmtId="9" fontId="5" fillId="0" borderId="7" xfId="2" applyFont="1" applyFill="1" applyBorder="1" applyAlignment="1">
      <alignment horizontal="center" vertical="center" wrapText="1"/>
    </xf>
    <xf numFmtId="39" fontId="5" fillId="0" borderId="5" xfId="1" applyNumberFormat="1" applyFont="1" applyFill="1" applyBorder="1"/>
    <xf numFmtId="39" fontId="5" fillId="3" borderId="5" xfId="1" applyNumberFormat="1" applyFont="1" applyFill="1" applyBorder="1"/>
    <xf numFmtId="39" fontId="5" fillId="0" borderId="7" xfId="1" applyNumberFormat="1" applyFont="1" applyFill="1" applyBorder="1" applyAlignment="1">
      <alignment vertical="center" wrapText="1"/>
    </xf>
    <xf numFmtId="39" fontId="5" fillId="3" borderId="8" xfId="1" applyNumberFormat="1" applyFont="1" applyFill="1" applyBorder="1"/>
    <xf numFmtId="164" fontId="5" fillId="0" borderId="5" xfId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left" vertical="center" wrapText="1"/>
    </xf>
    <xf numFmtId="1" fontId="5" fillId="0" borderId="5" xfId="2" applyNumberFormat="1" applyFont="1" applyFill="1" applyBorder="1" applyAlignment="1">
      <alignment horizontal="center"/>
    </xf>
    <xf numFmtId="165" fontId="5" fillId="0" borderId="5" xfId="1" applyNumberFormat="1" applyFont="1" applyFill="1" applyBorder="1"/>
    <xf numFmtId="9" fontId="5" fillId="0" borderId="11" xfId="2" applyFont="1" applyFill="1" applyBorder="1" applyAlignment="1">
      <alignment horizontal="center"/>
    </xf>
    <xf numFmtId="9" fontId="5" fillId="0" borderId="12" xfId="2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vertical="center" wrapText="1"/>
    </xf>
    <xf numFmtId="39" fontId="5" fillId="0" borderId="8" xfId="1" applyNumberFormat="1" applyFont="1" applyFill="1" applyBorder="1"/>
    <xf numFmtId="164" fontId="5" fillId="0" borderId="9" xfId="1" applyFont="1" applyFill="1" applyBorder="1" applyAlignment="1">
      <alignment horizontal="center" vertical="center" wrapText="1"/>
    </xf>
    <xf numFmtId="39" fontId="5" fillId="0" borderId="11" xfId="1" applyNumberFormat="1" applyFont="1" applyFill="1" applyBorder="1"/>
    <xf numFmtId="164" fontId="5" fillId="0" borderId="6" xfId="1" applyFont="1" applyFill="1" applyBorder="1" applyAlignment="1">
      <alignment horizontal="center" vertical="center" wrapText="1"/>
    </xf>
    <xf numFmtId="164" fontId="5" fillId="0" borderId="11" xfId="1" applyFont="1" applyFill="1" applyBorder="1"/>
    <xf numFmtId="164" fontId="5" fillId="3" borderId="11" xfId="1" applyFont="1" applyFill="1" applyBorder="1"/>
    <xf numFmtId="164" fontId="5" fillId="0" borderId="13" xfId="1" applyFont="1" applyFill="1" applyBorder="1" applyAlignment="1">
      <alignment vertical="center" wrapText="1"/>
    </xf>
    <xf numFmtId="9" fontId="0" fillId="0" borderId="0" xfId="2" applyFont="1"/>
    <xf numFmtId="167" fontId="0" fillId="0" borderId="0" xfId="2" applyNumberFormat="1" applyFont="1"/>
    <xf numFmtId="39" fontId="5" fillId="3" borderId="11" xfId="1" applyNumberFormat="1" applyFont="1" applyFill="1" applyBorder="1"/>
    <xf numFmtId="164" fontId="5" fillId="0" borderId="13" xfId="1" applyFont="1" applyFill="1" applyBorder="1" applyAlignment="1">
      <alignment horizontal="center" vertical="center" wrapText="1"/>
    </xf>
    <xf numFmtId="9" fontId="0" fillId="0" borderId="0" xfId="2" applyFont="1" applyAlignment="1">
      <alignment horizontal="center"/>
    </xf>
    <xf numFmtId="9" fontId="5" fillId="0" borderId="5" xfId="2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68" fontId="5" fillId="0" borderId="11" xfId="2" applyNumberFormat="1" applyFont="1" applyFill="1" applyBorder="1" applyAlignment="1">
      <alignment horizontal="center"/>
    </xf>
    <xf numFmtId="168" fontId="5" fillId="3" borderId="11" xfId="2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0" fontId="11" fillId="2" borderId="1" xfId="2" applyNumberFormat="1" applyFont="1" applyFill="1" applyBorder="1" applyAlignment="1">
      <alignment horizontal="center" vertical="center" wrapText="1"/>
    </xf>
    <xf numFmtId="4" fontId="12" fillId="0" borderId="6" xfId="3" applyNumberFormat="1" applyFont="1" applyBorder="1" applyAlignment="1">
      <alignment vertical="center" wrapText="1" readingOrder="1"/>
    </xf>
    <xf numFmtId="0" fontId="13" fillId="2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wrapText="1"/>
    </xf>
    <xf numFmtId="164" fontId="11" fillId="2" borderId="3" xfId="0" applyNumberFormat="1" applyFont="1" applyFill="1" applyBorder="1" applyAlignment="1">
      <alignment horizontal="center" vertical="center" wrapText="1"/>
    </xf>
    <xf numFmtId="9" fontId="11" fillId="2" borderId="4" xfId="2" applyFont="1" applyFill="1" applyBorder="1" applyAlignment="1">
      <alignment horizontal="center" vertical="center" wrapText="1"/>
    </xf>
    <xf numFmtId="164" fontId="5" fillId="0" borderId="8" xfId="1" applyFont="1" applyFill="1" applyBorder="1"/>
    <xf numFmtId="164" fontId="5" fillId="3" borderId="8" xfId="1" applyFont="1" applyFill="1" applyBorder="1"/>
    <xf numFmtId="164" fontId="5" fillId="0" borderId="9" xfId="1" applyFont="1" applyFill="1" applyBorder="1" applyAlignment="1">
      <alignment vertical="center" wrapText="1"/>
    </xf>
    <xf numFmtId="39" fontId="14" fillId="0" borderId="11" xfId="1" applyNumberFormat="1" applyFont="1" applyFill="1" applyBorder="1"/>
    <xf numFmtId="9" fontId="5" fillId="0" borderId="11" xfId="2" applyFont="1" applyFill="1" applyBorder="1" applyAlignment="1">
      <alignment horizontal="center" vertical="center"/>
    </xf>
    <xf numFmtId="9" fontId="5" fillId="4" borderId="11" xfId="2" applyFont="1" applyFill="1" applyBorder="1" applyAlignment="1">
      <alignment horizontal="center" vertical="center"/>
    </xf>
    <xf numFmtId="9" fontId="5" fillId="0" borderId="13" xfId="1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64" fontId="5" fillId="3" borderId="6" xfId="1" applyFont="1" applyFill="1" applyBorder="1"/>
    <xf numFmtId="9" fontId="5" fillId="3" borderId="6" xfId="2" applyFont="1" applyFill="1" applyBorder="1" applyAlignment="1">
      <alignment horizontal="center"/>
    </xf>
    <xf numFmtId="164" fontId="5" fillId="3" borderId="9" xfId="1" applyFont="1" applyFill="1" applyBorder="1"/>
    <xf numFmtId="164" fontId="5" fillId="3" borderId="13" xfId="1" applyFont="1" applyFill="1" applyBorder="1"/>
    <xf numFmtId="168" fontId="5" fillId="3" borderId="13" xfId="2" applyNumberFormat="1" applyFont="1" applyFill="1" applyBorder="1" applyAlignment="1">
      <alignment horizontal="center"/>
    </xf>
    <xf numFmtId="39" fontId="5" fillId="3" borderId="6" xfId="1" applyNumberFormat="1" applyFont="1" applyFill="1" applyBorder="1"/>
    <xf numFmtId="39" fontId="5" fillId="3" borderId="9" xfId="1" applyNumberFormat="1" applyFont="1" applyFill="1" applyBorder="1"/>
    <xf numFmtId="39" fontId="5" fillId="3" borderId="13" xfId="1" applyNumberFormat="1" applyFont="1" applyFill="1" applyBorder="1"/>
    <xf numFmtId="9" fontId="5" fillId="4" borderId="13" xfId="2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39" fontId="5" fillId="0" borderId="5" xfId="1" applyNumberFormat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39" fontId="5" fillId="0" borderId="8" xfId="1" applyNumberFormat="1" applyFont="1" applyFill="1" applyBorder="1" applyAlignment="1">
      <alignment horizontal="center" vertical="center"/>
    </xf>
    <xf numFmtId="39" fontId="5" fillId="0" borderId="11" xfId="1" applyNumberFormat="1" applyFont="1" applyFill="1" applyBorder="1" applyAlignment="1">
      <alignment horizontal="center" vertical="center"/>
    </xf>
    <xf numFmtId="1" fontId="5" fillId="3" borderId="5" xfId="2" applyNumberFormat="1" applyFont="1" applyFill="1" applyBorder="1" applyAlignment="1">
      <alignment horizontal="center"/>
    </xf>
    <xf numFmtId="1" fontId="5" fillId="0" borderId="5" xfId="2" applyNumberFormat="1" applyFont="1" applyFill="1" applyBorder="1" applyAlignment="1">
      <alignment horizontal="center" vertical="center"/>
    </xf>
    <xf numFmtId="10" fontId="11" fillId="2" borderId="4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164" fontId="5" fillId="0" borderId="15" xfId="1" applyFont="1" applyFill="1" applyBorder="1"/>
    <xf numFmtId="165" fontId="5" fillId="0" borderId="15" xfId="1" applyNumberFormat="1" applyFont="1" applyFill="1" applyBorder="1"/>
    <xf numFmtId="10" fontId="5" fillId="0" borderId="14" xfId="2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10" fontId="5" fillId="3" borderId="5" xfId="2" applyNumberFormat="1" applyFont="1" applyFill="1" applyBorder="1"/>
    <xf numFmtId="164" fontId="15" fillId="3" borderId="5" xfId="1" applyFont="1" applyFill="1" applyBorder="1"/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65" fontId="5" fillId="0" borderId="6" xfId="1" applyNumberFormat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165" fontId="5" fillId="0" borderId="17" xfId="1" applyNumberFormat="1" applyFont="1" applyFill="1" applyBorder="1" applyAlignment="1">
      <alignment horizontal="center" vertical="center"/>
    </xf>
    <xf numFmtId="164" fontId="5" fillId="0" borderId="17" xfId="1" applyFont="1" applyFill="1" applyBorder="1" applyAlignment="1">
      <alignment horizontal="center" vertical="center"/>
    </xf>
    <xf numFmtId="10" fontId="5" fillId="0" borderId="17" xfId="2" applyNumberFormat="1" applyFont="1" applyFill="1" applyBorder="1" applyAlignment="1">
      <alignment horizontal="center" vertical="center"/>
    </xf>
    <xf numFmtId="0" fontId="16" fillId="0" borderId="0" xfId="0" applyFont="1"/>
    <xf numFmtId="0" fontId="4" fillId="0" borderId="13" xfId="0" applyFont="1" applyBorder="1" applyAlignment="1">
      <alignment horizontal="center" vertical="center" wrapText="1"/>
    </xf>
    <xf numFmtId="1" fontId="5" fillId="0" borderId="11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2169145523476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 A 2018'!$D$4</c:f>
              <c:strCache>
                <c:ptCount val="1"/>
                <c:pt idx="0">
                  <c:v>EJECUCION 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2018'!$E$5:$H$5</c:f>
              <c:strCache>
                <c:ptCount val="4"/>
                <c:pt idx="0">
                  <c:v>Apropiación Inicial 2012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2012</c:v>
                </c:pt>
              </c:strCache>
            </c:strRef>
          </c:cat>
          <c:val>
            <c:numRef>
              <c:f>'2012 A 2018'!$E$18:$H$18</c:f>
              <c:numCache>
                <c:formatCode>_(* #,##0.00_);_(* \(#,##0.00\);_(* "-"??_);_(@_)</c:formatCode>
                <c:ptCount val="4"/>
                <c:pt idx="0">
                  <c:v>195381282000</c:v>
                </c:pt>
                <c:pt idx="1">
                  <c:v>89419585800</c:v>
                </c:pt>
                <c:pt idx="2">
                  <c:v>44320000000</c:v>
                </c:pt>
                <c:pt idx="3">
                  <c:v>240480867800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9-4142-93A8-FF0FBBA6D6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>
              <a:solidFill>
                <a:schemeClr val="tx1"/>
              </a:solidFill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Apropicacion Definitiva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310947996502592"/>
          <c:y val="0.32875113675695361"/>
          <c:w val="0.3649296738137629"/>
          <c:h val="0.6138042078837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7-4314-A858-448FC88C5E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87-4314-A858-448FC88C5E5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4C52B1-1444-4D4A-874A-9EF38DB9715A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387-4314-A858-448FC88C5E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797B03-9373-41CA-82E8-850AD10D2D8F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387-4314-A858-448FC88C5E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2018'!$AO$5:$AP$5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2018'!$AO$18:$AP$18</c:f>
              <c:numCache>
                <c:formatCode>_(* #,##0.00_);_(* \(#,##0.00\);_(* "-"??_);_(@_)</c:formatCode>
                <c:ptCount val="2"/>
                <c:pt idx="0">
                  <c:v>487473182505.21997</c:v>
                </c:pt>
                <c:pt idx="1">
                  <c:v>3768856772.7800293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7-4314-A858-448FC88C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06775401220466E-2"/>
          <c:y val="0.15479120159642737"/>
          <c:w val="0.89999987784774005"/>
          <c:h val="6.8172305514804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EJECUCION 2017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6989247521053533E-2"/>
          <c:y val="0.23301307320964532"/>
          <c:w val="0.96602150495789296"/>
          <c:h val="0.686277759545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2018'!$AS$5:$AV$5</c:f>
              <c:strCache>
                <c:ptCount val="4"/>
                <c:pt idx="0">
                  <c:v>Apropiación Inicial 2017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2017</c:v>
                </c:pt>
              </c:strCache>
            </c:strRef>
          </c:cat>
          <c:val>
            <c:numRef>
              <c:f>'2012 A 2018'!$AS$18:$AV$18</c:f>
              <c:numCache>
                <c:formatCode>_(* #,##0.00_);_(* \(#,##0.00\);_(* "-"??_);_(@_)</c:formatCode>
                <c:ptCount val="4"/>
                <c:pt idx="0">
                  <c:v>443105000000</c:v>
                </c:pt>
                <c:pt idx="1">
                  <c:v>289168793339.26001</c:v>
                </c:pt>
                <c:pt idx="2">
                  <c:v>98271304668</c:v>
                </c:pt>
                <c:pt idx="3">
                  <c:v>634002488671.26001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E-4474-AC4B-F89F135D2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043648"/>
        <c:axId val="576041152"/>
      </c:barChart>
      <c:catAx>
        <c:axId val="5760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041152"/>
        <c:crosses val="autoZero"/>
        <c:auto val="1"/>
        <c:lblAlgn val="ctr"/>
        <c:lblOffset val="100"/>
        <c:noMultiLvlLbl val="0"/>
      </c:catAx>
      <c:valAx>
        <c:axId val="57604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760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Apropicacion Definitiva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310947996502592"/>
          <c:y val="0.32875113675695361"/>
          <c:w val="0.3649296738137629"/>
          <c:h val="0.6138042078837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9A-4F01-9690-FBA8F71A42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9A-4F01-9690-FBA8F71A42E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4C52B1-1444-4D4A-874A-9EF38DB9715A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09A-4F01-9690-FBA8F71A42E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797B03-9373-41CA-82E8-850AD10D2D8F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09A-4F01-9690-FBA8F71A42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2018'!$AW$5:$AX$5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2018'!$AW$18:$AX$18</c:f>
              <c:numCache>
                <c:formatCode>_(* #,##0.00_);_(* \(#,##0.00\);_(* "-"??_);_(@_)</c:formatCode>
                <c:ptCount val="2"/>
                <c:pt idx="0">
                  <c:v>629142621497.18994</c:v>
                </c:pt>
                <c:pt idx="1">
                  <c:v>4859867174.0700073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9A-4F01-9690-FBA8F71A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06775401220466E-2"/>
          <c:y val="0.15479120159642737"/>
          <c:w val="0.89999989545424608"/>
          <c:h val="6.730509692071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EJECUCION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6989247521053533E-2"/>
          <c:y val="0.23301307320964532"/>
          <c:w val="0.96602150495789296"/>
          <c:h val="0.686277759545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2018'!$BA$5:$BD$5</c:f>
              <c:strCache>
                <c:ptCount val="4"/>
                <c:pt idx="0">
                  <c:v>Apropiación Inicial 2018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2018</c:v>
                </c:pt>
              </c:strCache>
            </c:strRef>
          </c:cat>
          <c:val>
            <c:numRef>
              <c:f>'2012 A 2018'!$BA$18:$BD$18</c:f>
              <c:numCache>
                <c:formatCode>_(* #,##0.00_);_(* \(#,##0.00\);_(* "-"??_);_(@_)</c:formatCode>
                <c:ptCount val="4"/>
                <c:pt idx="0">
                  <c:v>549743000000</c:v>
                </c:pt>
                <c:pt idx="1">
                  <c:v>299717566719</c:v>
                </c:pt>
                <c:pt idx="2">
                  <c:v>19096696476</c:v>
                </c:pt>
                <c:pt idx="3">
                  <c:v>830363870243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7-43AD-9C79-F9F81C0424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043648"/>
        <c:axId val="576041152"/>
      </c:barChart>
      <c:catAx>
        <c:axId val="5760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041152"/>
        <c:crosses val="autoZero"/>
        <c:auto val="1"/>
        <c:lblAlgn val="ctr"/>
        <c:lblOffset val="100"/>
        <c:noMultiLvlLbl val="0"/>
      </c:catAx>
      <c:valAx>
        <c:axId val="57604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5760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Apropicacion Definitiva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1310947996502592"/>
          <c:y val="0.32875113675695361"/>
          <c:w val="0.3649296738137629"/>
          <c:h val="0.6138042078837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F9-415D-AC31-DD393C7CDD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F9-415D-AC31-DD393C7CDD20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4C52B1-1444-4D4A-874A-9EF38DB9715A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6F9-415D-AC31-DD393C7CDD2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797B03-9373-41CA-82E8-850AD10D2D8F}" type="PERCENTAGE">
                      <a:rPr lang="en-US" sz="1200"/>
                      <a:pPr>
                        <a:defRPr sz="1200"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6F9-415D-AC31-DD393C7CD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2018'!$BE$5:$BF$5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2018'!$BE$18:$BF$18</c:f>
              <c:numCache>
                <c:formatCode>_(* #,##0.00_);_(* \(#,##0.00\);_(* "-"??_);_(@_)</c:formatCode>
                <c:ptCount val="2"/>
                <c:pt idx="0">
                  <c:v>817779217812.13013</c:v>
                </c:pt>
                <c:pt idx="1">
                  <c:v>12584652430.869905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F9-415D-AC31-DD393C7C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06775401220466E-2"/>
          <c:y val="0.15479120159642737"/>
          <c:w val="0.89999989545424608"/>
          <c:h val="6.730509692071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EJECUCION</a:t>
            </a:r>
            <a:r>
              <a:rPr lang="es-MX" baseline="0"/>
              <a:t> PRESUPUESTAL 2019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491432237331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A 2023'!$D$5:$G$5</c:f>
              <c:strCache>
                <c:ptCount val="4"/>
                <c:pt idx="0">
                  <c:v>Apropiación Inicial 2019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2019</c:v>
                </c:pt>
              </c:strCache>
            </c:strRef>
          </c:cat>
          <c:val>
            <c:numRef>
              <c:f>'2019 A 2023'!$D$27:$G$27</c:f>
              <c:numCache>
                <c:formatCode>_(* #,##0.00_);_(* \(#,##0.00\);_(* "-"??_);_(@_)</c:formatCode>
                <c:ptCount val="4"/>
                <c:pt idx="0">
                  <c:v>688747241558</c:v>
                </c:pt>
                <c:pt idx="1">
                  <c:v>387262085728</c:v>
                </c:pt>
                <c:pt idx="2">
                  <c:v>100351725035</c:v>
                </c:pt>
                <c:pt idx="3">
                  <c:v>975657602251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4-46C7-A8B5-4586C07842F5}"/>
            </c:ext>
          </c:extLst>
        </c:ser>
        <c:ser>
          <c:idx val="1"/>
          <c:order val="1"/>
          <c:tx>
            <c:strRef>
              <c:f>'2019 A 2023'!$D$27:$G$27</c:f>
              <c:strCache>
                <c:ptCount val="4"/>
                <c:pt idx="0">
                  <c:v> 688.747.241.558,00 </c:v>
                </c:pt>
                <c:pt idx="1">
                  <c:v> 387.262.085.728,00 </c:v>
                </c:pt>
                <c:pt idx="2">
                  <c:v> 100.351.725.035,00 </c:v>
                </c:pt>
                <c:pt idx="3">
                  <c:v> 975.657.602.251,00 </c:v>
                </c:pt>
              </c:strCache>
            </c:strRef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06D4-46C7-A8B5-4586C07842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EJECUCION</a:t>
            </a:r>
            <a:r>
              <a:rPr lang="es-MX" baseline="0"/>
              <a:t> PRESUPUESTAL 2020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491432237331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A 2023'!$K$5:$N$5</c:f>
              <c:strCache>
                <c:ptCount val="4"/>
                <c:pt idx="0">
                  <c:v>Apropiación Inicial 2020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2020</c:v>
                </c:pt>
              </c:strCache>
            </c:strRef>
          </c:cat>
          <c:val>
            <c:numRef>
              <c:f>'2019 A 2023'!$K$27:$N$27</c:f>
              <c:numCache>
                <c:formatCode>_(* #,##0.00_);_(* \(#,##0.00\);_(* "-"??_);_(@_)</c:formatCode>
                <c:ptCount val="4"/>
                <c:pt idx="0">
                  <c:v>939365926632</c:v>
                </c:pt>
                <c:pt idx="1">
                  <c:v>190701697490</c:v>
                </c:pt>
                <c:pt idx="2">
                  <c:v>21253736305</c:v>
                </c:pt>
                <c:pt idx="3">
                  <c:v>1108813887817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CB2-BDEB-2A1D093679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EJECUCION</a:t>
            </a:r>
            <a:r>
              <a:rPr lang="es-MX" baseline="0"/>
              <a:t> PRESUPUESTAL 2021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491432237331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A 2023'!$R$5:$U$5</c:f>
              <c:strCache>
                <c:ptCount val="4"/>
                <c:pt idx="0">
                  <c:v>Apropiación Inicial 2021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2021</c:v>
                </c:pt>
              </c:strCache>
            </c:strRef>
          </c:cat>
          <c:val>
            <c:numRef>
              <c:f>'2019 A 2023'!$R$27:$U$27</c:f>
              <c:numCache>
                <c:formatCode>_(* #,##0.00_);_(* \(#,##0.00\);_(* "-"??_);_(@_)</c:formatCode>
                <c:ptCount val="4"/>
                <c:pt idx="0">
                  <c:v>1000597500000</c:v>
                </c:pt>
                <c:pt idx="1">
                  <c:v>321408427230</c:v>
                </c:pt>
                <c:pt idx="2">
                  <c:v>36093080405</c:v>
                </c:pt>
                <c:pt idx="3">
                  <c:v>1285912846825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0-4552-AFF0-4BF26F96E1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EJECUCION</a:t>
            </a:r>
            <a:r>
              <a:rPr lang="es-MX" baseline="0"/>
              <a:t> PRESUPUESTAL 2022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491432237331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A 2023'!$Z$5:$AC$5</c:f>
              <c:strCache>
                <c:ptCount val="4"/>
                <c:pt idx="0">
                  <c:v>Apropiación Inicial 2022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2022</c:v>
                </c:pt>
              </c:strCache>
            </c:strRef>
          </c:cat>
          <c:val>
            <c:numRef>
              <c:f>'2019 A 2023'!$Z$27:$AC$27</c:f>
              <c:numCache>
                <c:formatCode>_(* #,##0.00_);_(* \(#,##0.00\);_(* "-"??_);_(@_)</c:formatCode>
                <c:ptCount val="4"/>
                <c:pt idx="0">
                  <c:v>1338615611624</c:v>
                </c:pt>
                <c:pt idx="1">
                  <c:v>340426312827</c:v>
                </c:pt>
                <c:pt idx="2">
                  <c:v>33873639851</c:v>
                </c:pt>
                <c:pt idx="3">
                  <c:v>1645168284600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5-420E-A45C-25007F7F20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EJECUCION</a:t>
            </a:r>
            <a:r>
              <a:rPr lang="es-MX" baseline="0"/>
              <a:t> PRESUPUESTAL 2023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491432237331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A 2023'!$AG$5:$AJ$5</c:f>
              <c:strCache>
                <c:ptCount val="4"/>
                <c:pt idx="0">
                  <c:v>Apropiación Inicial 2023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2023</c:v>
                </c:pt>
              </c:strCache>
            </c:strRef>
          </c:cat>
          <c:val>
            <c:numRef>
              <c:f>'2019 A 2023'!$AG$27:$AJ$27</c:f>
              <c:numCache>
                <c:formatCode>_(* #,##0.00_);_(* \(#,##0.00\);_(* "-"??_);_(@_)</c:formatCode>
                <c:ptCount val="4"/>
                <c:pt idx="0">
                  <c:v>1866441868144</c:v>
                </c:pt>
                <c:pt idx="1">
                  <c:v>588160749141</c:v>
                </c:pt>
                <c:pt idx="2">
                  <c:v>248135561568</c:v>
                </c:pt>
                <c:pt idx="3">
                  <c:v>2206467055717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8-4089-BAC9-C8A53FA808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2640"/>
        <c:axId val="79859648"/>
      </c:barChart>
      <c:catAx>
        <c:axId val="10667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79859648"/>
        <c:crosses val="autoZero"/>
        <c:auto val="1"/>
        <c:lblAlgn val="ctr"/>
        <c:lblOffset val="100"/>
        <c:noMultiLvlLbl val="0"/>
      </c:catAx>
      <c:valAx>
        <c:axId val="798596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 A 2018'!$L$4</c:f>
              <c:strCache>
                <c:ptCount val="1"/>
                <c:pt idx="0">
                  <c:v>EJECUCION 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2018'!$M$5:$P$5</c:f>
              <c:strCache>
                <c:ptCount val="4"/>
                <c:pt idx="0">
                  <c:v>Apropiación Inicial 2013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Apropiación Definitiva 2013 </c:v>
                </c:pt>
              </c:strCache>
            </c:strRef>
          </c:cat>
          <c:val>
            <c:numRef>
              <c:f>'2012 A 2018'!$M$18:$P$18</c:f>
              <c:numCache>
                <c:formatCode>_(* #,##0.00_);_(* \(#,##0.00\);_(* "-"??_);_(@_)</c:formatCode>
                <c:ptCount val="4"/>
                <c:pt idx="0">
                  <c:v>245489631489</c:v>
                </c:pt>
                <c:pt idx="1">
                  <c:v>185556464400.47998</c:v>
                </c:pt>
                <c:pt idx="2">
                  <c:v>36738707292.480003</c:v>
                </c:pt>
                <c:pt idx="3">
                  <c:v>394307388597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F-4898-B2A3-645BF8284E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3664"/>
        <c:axId val="139868352"/>
      </c:barChart>
      <c:catAx>
        <c:axId val="106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9868352"/>
        <c:crosses val="autoZero"/>
        <c:auto val="1"/>
        <c:lblAlgn val="ctr"/>
        <c:lblOffset val="100"/>
        <c:noMultiLvlLbl val="0"/>
      </c:catAx>
      <c:valAx>
        <c:axId val="139868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06673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 A 2018'!$T$4</c:f>
              <c:strCache>
                <c:ptCount val="1"/>
                <c:pt idx="0">
                  <c:v>EJECUCION 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2018'!$U$5:$X$5</c:f>
              <c:strCache>
                <c:ptCount val="4"/>
                <c:pt idx="0">
                  <c:v>Apropiación Inicial 2014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2014</c:v>
                </c:pt>
              </c:strCache>
            </c:strRef>
          </c:cat>
          <c:val>
            <c:numRef>
              <c:f>'2012 A 2018'!$U$18:$X$18</c:f>
              <c:numCache>
                <c:formatCode>_(* #,##0.00_);_(* \(#,##0.00\);_(* "-"??_);_(@_)</c:formatCode>
                <c:ptCount val="4"/>
                <c:pt idx="0">
                  <c:v>386375152284</c:v>
                </c:pt>
                <c:pt idx="1">
                  <c:v>163252134875.39999</c:v>
                </c:pt>
                <c:pt idx="2">
                  <c:v>70802876537</c:v>
                </c:pt>
                <c:pt idx="3">
                  <c:v>478824410622.40002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2-4F55-80E7-130009110E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74176"/>
        <c:axId val="106127360"/>
      </c:barChart>
      <c:catAx>
        <c:axId val="106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127360"/>
        <c:crosses val="autoZero"/>
        <c:auto val="1"/>
        <c:lblAlgn val="ctr"/>
        <c:lblOffset val="100"/>
        <c:noMultiLvlLbl val="0"/>
      </c:catAx>
      <c:valAx>
        <c:axId val="1061273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6741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APROPIACION DEFINITIVA 2013</a:t>
            </a:r>
          </a:p>
          <a:p>
            <a:pPr>
              <a:defRPr/>
            </a:pPr>
            <a:r>
              <a:rPr lang="es-CO"/>
              <a:t>394,307,388,597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520801792944014"/>
          <c:y val="0.36672806853347789"/>
          <c:w val="0.29128058523201034"/>
          <c:h val="0.55222987751531061"/>
        </c:manualLayout>
      </c:layout>
      <c:pieChart>
        <c:varyColors val="1"/>
        <c:ser>
          <c:idx val="0"/>
          <c:order val="0"/>
          <c:explosion val="1"/>
          <c:dLbls>
            <c:dLbl>
              <c:idx val="0"/>
              <c:layout>
                <c:manualLayout>
                  <c:x val="-1.5545944080933545E-3"/>
                  <c:y val="-0.134207494896471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E-4D95-91F5-11FAEEF95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2018'!$Q$5:$R$5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2018'!$Q$18:$R$18</c:f>
              <c:numCache>
                <c:formatCode>_(* #,##0.00_);_(* \(#,##0.00\);_(* "-"??_);_(@_)</c:formatCode>
                <c:ptCount val="2"/>
                <c:pt idx="0">
                  <c:v>387894254856.69995</c:v>
                </c:pt>
                <c:pt idx="1">
                  <c:v>6413133740.3000488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E-4D95-91F5-11FAEEF95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Apropiación Definitiva 2012</a:t>
            </a:r>
          </a:p>
          <a:p>
            <a:pPr>
              <a:defRPr/>
            </a:pPr>
            <a:r>
              <a:rPr lang="en-US"/>
              <a:t>240,480,867,800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'2012 A 2018'!$H$5</c:f>
              <c:strCache>
                <c:ptCount val="1"/>
                <c:pt idx="0">
                  <c:v>Apropiación Definitiva 2012</c:v>
                </c:pt>
              </c:strCache>
            </c:strRef>
          </c:tx>
          <c:dLbls>
            <c:dLbl>
              <c:idx val="0"/>
              <c:layout>
                <c:manualLayout>
                  <c:x val="7.3400874314104476E-3"/>
                  <c:y val="-0.179710921551472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300">
                      <a:solidFill>
                        <a:schemeClr val="tx1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0-4EF7-96D5-338455827F14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2018'!$I$5:$J$5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2018'!$I$18:$J$18</c:f>
              <c:numCache>
                <c:formatCode>_(* #,##0.00_);_(* \(#,##0.00\);_(* "-"??_);_(@_)</c:formatCode>
                <c:ptCount val="2"/>
                <c:pt idx="0">
                  <c:v>240389809806.89999</c:v>
                </c:pt>
                <c:pt idx="1">
                  <c:v>91057993.100006104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0-4EF7-96D5-338455827F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>
            <a:defRPr sz="1300">
              <a:solidFill>
                <a:schemeClr val="tx1"/>
              </a:solidFill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'2012 A 2018'!$X$5</c:f>
              <c:strCache>
                <c:ptCount val="1"/>
                <c:pt idx="0">
                  <c:v>Apropiacion Definitiva 2014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2018'!$Y$5:$Z$5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2018'!$Y$18:$Z$18</c:f>
              <c:numCache>
                <c:formatCode>_(* #,##0.00_);_(* \(#,##0.00\);_(* "-"??_);_(@_)</c:formatCode>
                <c:ptCount val="2"/>
                <c:pt idx="0">
                  <c:v>461531960500.81</c:v>
                </c:pt>
                <c:pt idx="1">
                  <c:v>17292450121.590027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E-4B17-8119-066BB9AA1F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893811222940027E-2"/>
          <c:y val="0.32897200349956257"/>
          <c:w val="0.95183361530953192"/>
          <c:h val="0.52169145523476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 A 2018'!$AB$4</c:f>
              <c:strCache>
                <c:ptCount val="1"/>
                <c:pt idx="0">
                  <c:v>EJECUCION 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2018'!$AC$5:$AF$5</c:f>
              <c:strCache>
                <c:ptCount val="4"/>
                <c:pt idx="0">
                  <c:v>Apropiación Inicial 2015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2015</c:v>
                </c:pt>
              </c:strCache>
            </c:strRef>
          </c:cat>
          <c:val>
            <c:numRef>
              <c:f>'2012 A 2018'!$AC$18:$AF$18</c:f>
              <c:numCache>
                <c:formatCode>_(* #,##0.00_);_(* \(#,##0.00\);_(* "-"??_);_(@_)</c:formatCode>
                <c:ptCount val="4"/>
                <c:pt idx="0">
                  <c:v>371251855905</c:v>
                </c:pt>
                <c:pt idx="1">
                  <c:v>178593153897</c:v>
                </c:pt>
                <c:pt idx="2">
                  <c:v>59064099268</c:v>
                </c:pt>
                <c:pt idx="3">
                  <c:v>490780910534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D-4625-A350-7B3EE32CC9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782720"/>
        <c:axId val="106132544"/>
      </c:barChart>
      <c:catAx>
        <c:axId val="10678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106132544"/>
        <c:crosses val="autoZero"/>
        <c:auto val="1"/>
        <c:lblAlgn val="ctr"/>
        <c:lblOffset val="100"/>
        <c:noMultiLvlLbl val="0"/>
      </c:catAx>
      <c:valAx>
        <c:axId val="106132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67827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>
              <a:solidFill>
                <a:schemeClr val="tx1"/>
              </a:solidFill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Apropiacion Definitiva 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'2012 A 2018'!$AB$4</c:f>
              <c:strCache>
                <c:ptCount val="1"/>
                <c:pt idx="0">
                  <c:v>EJECUCION 2015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 A 2018'!$AG$5:$AH$5</c:f>
              <c:strCache>
                <c:ptCount val="2"/>
                <c:pt idx="0">
                  <c:v>EJECUTADO (COMPROMISOS)</c:v>
                </c:pt>
                <c:pt idx="1">
                  <c:v>APROPIACION SIN EJECUTAR AL CIERRE DE VIGENCIA</c:v>
                </c:pt>
              </c:strCache>
            </c:strRef>
          </c:cat>
          <c:val>
            <c:numRef>
              <c:f>'2012 A 2018'!$AG$18:$AH$18</c:f>
              <c:numCache>
                <c:formatCode>_(* #,##0.00_);_(* \(#,##0.00\);_(* "-"??_);_(@_)</c:formatCode>
                <c:ptCount val="2"/>
                <c:pt idx="0">
                  <c:v>465905407056.41003</c:v>
                </c:pt>
                <c:pt idx="1">
                  <c:v>24875503477.589966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5-4472-8D2C-CB8C10A0E8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EJECUCION 2016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6989247521053533E-2"/>
          <c:y val="0.23301307320964532"/>
          <c:w val="0.96602150495789296"/>
          <c:h val="0.686277759545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 A 2018'!$AK$5:$AN$5</c:f>
              <c:strCache>
                <c:ptCount val="4"/>
                <c:pt idx="0">
                  <c:v>Apropiación Inicial 2016</c:v>
                </c:pt>
                <c:pt idx="1">
                  <c:v>Apropiación Adicionada</c:v>
                </c:pt>
                <c:pt idx="2">
                  <c:v>Apropicion Reducida</c:v>
                </c:pt>
                <c:pt idx="3">
                  <c:v>Apropiacion Definitiva 2016</c:v>
                </c:pt>
              </c:strCache>
            </c:strRef>
          </c:cat>
          <c:val>
            <c:numRef>
              <c:f>'2012 A 2018'!$AK$18:$AN$18</c:f>
              <c:numCache>
                <c:formatCode>_(* #,##0.00_);_(* \(#,##0.00\);_(* "-"??_);_(@_)</c:formatCode>
                <c:ptCount val="4"/>
                <c:pt idx="0">
                  <c:v>477189531194</c:v>
                </c:pt>
                <c:pt idx="1">
                  <c:v>24052631854.380001</c:v>
                </c:pt>
                <c:pt idx="2">
                  <c:v>10000123770.380001</c:v>
                </c:pt>
                <c:pt idx="3">
                  <c:v>491242039278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1-48FF-AF68-3E5E860D33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043648"/>
        <c:axId val="576041152"/>
      </c:barChart>
      <c:catAx>
        <c:axId val="5760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041152"/>
        <c:crosses val="autoZero"/>
        <c:auto val="1"/>
        <c:lblAlgn val="ctr"/>
        <c:lblOffset val="100"/>
        <c:noMultiLvlLbl val="0"/>
      </c:catAx>
      <c:valAx>
        <c:axId val="57604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760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966081</xdr:colOff>
      <xdr:row>0</xdr:row>
      <xdr:rowOff>87945</xdr:rowOff>
    </xdr:from>
    <xdr:ext cx="13659014" cy="806952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56239" y="87945"/>
          <a:ext cx="13659014" cy="8069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COMPARATIVO DE APROPIACIONES 2012-2019</a:t>
          </a:r>
        </a:p>
      </xdr:txBody>
    </xdr:sp>
    <xdr:clientData/>
  </xdr:oneCellAnchor>
  <xdr:twoCellAnchor>
    <xdr:from>
      <xdr:col>5</xdr:col>
      <xdr:colOff>391846</xdr:colOff>
      <xdr:row>20</xdr:row>
      <xdr:rowOff>72341</xdr:rowOff>
    </xdr:from>
    <xdr:to>
      <xdr:col>9</xdr:col>
      <xdr:colOff>590790</xdr:colOff>
      <xdr:row>41</xdr:row>
      <xdr:rowOff>24114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1185800</xdr:colOff>
      <xdr:row>20</xdr:row>
      <xdr:rowOff>94947</xdr:rowOff>
    </xdr:from>
    <xdr:to>
      <xdr:col>16</xdr:col>
      <xdr:colOff>928628</xdr:colOff>
      <xdr:row>41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1410665</xdr:colOff>
      <xdr:row>20</xdr:row>
      <xdr:rowOff>132626</xdr:rowOff>
    </xdr:from>
    <xdr:to>
      <xdr:col>25</xdr:col>
      <xdr:colOff>482278</xdr:colOff>
      <xdr:row>40</xdr:row>
      <xdr:rowOff>108512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229082</xdr:colOff>
      <xdr:row>43</xdr:row>
      <xdr:rowOff>171027</xdr:rowOff>
    </xdr:from>
    <xdr:to>
      <xdr:col>16</xdr:col>
      <xdr:colOff>470221</xdr:colOff>
      <xdr:row>63</xdr:row>
      <xdr:rowOff>60285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1615633</xdr:colOff>
      <xdr:row>44</xdr:row>
      <xdr:rowOff>65729</xdr:rowOff>
    </xdr:from>
    <xdr:to>
      <xdr:col>8</xdr:col>
      <xdr:colOff>1989399</xdr:colOff>
      <xdr:row>64</xdr:row>
      <xdr:rowOff>24114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390644</xdr:colOff>
      <xdr:row>42</xdr:row>
      <xdr:rowOff>69204</xdr:rowOff>
    </xdr:from>
    <xdr:to>
      <xdr:col>24</xdr:col>
      <xdr:colOff>1241864</xdr:colOff>
      <xdr:row>60</xdr:row>
      <xdr:rowOff>144682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928385</xdr:colOff>
      <xdr:row>21</xdr:row>
      <xdr:rowOff>12057</xdr:rowOff>
    </xdr:from>
    <xdr:to>
      <xdr:col>34</xdr:col>
      <xdr:colOff>354678</xdr:colOff>
      <xdr:row>40</xdr:row>
      <xdr:rowOff>72342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940442</xdr:colOff>
      <xdr:row>41</xdr:row>
      <xdr:rowOff>144683</xdr:rowOff>
    </xdr:from>
    <xdr:to>
      <xdr:col>33</xdr:col>
      <xdr:colOff>1224985</xdr:colOff>
      <xdr:row>60</xdr:row>
      <xdr:rowOff>27250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892216</xdr:colOff>
      <xdr:row>20</xdr:row>
      <xdr:rowOff>132627</xdr:rowOff>
    </xdr:from>
    <xdr:to>
      <xdr:col>42</xdr:col>
      <xdr:colOff>265253</xdr:colOff>
      <xdr:row>40</xdr:row>
      <xdr:rowOff>120570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301424</xdr:colOff>
      <xdr:row>41</xdr:row>
      <xdr:rowOff>180854</xdr:rowOff>
    </xdr:from>
    <xdr:to>
      <xdr:col>41</xdr:col>
      <xdr:colOff>783702</xdr:colOff>
      <xdr:row>59</xdr:row>
      <xdr:rowOff>120568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45</xdr:col>
      <xdr:colOff>0</xdr:colOff>
      <xdr:row>20</xdr:row>
      <xdr:rowOff>0</xdr:rowOff>
    </xdr:from>
    <xdr:to>
      <xdr:col>50</xdr:col>
      <xdr:colOff>651075</xdr:colOff>
      <xdr:row>39</xdr:row>
      <xdr:rowOff>180855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1121298</xdr:colOff>
      <xdr:row>41</xdr:row>
      <xdr:rowOff>36172</xdr:rowOff>
    </xdr:from>
    <xdr:to>
      <xdr:col>50</xdr:col>
      <xdr:colOff>313481</xdr:colOff>
      <xdr:row>58</xdr:row>
      <xdr:rowOff>168797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52</xdr:col>
      <xdr:colOff>1157468</xdr:colOff>
      <xdr:row>20</xdr:row>
      <xdr:rowOff>24114</xdr:rowOff>
    </xdr:from>
    <xdr:to>
      <xdr:col>58</xdr:col>
      <xdr:colOff>144683</xdr:colOff>
      <xdr:row>40</xdr:row>
      <xdr:rowOff>12057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578734</xdr:colOff>
      <xdr:row>41</xdr:row>
      <xdr:rowOff>144684</xdr:rowOff>
    </xdr:from>
    <xdr:to>
      <xdr:col>57</xdr:col>
      <xdr:colOff>964557</xdr:colOff>
      <xdr:row>59</xdr:row>
      <xdr:rowOff>84398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0.42436</cdr:x>
      <cdr:y>0.69035</cdr:y>
    </cdr:from>
    <cdr:to>
      <cdr:x>0.64815</cdr:x>
      <cdr:y>0.75633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07120" y="2587069"/>
          <a:ext cx="1744026" cy="247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200"/>
            <a:t>387,894,254,856,70</a:t>
          </a:r>
        </a:p>
      </cdr:txBody>
    </cdr:sp>
  </cdr:relSizeAnchor>
  <cdr:relSizeAnchor xmlns:cdr="http://schemas.openxmlformats.org/drawingml/2006/chartDrawing">
    <cdr:from>
      <cdr:x>0.54207</cdr:x>
      <cdr:y>0.31404</cdr:y>
    </cdr:from>
    <cdr:to>
      <cdr:x>0.72986</cdr:x>
      <cdr:y>0.37771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469671" y="1033463"/>
          <a:ext cx="1202028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6,413,133740,30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0.4168</cdr:x>
      <cdr:y>0.6441</cdr:y>
    </cdr:from>
    <cdr:to>
      <cdr:x>0.6112</cdr:x>
      <cdr:y>0.71701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09826" y="1766888"/>
          <a:ext cx="1123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240,389,809,806,90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513583</xdr:colOff>
      <xdr:row>0</xdr:row>
      <xdr:rowOff>63831</xdr:rowOff>
    </xdr:from>
    <xdr:ext cx="13659014" cy="806952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73172" y="63831"/>
          <a:ext cx="13659014" cy="8069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COMPARATIVO DE APROPIACIONES 2012-2023</a:t>
          </a:r>
        </a:p>
      </xdr:txBody>
    </xdr:sp>
    <xdr:clientData/>
  </xdr:oneCellAnchor>
  <xdr:twoCellAnchor>
    <xdr:from>
      <xdr:col>3</xdr:col>
      <xdr:colOff>651076</xdr:colOff>
      <xdr:row>30</xdr:row>
      <xdr:rowOff>12057</xdr:rowOff>
    </xdr:from>
    <xdr:to>
      <xdr:col>8</xdr:col>
      <xdr:colOff>910304</xdr:colOff>
      <xdr:row>50</xdr:row>
      <xdr:rowOff>156741</xdr:rowOff>
    </xdr:to>
    <xdr:graphicFrame macro="">
      <xdr:nvGraphicFramePr>
        <xdr:cNvPr id="20" name="3 Gráfic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651076</xdr:colOff>
      <xdr:row>30</xdr:row>
      <xdr:rowOff>12057</xdr:rowOff>
    </xdr:from>
    <xdr:to>
      <xdr:col>15</xdr:col>
      <xdr:colOff>910304</xdr:colOff>
      <xdr:row>50</xdr:row>
      <xdr:rowOff>156741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1F2E998-0C39-4AF7-915F-072D5BA1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614905</xdr:colOff>
      <xdr:row>29</xdr:row>
      <xdr:rowOff>180855</xdr:rowOff>
    </xdr:from>
    <xdr:to>
      <xdr:col>22</xdr:col>
      <xdr:colOff>874134</xdr:colOff>
      <xdr:row>50</xdr:row>
      <xdr:rowOff>132627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C19A7DFC-4D0B-46D1-9995-CCE7E6609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831930</xdr:colOff>
      <xdr:row>29</xdr:row>
      <xdr:rowOff>72343</xdr:rowOff>
    </xdr:from>
    <xdr:to>
      <xdr:col>30</xdr:col>
      <xdr:colOff>1054988</xdr:colOff>
      <xdr:row>50</xdr:row>
      <xdr:rowOff>24115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3BA013B2-CC5E-4EF0-8F86-71C44E59F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868101</xdr:colOff>
      <xdr:row>29</xdr:row>
      <xdr:rowOff>12057</xdr:rowOff>
    </xdr:from>
    <xdr:to>
      <xdr:col>37</xdr:col>
      <xdr:colOff>970589</xdr:colOff>
      <xdr:row>49</xdr:row>
      <xdr:rowOff>156741</xdr:rowOff>
    </xdr:to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03323194-B362-41FB-B09F-70F39F561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INFORMES\EJECUCION%20PRESUPUESTAL\ARCHIVOS%20DIARIOS\2015\DICIEMBRE\E.P.%20A%2031%20DE%20DICIEMBRE%20DE%202015%20-%2026-01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6\DICIEMBRE\E.P.%20A%2031%20DE%20DICIEMBRE%20DE%202016-31-01-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7\DICIEMBRE\E.P.%20A%2031%20DE%20DICIEMBRE%20DE%202017-22-ENE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8\DICIEMBRE\E.P.%20A%2031%20DE%20DICIEMBRE%20DE%202018-01-FEBRERO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x.penata\AppData\Local\Microsoft\Windows\Temporary%20Internet%20Files\Content.Outlook\11ESKU1O\DIC%2031%20(DEFINITIVA)%20ENE%202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31 DE DICIEMBRE"/>
      <sheetName val="Hoja2"/>
    </sheetNames>
    <sheetDataSet>
      <sheetData sheetId="0" refreshError="1"/>
      <sheetData sheetId="1" refreshError="1">
        <row r="5">
          <cell r="P5">
            <v>16587006324</v>
          </cell>
          <cell r="Q5">
            <v>0</v>
          </cell>
          <cell r="R5">
            <v>3439672800</v>
          </cell>
          <cell r="W5">
            <v>12708743678.370001</v>
          </cell>
        </row>
        <row r="6">
          <cell r="P6">
            <v>383102802</v>
          </cell>
          <cell r="Q6">
            <v>0</v>
          </cell>
          <cell r="R6">
            <v>0</v>
          </cell>
          <cell r="W6">
            <v>257590369.27000001</v>
          </cell>
        </row>
        <row r="7">
          <cell r="P7">
            <v>5840296389</v>
          </cell>
          <cell r="Q7">
            <v>2851672800</v>
          </cell>
          <cell r="R7">
            <v>19057758</v>
          </cell>
          <cell r="W7">
            <v>7627661541.3299999</v>
          </cell>
        </row>
        <row r="8">
          <cell r="P8">
            <v>232215099</v>
          </cell>
          <cell r="Q8">
            <v>0</v>
          </cell>
          <cell r="R8">
            <v>0</v>
          </cell>
          <cell r="W8">
            <v>111581994</v>
          </cell>
        </row>
        <row r="9">
          <cell r="P9">
            <v>0</v>
          </cell>
          <cell r="Q9">
            <v>19057758</v>
          </cell>
          <cell r="R9">
            <v>0</v>
          </cell>
          <cell r="W9">
            <v>19057758</v>
          </cell>
        </row>
        <row r="10">
          <cell r="P10">
            <v>3671950000</v>
          </cell>
          <cell r="Q10">
            <v>588000000</v>
          </cell>
          <cell r="R10">
            <v>0</v>
          </cell>
          <cell r="W10">
            <v>4259694637</v>
          </cell>
        </row>
        <row r="11">
          <cell r="P11">
            <v>8008483122</v>
          </cell>
          <cell r="Q11">
            <v>0</v>
          </cell>
          <cell r="R11">
            <v>0</v>
          </cell>
          <cell r="W11">
            <v>7160413944</v>
          </cell>
        </row>
        <row r="12">
          <cell r="P12">
            <v>98204488</v>
          </cell>
          <cell r="Q12">
            <v>0</v>
          </cell>
          <cell r="R12">
            <v>0</v>
          </cell>
          <cell r="W12">
            <v>39122116</v>
          </cell>
        </row>
        <row r="13">
          <cell r="P13">
            <v>328777480878</v>
          </cell>
          <cell r="Q13">
            <v>52591690482</v>
          </cell>
          <cell r="R13">
            <v>6839114</v>
          </cell>
          <cell r="W13">
            <v>364427836368.78003</v>
          </cell>
        </row>
        <row r="14">
          <cell r="P14">
            <v>1161640000</v>
          </cell>
          <cell r="Q14">
            <v>0</v>
          </cell>
          <cell r="R14">
            <v>0</v>
          </cell>
          <cell r="W14">
            <v>1016940855</v>
          </cell>
        </row>
        <row r="15">
          <cell r="P15">
            <v>0</v>
          </cell>
          <cell r="Q15">
            <v>6839114</v>
          </cell>
          <cell r="R15">
            <v>6839114</v>
          </cell>
          <cell r="W15">
            <v>0</v>
          </cell>
        </row>
        <row r="16">
          <cell r="P16">
            <v>0</v>
          </cell>
          <cell r="Q16">
            <v>6839114</v>
          </cell>
          <cell r="R16">
            <v>0</v>
          </cell>
          <cell r="W16">
            <v>6839114</v>
          </cell>
        </row>
        <row r="17">
          <cell r="P17">
            <v>463500000</v>
          </cell>
          <cell r="Q17">
            <v>0</v>
          </cell>
          <cell r="R17">
            <v>0</v>
          </cell>
          <cell r="W17">
            <v>463500000</v>
          </cell>
        </row>
        <row r="18">
          <cell r="P18">
            <v>0</v>
          </cell>
          <cell r="Q18">
            <v>17591690482</v>
          </cell>
          <cell r="R18">
            <v>17591690482</v>
          </cell>
          <cell r="W18">
            <v>0</v>
          </cell>
        </row>
        <row r="19">
          <cell r="P19">
            <v>3027976803</v>
          </cell>
          <cell r="Q19">
            <v>0</v>
          </cell>
          <cell r="R19">
            <v>0</v>
          </cell>
          <cell r="W19">
            <v>2694029797</v>
          </cell>
        </row>
        <row r="20">
          <cell r="P20">
            <v>0</v>
          </cell>
          <cell r="Q20">
            <v>35000000000</v>
          </cell>
          <cell r="R20">
            <v>35000000000</v>
          </cell>
          <cell r="W20">
            <v>0</v>
          </cell>
        </row>
        <row r="21">
          <cell r="P21">
            <v>0</v>
          </cell>
          <cell r="Q21">
            <v>66937364147</v>
          </cell>
          <cell r="R21">
            <v>0</v>
          </cell>
          <cell r="W21">
            <v>62113171485.660004</v>
          </cell>
        </row>
        <row r="22">
          <cell r="P22">
            <v>3000000000</v>
          </cell>
          <cell r="Q22">
            <v>0</v>
          </cell>
          <cell r="R22">
            <v>3000000000</v>
          </cell>
          <cell r="W22">
            <v>0</v>
          </cell>
        </row>
        <row r="23">
          <cell r="P23">
            <v>0</v>
          </cell>
          <cell r="Q23">
            <v>3000000000</v>
          </cell>
          <cell r="R23">
            <v>0</v>
          </cell>
          <cell r="W23">
            <v>2999223398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31 DE DICIEMBRE"/>
      <sheetName val="Hoja2"/>
      <sheetName val="#¡REF"/>
    </sheetNames>
    <sheetDataSet>
      <sheetData sheetId="0"/>
      <sheetData sheetId="1">
        <row r="5">
          <cell r="P5">
            <v>13208951849</v>
          </cell>
          <cell r="Q5">
            <v>1134745455.02</v>
          </cell>
          <cell r="R5">
            <v>0</v>
          </cell>
          <cell r="W5">
            <v>14323978921.02</v>
          </cell>
        </row>
        <row r="6">
          <cell r="P6">
            <v>400955406</v>
          </cell>
          <cell r="Q6">
            <v>0</v>
          </cell>
          <cell r="R6">
            <v>7330494.3799999999</v>
          </cell>
          <cell r="W6">
            <v>376622070</v>
          </cell>
        </row>
        <row r="7">
          <cell r="P7">
            <v>8258417348</v>
          </cell>
          <cell r="Q7">
            <v>253059045.19999999</v>
          </cell>
          <cell r="R7">
            <v>0</v>
          </cell>
          <cell r="W7">
            <v>8233210328.5200005</v>
          </cell>
        </row>
        <row r="8">
          <cell r="P8">
            <v>1986658517</v>
          </cell>
          <cell r="Q8">
            <v>0</v>
          </cell>
          <cell r="R8">
            <v>1844293118</v>
          </cell>
          <cell r="W8">
            <v>76905990</v>
          </cell>
        </row>
        <row r="9">
          <cell r="P9">
            <v>3836968384</v>
          </cell>
          <cell r="Q9">
            <v>0</v>
          </cell>
          <cell r="R9">
            <v>0</v>
          </cell>
          <cell r="W9">
            <v>3819345021</v>
          </cell>
        </row>
        <row r="10">
          <cell r="P10">
            <v>7624370506</v>
          </cell>
          <cell r="Q10">
            <v>463819112.16000003</v>
          </cell>
          <cell r="R10">
            <v>0</v>
          </cell>
          <cell r="W10">
            <v>7933112908</v>
          </cell>
        </row>
        <row r="11">
          <cell r="P11">
            <v>156354000</v>
          </cell>
          <cell r="Q11">
            <v>0</v>
          </cell>
          <cell r="R11">
            <v>0</v>
          </cell>
          <cell r="W11">
            <v>126492408.11</v>
          </cell>
        </row>
        <row r="12">
          <cell r="P12">
            <v>374447772422</v>
          </cell>
          <cell r="Q12">
            <v>0</v>
          </cell>
          <cell r="R12">
            <v>93555374</v>
          </cell>
          <cell r="W12">
            <v>374144165902.41998</v>
          </cell>
        </row>
        <row r="13">
          <cell r="P13">
            <v>0</v>
          </cell>
          <cell r="Q13">
            <v>93555374</v>
          </cell>
          <cell r="R13">
            <v>93555374</v>
          </cell>
          <cell r="W13">
            <v>0</v>
          </cell>
        </row>
        <row r="14">
          <cell r="P14">
            <v>0</v>
          </cell>
          <cell r="Q14">
            <v>93555374</v>
          </cell>
          <cell r="R14">
            <v>0</v>
          </cell>
          <cell r="W14">
            <v>93555374</v>
          </cell>
        </row>
        <row r="15">
          <cell r="P15">
            <v>589143314</v>
          </cell>
          <cell r="Q15">
            <v>0</v>
          </cell>
          <cell r="R15">
            <v>0</v>
          </cell>
          <cell r="W15">
            <v>589143314</v>
          </cell>
        </row>
        <row r="16">
          <cell r="P16">
            <v>500000000</v>
          </cell>
          <cell r="Q16">
            <v>6637741597</v>
          </cell>
          <cell r="R16">
            <v>0</v>
          </cell>
          <cell r="W16">
            <v>6989573423</v>
          </cell>
        </row>
        <row r="17">
          <cell r="P17">
            <v>0</v>
          </cell>
          <cell r="Q17">
            <v>6637741597</v>
          </cell>
          <cell r="R17">
            <v>6637741597</v>
          </cell>
          <cell r="W17">
            <v>0</v>
          </cell>
        </row>
        <row r="18">
          <cell r="P18">
            <v>63179939448</v>
          </cell>
          <cell r="Q18">
            <v>8738414300</v>
          </cell>
          <cell r="R18">
            <v>631799394</v>
          </cell>
          <cell r="W18">
            <v>68458925264.150002</v>
          </cell>
        </row>
        <row r="19">
          <cell r="P19">
            <v>1617048951</v>
          </cell>
          <cell r="Q19">
            <v>0</v>
          </cell>
          <cell r="R19">
            <v>691848419</v>
          </cell>
          <cell r="W19">
            <v>925200532</v>
          </cell>
        </row>
        <row r="20">
          <cell r="P20">
            <v>1382951049</v>
          </cell>
          <cell r="Q20">
            <v>0</v>
          </cell>
          <cell r="R20">
            <v>0</v>
          </cell>
          <cell r="W20">
            <v>1382951049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31 DE DICIEMBRE"/>
      <sheetName val="Hoja2"/>
    </sheetNames>
    <sheetDataSet>
      <sheetData sheetId="0"/>
      <sheetData sheetId="1">
        <row r="5">
          <cell r="P5">
            <v>13980000000</v>
          </cell>
          <cell r="Q5">
            <v>7116730853</v>
          </cell>
          <cell r="R5">
            <v>0</v>
          </cell>
          <cell r="W5">
            <v>19905799771.130001</v>
          </cell>
        </row>
        <row r="6">
          <cell r="P6">
            <v>352000000</v>
          </cell>
          <cell r="Q6">
            <v>95798388</v>
          </cell>
          <cell r="R6">
            <v>0</v>
          </cell>
          <cell r="W6">
            <v>439158559</v>
          </cell>
        </row>
        <row r="7">
          <cell r="P7">
            <v>8739000000</v>
          </cell>
          <cell r="Q7">
            <v>1065704601</v>
          </cell>
          <cell r="R7">
            <v>526992978</v>
          </cell>
          <cell r="W7">
            <v>9082660815.2199993</v>
          </cell>
        </row>
        <row r="8">
          <cell r="P8">
            <v>2116000000</v>
          </cell>
          <cell r="Q8">
            <v>616935920</v>
          </cell>
          <cell r="R8">
            <v>2642408794</v>
          </cell>
          <cell r="W8">
            <v>80438252.579999998</v>
          </cell>
        </row>
        <row r="9">
          <cell r="P9">
            <v>7443000000</v>
          </cell>
          <cell r="Q9">
            <v>3399232010</v>
          </cell>
          <cell r="R9">
            <v>0</v>
          </cell>
          <cell r="W9">
            <v>10585283787</v>
          </cell>
        </row>
        <row r="10">
          <cell r="P10">
            <v>156000000</v>
          </cell>
          <cell r="Q10">
            <v>0</v>
          </cell>
          <cell r="R10">
            <v>0</v>
          </cell>
          <cell r="W10">
            <v>75238535.719999999</v>
          </cell>
        </row>
        <row r="11">
          <cell r="P11">
            <v>338539000000</v>
          </cell>
          <cell r="Q11">
            <v>20875000000</v>
          </cell>
          <cell r="R11">
            <v>0</v>
          </cell>
          <cell r="W11">
            <v>358576729781.89001</v>
          </cell>
        </row>
        <row r="12">
          <cell r="Q12">
            <v>120000000000</v>
          </cell>
          <cell r="R12">
            <v>50951448</v>
          </cell>
          <cell r="W12">
            <v>117785860643.52</v>
          </cell>
        </row>
        <row r="13">
          <cell r="P13">
            <v>0</v>
          </cell>
          <cell r="Q13">
            <v>50951448</v>
          </cell>
          <cell r="R13">
            <v>50951448</v>
          </cell>
        </row>
        <row r="14">
          <cell r="P14">
            <v>589000000</v>
          </cell>
          <cell r="Q14">
            <v>50951448</v>
          </cell>
          <cell r="W14">
            <v>639951448</v>
          </cell>
        </row>
        <row r="15">
          <cell r="P15">
            <v>3832000000</v>
          </cell>
          <cell r="Q15">
            <v>15000000000</v>
          </cell>
          <cell r="R15">
            <v>0</v>
          </cell>
          <cell r="W15">
            <v>18831883577.43</v>
          </cell>
        </row>
        <row r="16">
          <cell r="P16">
            <v>0</v>
          </cell>
          <cell r="Q16">
            <v>45000000000</v>
          </cell>
          <cell r="R16">
            <v>45000000000</v>
          </cell>
          <cell r="W16">
            <v>0</v>
          </cell>
        </row>
        <row r="17">
          <cell r="Q17">
            <v>50000000000</v>
          </cell>
          <cell r="R17">
            <v>50000000000</v>
          </cell>
          <cell r="W17">
            <v>0</v>
          </cell>
        </row>
        <row r="18">
          <cell r="P18">
            <v>65050000000</v>
          </cell>
          <cell r="Q18">
            <v>25897488671.259998</v>
          </cell>
          <cell r="R18">
            <v>0</v>
          </cell>
          <cell r="W18">
            <v>90830616325.699997</v>
          </cell>
        </row>
        <row r="19">
          <cell r="P19">
            <v>1809000000</v>
          </cell>
          <cell r="Q19">
            <v>0</v>
          </cell>
          <cell r="R19">
            <v>0</v>
          </cell>
          <cell r="W19">
            <v>1809000000</v>
          </cell>
        </row>
        <row r="20">
          <cell r="P20">
            <v>500000000</v>
          </cell>
          <cell r="Q20">
            <v>0</v>
          </cell>
          <cell r="R20">
            <v>0</v>
          </cell>
          <cell r="W20">
            <v>500000000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DICIEMBRE"/>
      <sheetName val="Hoja2"/>
    </sheetNames>
    <sheetDataSet>
      <sheetData sheetId="0" refreshError="1"/>
      <sheetData sheetId="1">
        <row r="5">
          <cell r="Q5">
            <v>16635000000</v>
          </cell>
          <cell r="R5">
            <v>42407000000</v>
          </cell>
          <cell r="S5">
            <v>10253987251</v>
          </cell>
          <cell r="X5">
            <v>42802192208.449997</v>
          </cell>
        </row>
        <row r="6">
          <cell r="Q6">
            <v>461000000</v>
          </cell>
          <cell r="R6">
            <v>314000000</v>
          </cell>
          <cell r="S6">
            <v>301881112</v>
          </cell>
          <cell r="X6">
            <v>418581517</v>
          </cell>
        </row>
        <row r="7">
          <cell r="Q7">
            <v>10101000000</v>
          </cell>
          <cell r="R7">
            <v>11823000000</v>
          </cell>
          <cell r="S7">
            <v>4861113907</v>
          </cell>
          <cell r="X7">
            <v>13143170592.24</v>
          </cell>
        </row>
        <row r="8">
          <cell r="Q8">
            <v>2179000000</v>
          </cell>
          <cell r="R8">
            <v>0</v>
          </cell>
          <cell r="S8">
            <v>1171653530</v>
          </cell>
          <cell r="X8">
            <v>276783279</v>
          </cell>
        </row>
        <row r="9">
          <cell r="Q9">
            <v>9554000000</v>
          </cell>
          <cell r="R9">
            <v>13834000000</v>
          </cell>
          <cell r="S9">
            <v>911364200</v>
          </cell>
          <cell r="X9">
            <v>21469081510</v>
          </cell>
        </row>
        <row r="10">
          <cell r="Q10">
            <v>161000000</v>
          </cell>
          <cell r="R10">
            <v>0</v>
          </cell>
          <cell r="S10">
            <v>68609404</v>
          </cell>
          <cell r="X10">
            <v>80231422.680000007</v>
          </cell>
        </row>
        <row r="11">
          <cell r="Q11">
            <v>429414000000</v>
          </cell>
          <cell r="R11">
            <v>212998000000</v>
          </cell>
          <cell r="S11">
            <v>338043536</v>
          </cell>
          <cell r="X11">
            <v>641364044020.04004</v>
          </cell>
        </row>
        <row r="12">
          <cell r="Q12">
            <v>0</v>
          </cell>
          <cell r="R12">
            <v>338043536</v>
          </cell>
          <cell r="S12">
            <v>338043536</v>
          </cell>
        </row>
        <row r="13">
          <cell r="Q13">
            <v>0</v>
          </cell>
          <cell r="R13">
            <v>338043536</v>
          </cell>
          <cell r="S13">
            <v>0</v>
          </cell>
          <cell r="X13">
            <v>338043535.72000003</v>
          </cell>
        </row>
        <row r="14">
          <cell r="Q14">
            <v>607000000</v>
          </cell>
          <cell r="R14">
            <v>0</v>
          </cell>
          <cell r="S14">
            <v>0</v>
          </cell>
          <cell r="X14">
            <v>607000000</v>
          </cell>
        </row>
        <row r="15">
          <cell r="Q15">
            <v>10328000000</v>
          </cell>
          <cell r="R15">
            <v>0</v>
          </cell>
          <cell r="S15">
            <v>0</v>
          </cell>
          <cell r="X15">
            <v>10327764669</v>
          </cell>
        </row>
        <row r="16">
          <cell r="Q16">
            <v>68303000000</v>
          </cell>
          <cell r="R16">
            <v>17665479647</v>
          </cell>
          <cell r="S16">
            <v>0</v>
          </cell>
          <cell r="X16">
            <v>85804325058</v>
          </cell>
        </row>
        <row r="17">
          <cell r="Q17">
            <v>968000000</v>
          </cell>
          <cell r="R17">
            <v>0</v>
          </cell>
          <cell r="S17">
            <v>0</v>
          </cell>
          <cell r="X17">
            <v>968000000</v>
          </cell>
        </row>
        <row r="18">
          <cell r="Q18">
            <v>1032000000</v>
          </cell>
          <cell r="R18">
            <v>0</v>
          </cell>
          <cell r="S18">
            <v>852000000</v>
          </cell>
          <cell r="X18">
            <v>180000000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67">
          <cell r="AP67">
            <v>320736794389</v>
          </cell>
        </row>
        <row r="160">
          <cell r="AP160">
            <v>3155000000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BG42"/>
  <sheetViews>
    <sheetView showGridLines="0" topLeftCell="A16" zoomScale="79" zoomScaleNormal="79" zoomScaleSheetLayoutView="62" workbookViewId="0">
      <selection activeCell="C21" sqref="C21"/>
    </sheetView>
  </sheetViews>
  <sheetFormatPr baseColWidth="10" defaultRowHeight="15" x14ac:dyDescent="0.25"/>
  <cols>
    <col min="3" max="3" width="36.42578125" customWidth="1"/>
    <col min="4" max="4" width="11.140625" bestFit="1" customWidth="1"/>
    <col min="5" max="6" width="24.42578125" bestFit="1" customWidth="1"/>
    <col min="7" max="7" width="21.42578125" bestFit="1" customWidth="1"/>
    <col min="8" max="8" width="27.5703125" bestFit="1" customWidth="1"/>
    <col min="9" max="9" width="30.85546875" bestFit="1" customWidth="1"/>
    <col min="10" max="10" width="33.5703125" bestFit="1" customWidth="1"/>
    <col min="11" max="11" width="27.140625" bestFit="1" customWidth="1"/>
    <col min="12" max="12" width="9.140625" bestFit="1" customWidth="1"/>
    <col min="13" max="14" width="24.42578125" bestFit="1" customWidth="1"/>
    <col min="15" max="15" width="21.42578125" bestFit="1" customWidth="1"/>
    <col min="16" max="16" width="27.5703125" bestFit="1" customWidth="1"/>
    <col min="17" max="17" width="30.85546875" bestFit="1" customWidth="1"/>
    <col min="18" max="18" width="33.5703125" bestFit="1" customWidth="1"/>
    <col min="19" max="19" width="15.5703125" bestFit="1" customWidth="1"/>
    <col min="20" max="20" width="9.140625" style="4" bestFit="1" customWidth="1"/>
    <col min="21" max="21" width="24.42578125" bestFit="1" customWidth="1"/>
    <col min="22" max="22" width="24.42578125" style="4" bestFit="1" customWidth="1"/>
    <col min="23" max="23" width="21.42578125" style="4" bestFit="1" customWidth="1"/>
    <col min="24" max="24" width="22.5703125" style="4" bestFit="1" customWidth="1"/>
    <col min="25" max="25" width="19.85546875" style="4" bestFit="1" customWidth="1"/>
    <col min="26" max="26" width="26.42578125" style="4" bestFit="1" customWidth="1"/>
    <col min="27" max="27" width="27.140625" style="4" bestFit="1" customWidth="1"/>
    <col min="28" max="28" width="9.140625" bestFit="1" customWidth="1"/>
    <col min="29" max="30" width="24.42578125" bestFit="1" customWidth="1"/>
    <col min="31" max="31" width="21.42578125" bestFit="1" customWidth="1"/>
    <col min="32" max="32" width="22.5703125" bestFit="1" customWidth="1"/>
    <col min="33" max="33" width="19.85546875" bestFit="1" customWidth="1"/>
    <col min="34" max="34" width="26.42578125" bestFit="1" customWidth="1"/>
    <col min="35" max="35" width="15.5703125" bestFit="1" customWidth="1"/>
    <col min="37" max="38" width="19.85546875" bestFit="1" customWidth="1"/>
    <col min="39" max="39" width="19.140625" bestFit="1" customWidth="1"/>
    <col min="40" max="41" width="19.85546875" bestFit="1" customWidth="1"/>
    <col min="42" max="42" width="18.7109375" bestFit="1" customWidth="1"/>
    <col min="44" max="44" width="9.140625" bestFit="1" customWidth="1"/>
    <col min="45" max="45" width="19.85546875" bestFit="1" customWidth="1"/>
    <col min="46" max="46" width="20.28515625" bestFit="1" customWidth="1"/>
    <col min="47" max="47" width="18.7109375" bestFit="1" customWidth="1"/>
    <col min="48" max="49" width="19.85546875" bestFit="1" customWidth="1"/>
    <col min="50" max="50" width="19.5703125" customWidth="1"/>
    <col min="52" max="52" width="9.140625" bestFit="1" customWidth="1"/>
    <col min="53" max="53" width="20.42578125" bestFit="1" customWidth="1"/>
    <col min="54" max="54" width="20.28515625" bestFit="1" customWidth="1"/>
    <col min="55" max="55" width="19.140625" bestFit="1" customWidth="1"/>
    <col min="56" max="57" width="20.42578125" bestFit="1" customWidth="1"/>
    <col min="58" max="58" width="22.42578125" bestFit="1" customWidth="1"/>
    <col min="59" max="59" width="14.42578125" bestFit="1" customWidth="1"/>
  </cols>
  <sheetData>
    <row r="3" spans="3:59" ht="58.5" customHeight="1" thickBot="1" x14ac:dyDescent="0.3"/>
    <row r="4" spans="3:59" ht="28.5" customHeight="1" thickBot="1" x14ac:dyDescent="0.3">
      <c r="C4" s="34"/>
      <c r="D4" s="92" t="s">
        <v>18</v>
      </c>
      <c r="E4" s="93"/>
      <c r="F4" s="93"/>
      <c r="G4" s="93"/>
      <c r="H4" s="93"/>
      <c r="I4" s="93"/>
      <c r="J4" s="93"/>
      <c r="K4" s="94"/>
      <c r="L4" s="92" t="s">
        <v>19</v>
      </c>
      <c r="M4" s="93"/>
      <c r="N4" s="93"/>
      <c r="O4" s="93"/>
      <c r="P4" s="93"/>
      <c r="Q4" s="93"/>
      <c r="R4" s="93"/>
      <c r="S4" s="94"/>
      <c r="T4" s="92" t="s">
        <v>20</v>
      </c>
      <c r="U4" s="93"/>
      <c r="V4" s="93"/>
      <c r="W4" s="93"/>
      <c r="X4" s="93"/>
      <c r="Y4" s="93"/>
      <c r="Z4" s="93"/>
      <c r="AA4" s="94"/>
      <c r="AB4" s="92" t="s">
        <v>25</v>
      </c>
      <c r="AC4" s="93"/>
      <c r="AD4" s="93"/>
      <c r="AE4" s="93"/>
      <c r="AF4" s="93"/>
      <c r="AG4" s="93"/>
      <c r="AH4" s="93"/>
      <c r="AI4" s="94"/>
      <c r="AJ4" s="92" t="s">
        <v>29</v>
      </c>
      <c r="AK4" s="93"/>
      <c r="AL4" s="93"/>
      <c r="AM4" s="93"/>
      <c r="AN4" s="93"/>
      <c r="AO4" s="93"/>
      <c r="AP4" s="93"/>
      <c r="AQ4" s="94"/>
      <c r="AR4" s="92" t="s">
        <v>35</v>
      </c>
      <c r="AS4" s="93"/>
      <c r="AT4" s="93"/>
      <c r="AU4" s="93"/>
      <c r="AV4" s="93"/>
      <c r="AW4" s="93"/>
      <c r="AX4" s="93"/>
      <c r="AY4" s="94"/>
      <c r="AZ4" s="92" t="s">
        <v>36</v>
      </c>
      <c r="BA4" s="93"/>
      <c r="BB4" s="93"/>
      <c r="BC4" s="93"/>
      <c r="BD4" s="93"/>
      <c r="BE4" s="93"/>
      <c r="BF4" s="93"/>
      <c r="BG4" s="94"/>
    </row>
    <row r="5" spans="3:59" ht="79.5" thickBot="1" x14ac:dyDescent="0.3">
      <c r="C5" s="15" t="s">
        <v>0</v>
      </c>
      <c r="D5" s="15" t="s">
        <v>15</v>
      </c>
      <c r="E5" s="15" t="s">
        <v>1</v>
      </c>
      <c r="F5" s="15" t="s">
        <v>10</v>
      </c>
      <c r="G5" s="15" t="s">
        <v>11</v>
      </c>
      <c r="H5" s="15" t="s">
        <v>14</v>
      </c>
      <c r="I5" s="15" t="s">
        <v>21</v>
      </c>
      <c r="J5" s="17" t="s">
        <v>22</v>
      </c>
      <c r="K5" s="15" t="s">
        <v>23</v>
      </c>
      <c r="L5" s="15" t="s">
        <v>16</v>
      </c>
      <c r="M5" s="15" t="s">
        <v>2</v>
      </c>
      <c r="N5" s="15" t="s">
        <v>10</v>
      </c>
      <c r="O5" s="15" t="s">
        <v>11</v>
      </c>
      <c r="P5" s="16" t="s">
        <v>13</v>
      </c>
      <c r="Q5" s="15" t="s">
        <v>21</v>
      </c>
      <c r="R5" s="17" t="s">
        <v>22</v>
      </c>
      <c r="S5" s="15" t="s">
        <v>23</v>
      </c>
      <c r="T5" s="15" t="s">
        <v>16</v>
      </c>
      <c r="U5" s="15" t="s">
        <v>24</v>
      </c>
      <c r="V5" s="15" t="s">
        <v>10</v>
      </c>
      <c r="W5" s="15" t="s">
        <v>11</v>
      </c>
      <c r="X5" s="16" t="s">
        <v>12</v>
      </c>
      <c r="Y5" s="15" t="s">
        <v>21</v>
      </c>
      <c r="Z5" s="17" t="s">
        <v>22</v>
      </c>
      <c r="AA5" s="15" t="s">
        <v>23</v>
      </c>
      <c r="AB5" s="15" t="s">
        <v>16</v>
      </c>
      <c r="AC5" s="15" t="s">
        <v>26</v>
      </c>
      <c r="AD5" s="15" t="s">
        <v>10</v>
      </c>
      <c r="AE5" s="15" t="s">
        <v>11</v>
      </c>
      <c r="AF5" s="16" t="s">
        <v>27</v>
      </c>
      <c r="AG5" s="15" t="s">
        <v>21</v>
      </c>
      <c r="AH5" s="17" t="s">
        <v>22</v>
      </c>
      <c r="AI5" s="15" t="s">
        <v>23</v>
      </c>
      <c r="AJ5" s="15" t="s">
        <v>16</v>
      </c>
      <c r="AK5" s="15" t="s">
        <v>30</v>
      </c>
      <c r="AL5" s="15" t="s">
        <v>10</v>
      </c>
      <c r="AM5" s="15" t="s">
        <v>11</v>
      </c>
      <c r="AN5" s="16" t="s">
        <v>32</v>
      </c>
      <c r="AO5" s="15" t="s">
        <v>21</v>
      </c>
      <c r="AP5" s="17" t="s">
        <v>22</v>
      </c>
      <c r="AQ5" s="15" t="s">
        <v>23</v>
      </c>
      <c r="AR5" s="15" t="s">
        <v>16</v>
      </c>
      <c r="AS5" s="15" t="s">
        <v>33</v>
      </c>
      <c r="AT5" s="15" t="s">
        <v>10</v>
      </c>
      <c r="AU5" s="15" t="s">
        <v>11</v>
      </c>
      <c r="AV5" s="16" t="s">
        <v>34</v>
      </c>
      <c r="AW5" s="15" t="s">
        <v>21</v>
      </c>
      <c r="AX5" s="17" t="s">
        <v>22</v>
      </c>
      <c r="AY5" s="15" t="s">
        <v>23</v>
      </c>
      <c r="AZ5" s="15" t="s">
        <v>16</v>
      </c>
      <c r="BA5" s="15" t="s">
        <v>37</v>
      </c>
      <c r="BB5" s="15" t="s">
        <v>10</v>
      </c>
      <c r="BC5" s="15" t="s">
        <v>11</v>
      </c>
      <c r="BD5" s="16" t="s">
        <v>38</v>
      </c>
      <c r="BE5" s="15" t="s">
        <v>21</v>
      </c>
      <c r="BF5" s="17" t="s">
        <v>22</v>
      </c>
      <c r="BG5" s="15" t="s">
        <v>23</v>
      </c>
    </row>
    <row r="6" spans="3:59" ht="15.75" x14ac:dyDescent="0.25">
      <c r="C6" s="18" t="s">
        <v>3</v>
      </c>
      <c r="D6" s="36">
        <v>10</v>
      </c>
      <c r="E6" s="37">
        <v>28729795879</v>
      </c>
      <c r="F6" s="37">
        <v>20000000</v>
      </c>
      <c r="G6" s="21">
        <v>4200000000</v>
      </c>
      <c r="H6" s="21">
        <f>+E6+F6-G6</f>
        <v>24549795879</v>
      </c>
      <c r="I6" s="21">
        <v>24508975561</v>
      </c>
      <c r="J6" s="21">
        <f>+H6-I6</f>
        <v>40820318</v>
      </c>
      <c r="K6" s="53">
        <f>+I6/H18</f>
        <v>0.10191652993111829</v>
      </c>
      <c r="L6" s="36">
        <v>10</v>
      </c>
      <c r="M6" s="21">
        <v>30447837100</v>
      </c>
      <c r="N6" s="21">
        <v>2738707292.48</v>
      </c>
      <c r="O6" s="21">
        <v>2738707292.48</v>
      </c>
      <c r="P6" s="66">
        <f>+M6+N6-O6</f>
        <v>30447837100</v>
      </c>
      <c r="Q6" s="21">
        <v>28046861044.150002</v>
      </c>
      <c r="R6" s="45">
        <f>+P6-Q6</f>
        <v>2400976055.8499985</v>
      </c>
      <c r="S6" s="38">
        <f>+Q6/P18</f>
        <v>7.1129433166202127E-2</v>
      </c>
      <c r="T6" s="36">
        <v>10</v>
      </c>
      <c r="U6" s="29">
        <v>30140856357</v>
      </c>
      <c r="V6" s="33">
        <v>2136911159</v>
      </c>
      <c r="W6" s="33">
        <v>3136911159</v>
      </c>
      <c r="X6" s="41">
        <f>+U6+V6-W6</f>
        <v>29140856357</v>
      </c>
      <c r="Y6" s="29">
        <v>27969766348.330002</v>
      </c>
      <c r="Z6" s="43">
        <f t="shared" ref="Z6:Z11" si="0">+X6-Y6</f>
        <v>1171090008.6699982</v>
      </c>
      <c r="AA6" s="70">
        <f>+Y6/X6</f>
        <v>0.95981277988803204</v>
      </c>
      <c r="AB6" s="36">
        <v>10</v>
      </c>
      <c r="AC6" s="29">
        <f>SUM('[1]E.P. AGREGADA ACUMULADA'!$P$5:$P$11)-3671950000</f>
        <v>31051103736</v>
      </c>
      <c r="AD6" s="33">
        <f>SUM('[1]E.P. AGREGADA ACUMULADA'!$Q$5:$Q$11)-588000000</f>
        <v>2870730558</v>
      </c>
      <c r="AE6" s="33">
        <f>SUM('[1]E.P. AGREGADA ACUMULADA'!$R$5:$R$11)</f>
        <v>3458730558</v>
      </c>
      <c r="AF6" s="41">
        <f>+AC6+AD6-AE6</f>
        <v>30463103736</v>
      </c>
      <c r="AG6" s="29">
        <f>SUM('[1]E.P. AGREGADA ACUMULADA'!$W$5:$W$11)-4259694637</f>
        <v>27885049284.970001</v>
      </c>
      <c r="AH6" s="43">
        <f>+AF6-AG6</f>
        <v>2578054451.0299988</v>
      </c>
      <c r="AI6" s="70">
        <f>+AG6/AF6</f>
        <v>0.91537124800637559</v>
      </c>
      <c r="AJ6" s="36">
        <v>10</v>
      </c>
      <c r="AK6" s="29">
        <f>SUM('[2]E.P. AGREGADA ACUMULADA'!$P$5:$P$10)-3836968384</f>
        <v>31479353626</v>
      </c>
      <c r="AL6" s="33">
        <f>SUM('[2]E.P. AGREGADA ACUMULADA'!$Q$5:$Q$10)</f>
        <v>1851623612.3800001</v>
      </c>
      <c r="AM6" s="33">
        <f>SUM('[2]E.P. AGREGADA ACUMULADA'!$R$5:$R$10)</f>
        <v>1851623612.3800001</v>
      </c>
      <c r="AN6" s="41">
        <f>+AK6+AL6-AM6</f>
        <v>31479353626</v>
      </c>
      <c r="AO6" s="29">
        <f>SUM('[2]E.P. AGREGADA ACUMULADA'!$W$5:$W$10)-3819345021</f>
        <v>30943830217.540001</v>
      </c>
      <c r="AP6" s="43">
        <f t="shared" ref="AP6:AP11" si="1">+AN6-AO6</f>
        <v>535523408.45999908</v>
      </c>
      <c r="AQ6" s="70">
        <f>+AO6/AN6</f>
        <v>0.98298810659130909</v>
      </c>
      <c r="AR6" s="36">
        <v>10</v>
      </c>
      <c r="AS6" s="29">
        <f>SUM('[3]E.P. AGREGADA ACUMULADA'!$P$5:$P$9)</f>
        <v>32630000000</v>
      </c>
      <c r="AT6" s="33">
        <f>SUM('[3]E.P. AGREGADA ACUMULADA'!$Q$5:$Q$9)</f>
        <v>12294401772</v>
      </c>
      <c r="AU6" s="33">
        <f>SUM('[3]E.P. AGREGADA ACUMULADA'!$R$5:$R$9)</f>
        <v>3169401772</v>
      </c>
      <c r="AV6" s="41">
        <f>+AS6+AT6-AU6</f>
        <v>41755000000</v>
      </c>
      <c r="AW6" s="29">
        <f>SUM('[3]E.P. AGREGADA ACUMULADA'!$W$5:$W$9)</f>
        <v>40093341184.93</v>
      </c>
      <c r="AX6" s="43">
        <f t="shared" ref="AX6:AX11" si="2">+AV6-AW6</f>
        <v>1661658815.0699997</v>
      </c>
      <c r="AY6" s="70">
        <f>+AW6/AV6</f>
        <v>0.96020455478218181</v>
      </c>
      <c r="AZ6" s="36">
        <v>10</v>
      </c>
      <c r="BA6" s="29">
        <f>SUM('[4]E.P. AGREGADA ACUMULADA'!$Q$5:$Q$9)</f>
        <v>38930000000</v>
      </c>
      <c r="BB6" s="33">
        <f>SUM('[4]E.P. AGREGADA ACUMULADA'!$R$5:$R$9)</f>
        <v>68378000000</v>
      </c>
      <c r="BC6" s="33">
        <f>SUM('[4]E.P. AGREGADA ACUMULADA'!$S$5:$S$9)</f>
        <v>17500000000</v>
      </c>
      <c r="BD6" s="41">
        <f>+BA6+BB6-BC6</f>
        <v>89808000000</v>
      </c>
      <c r="BE6" s="29">
        <f>SUM('[4]E.P. AGREGADA ACUMULADA'!$X$5:$X$9)</f>
        <v>78109809106.690002</v>
      </c>
      <c r="BF6" s="43">
        <f t="shared" ref="BF6:BF13" si="3">+BD6-BE6</f>
        <v>11698190893.309998</v>
      </c>
      <c r="BG6" s="70">
        <f>+BE6/BD6</f>
        <v>0.86974221791700079</v>
      </c>
    </row>
    <row r="7" spans="3:59" ht="15.75" x14ac:dyDescent="0.25">
      <c r="C7" s="18" t="s">
        <v>4</v>
      </c>
      <c r="D7" s="36">
        <v>10</v>
      </c>
      <c r="E7" s="21"/>
      <c r="F7" s="37">
        <v>800000000</v>
      </c>
      <c r="G7" s="21"/>
      <c r="H7" s="21">
        <f t="shared" ref="H7" si="4">+E7+F7-G7</f>
        <v>800000000</v>
      </c>
      <c r="I7" s="21">
        <v>791529333</v>
      </c>
      <c r="J7" s="21">
        <f t="shared" ref="J7:J12" si="5">+H7-I7</f>
        <v>8470667</v>
      </c>
      <c r="K7" s="54">
        <f>I7/H18</f>
        <v>3.2914440979907342E-3</v>
      </c>
      <c r="L7" s="36">
        <v>10</v>
      </c>
      <c r="M7" s="21">
        <v>2200000000</v>
      </c>
      <c r="N7" s="21">
        <v>1500000000</v>
      </c>
      <c r="O7" s="21">
        <v>0</v>
      </c>
      <c r="P7" s="66">
        <f>+M7+N7-O7</f>
        <v>3700000000</v>
      </c>
      <c r="Q7" s="21">
        <v>3561579017.6399999</v>
      </c>
      <c r="R7" s="45">
        <f t="shared" ref="R7:R12" si="6">+P7-Q7</f>
        <v>138420982.36000013</v>
      </c>
      <c r="S7" s="38">
        <f t="shared" ref="S7:S13" si="7">+Q7/$P$18</f>
        <v>9.0324937362005527E-3</v>
      </c>
      <c r="T7" s="36">
        <v>10</v>
      </c>
      <c r="U7" s="29">
        <v>2277000000</v>
      </c>
      <c r="V7" s="33">
        <v>2500000000</v>
      </c>
      <c r="W7" s="21">
        <v>0</v>
      </c>
      <c r="X7" s="41">
        <f>+U7+V7-W7</f>
        <v>4777000000</v>
      </c>
      <c r="Y7" s="29">
        <v>4733568089.6700001</v>
      </c>
      <c r="Z7" s="43">
        <f t="shared" si="0"/>
        <v>43431910.329999924</v>
      </c>
      <c r="AA7" s="70">
        <f>Y7/X7</f>
        <v>0.99090812009001472</v>
      </c>
      <c r="AB7" s="36">
        <v>10</v>
      </c>
      <c r="AC7" s="29">
        <f>SUM('[1]E.P. AGREGADA ACUMULADA'!$P$10)</f>
        <v>3671950000</v>
      </c>
      <c r="AD7" s="33">
        <f>SUM('[1]E.P. AGREGADA ACUMULADA'!$Q$10)</f>
        <v>588000000</v>
      </c>
      <c r="AE7" s="21">
        <f>SUM('[1]E.P. AGREGADA ACUMULADA'!$R$10)</f>
        <v>0</v>
      </c>
      <c r="AF7" s="41">
        <f t="shared" ref="AF7:AF17" si="8">+AC7+AD7-AE7</f>
        <v>4259950000</v>
      </c>
      <c r="AG7" s="29">
        <f>SUM('[1]E.P. AGREGADA ACUMULADA'!$W$10)</f>
        <v>4259694637</v>
      </c>
      <c r="AH7" s="43">
        <f>+AF7-AG7</f>
        <v>255363</v>
      </c>
      <c r="AI7" s="70">
        <f>AG7/AF7</f>
        <v>0.9999400549302222</v>
      </c>
      <c r="AJ7" s="36">
        <v>10</v>
      </c>
      <c r="AK7" s="29">
        <f>SUM('[2]E.P. AGREGADA ACUMULADA'!$P$9)</f>
        <v>3836968384</v>
      </c>
      <c r="AL7" s="33">
        <f>SUM('[2]E.P. AGREGADA ACUMULADA'!$Q$9)</f>
        <v>0</v>
      </c>
      <c r="AM7" s="21">
        <f>SUM('[2]E.P. AGREGADA ACUMULADA'!$R$9)</f>
        <v>0</v>
      </c>
      <c r="AN7" s="41">
        <f t="shared" ref="AN7:AN14" si="9">+AK7+AL7-AM7</f>
        <v>3836968384</v>
      </c>
      <c r="AO7" s="29">
        <f>SUM('[2]E.P. AGREGADA ACUMULADA'!$W$9)</f>
        <v>3819345021</v>
      </c>
      <c r="AP7" s="43">
        <f t="shared" si="1"/>
        <v>17623363</v>
      </c>
      <c r="AQ7" s="70">
        <f>AO7/AN7</f>
        <v>0.99540695642072818</v>
      </c>
      <c r="AR7" s="36">
        <v>10</v>
      </c>
      <c r="AS7" s="29">
        <v>0</v>
      </c>
      <c r="AT7" s="33">
        <f>SUM('[2]E.P. AGREGADA ACUMULADA'!$Q$9)</f>
        <v>0</v>
      </c>
      <c r="AU7" s="21">
        <f>SUM('[2]E.P. AGREGADA ACUMULADA'!$R$9)</f>
        <v>0</v>
      </c>
      <c r="AV7" s="41">
        <f t="shared" ref="AV7:AV14" si="10">+AS7+AT7-AU7</f>
        <v>0</v>
      </c>
      <c r="AW7" s="29">
        <v>0</v>
      </c>
      <c r="AX7" s="43">
        <f t="shared" si="2"/>
        <v>0</v>
      </c>
      <c r="AY7" s="70">
        <v>0</v>
      </c>
      <c r="AZ7" s="36">
        <v>10</v>
      </c>
      <c r="BA7" s="29">
        <v>0</v>
      </c>
      <c r="BB7" s="33">
        <f>SUM('[2]E.P. AGREGADA ACUMULADA'!$Q$9)</f>
        <v>0</v>
      </c>
      <c r="BC7" s="21">
        <f>SUM('[2]E.P. AGREGADA ACUMULADA'!$R$9)</f>
        <v>0</v>
      </c>
      <c r="BD7" s="41">
        <f>+BA7+BB7-BC7</f>
        <v>0</v>
      </c>
      <c r="BE7" s="29">
        <v>0</v>
      </c>
      <c r="BF7" s="43">
        <f t="shared" si="3"/>
        <v>0</v>
      </c>
      <c r="BG7" s="70">
        <v>0</v>
      </c>
    </row>
    <row r="8" spans="3:59" ht="15.75" x14ac:dyDescent="0.25">
      <c r="C8" s="18" t="s">
        <v>5</v>
      </c>
      <c r="D8" s="36">
        <v>10</v>
      </c>
      <c r="E8" s="37">
        <v>166651486121</v>
      </c>
      <c r="F8" s="37">
        <v>43500000000</v>
      </c>
      <c r="G8" s="21">
        <v>120000000</v>
      </c>
      <c r="H8" s="21">
        <f>+E8+F8-G8</f>
        <v>210031486121</v>
      </c>
      <c r="I8" s="21">
        <v>209989719112.89999</v>
      </c>
      <c r="J8" s="21">
        <f t="shared" si="5"/>
        <v>41767008.100006104</v>
      </c>
      <c r="K8" s="25">
        <f>+I8/$H$18</f>
        <v>0.87320759041647134</v>
      </c>
      <c r="L8" s="36">
        <v>10</v>
      </c>
      <c r="M8" s="21">
        <v>192236794389</v>
      </c>
      <c r="N8" s="21">
        <v>128500000000</v>
      </c>
      <c r="O8" s="21">
        <v>0</v>
      </c>
      <c r="P8" s="66">
        <f>M8+N8</f>
        <v>320736794389</v>
      </c>
      <c r="Q8" s="21">
        <v>319949712944.90997</v>
      </c>
      <c r="R8" s="45">
        <f t="shared" si="6"/>
        <v>787081444.09002686</v>
      </c>
      <c r="S8" s="38">
        <f t="shared" si="7"/>
        <v>0.81142205851971261</v>
      </c>
      <c r="T8" s="36">
        <v>10</v>
      </c>
      <c r="U8" s="29">
        <v>332983795927</v>
      </c>
      <c r="V8" s="33">
        <v>66000000000</v>
      </c>
      <c r="W8" s="33">
        <v>82982689</v>
      </c>
      <c r="X8" s="41">
        <f>+U8+V8-W8</f>
        <v>398900813238</v>
      </c>
      <c r="Y8" s="29">
        <v>397901551505.96997</v>
      </c>
      <c r="Z8" s="43">
        <f>+X8-Y8</f>
        <v>999261732.0300293</v>
      </c>
      <c r="AA8" s="70">
        <f t="shared" ref="AA8" si="11">+Y8/X8</f>
        <v>0.99749496190815279</v>
      </c>
      <c r="AB8" s="36">
        <v>10</v>
      </c>
      <c r="AC8" s="29">
        <f>SUM('[1]E.P. AGREGADA ACUMULADA'!$P$12:$P$13)</f>
        <v>328875685366</v>
      </c>
      <c r="AD8" s="33">
        <f>SUM('[1]E.P. AGREGADA ACUMULADA'!$Q$12:$Q$13)</f>
        <v>52591690482</v>
      </c>
      <c r="AE8" s="33">
        <f>SUM('[1]E.P. AGREGADA ACUMULADA'!$R$12:$R$13)</f>
        <v>6839114</v>
      </c>
      <c r="AF8" s="41">
        <f t="shared" si="8"/>
        <v>381460536734</v>
      </c>
      <c r="AG8" s="29">
        <f>SUM('[1]E.P. AGREGADA ACUMULADA'!$W$12:$W$13)</f>
        <v>364466958484.78003</v>
      </c>
      <c r="AH8" s="43">
        <f>+AF8-AG8</f>
        <v>16993578249.219971</v>
      </c>
      <c r="AI8" s="70">
        <f t="shared" ref="AI8" si="12">+AG8/AF8</f>
        <v>0.95545128102970733</v>
      </c>
      <c r="AJ8" s="36">
        <v>10</v>
      </c>
      <c r="AK8" s="29">
        <f>SUM('[2]E.P. AGREGADA ACUMULADA'!$P$11:$P$12)</f>
        <v>374604126422</v>
      </c>
      <c r="AL8" s="33">
        <f>SUM('[2]E.P. AGREGADA ACUMULADA'!$Q$11:$Q$12)</f>
        <v>0</v>
      </c>
      <c r="AM8" s="33">
        <f>SUM('[2]E.P. AGREGADA ACUMULADA'!$R$11:$R$12)</f>
        <v>93555374</v>
      </c>
      <c r="AN8" s="41">
        <f t="shared" si="9"/>
        <v>374510571048</v>
      </c>
      <c r="AO8" s="29">
        <f>SUM('[2]E.P. AGREGADA ACUMULADA'!$W$11:$W$12)</f>
        <v>374270658310.52997</v>
      </c>
      <c r="AP8" s="43">
        <f t="shared" si="1"/>
        <v>239912737.47003174</v>
      </c>
      <c r="AQ8" s="70">
        <f t="shared" ref="AQ8" si="13">+AO8/AN8</f>
        <v>0.99935939662050477</v>
      </c>
      <c r="AR8" s="36">
        <v>10</v>
      </c>
      <c r="AS8" s="29">
        <f>SUM('[3]E.P. AGREGADA ACUMULADA'!$P$10:$P$11)</f>
        <v>338695000000</v>
      </c>
      <c r="AT8" s="33">
        <f>SUM('[3]E.P. AGREGADA ACUMULADA'!$Q$10:$Q$11)</f>
        <v>20875000000</v>
      </c>
      <c r="AU8" s="33">
        <f>SUM('[3]E.P. AGREGADA ACUMULADA'!$R$10:$R$11)</f>
        <v>0</v>
      </c>
      <c r="AV8" s="41">
        <f t="shared" si="10"/>
        <v>359570000000</v>
      </c>
      <c r="AW8" s="29">
        <f>SUM('[3]E.P. AGREGADA ACUMULADA'!$W$10:$W$11)</f>
        <v>358651968317.60999</v>
      </c>
      <c r="AX8" s="43">
        <f t="shared" si="2"/>
        <v>918031682.39001465</v>
      </c>
      <c r="AY8" s="70">
        <f>+AW8/AV8</f>
        <v>0.99744686241235359</v>
      </c>
      <c r="AZ8" s="36">
        <v>10</v>
      </c>
      <c r="BA8" s="29">
        <f>SUM('[4]E.P. AGREGADA ACUMULADA'!$Q$10:$Q$11)</f>
        <v>429575000000</v>
      </c>
      <c r="BB8" s="33">
        <f>SUM('[4]E.P. AGREGADA ACUMULADA'!$R$10:$R$11)</f>
        <v>212998000000</v>
      </c>
      <c r="BC8" s="33">
        <f>SUM('[4]E.P. AGREGADA ACUMULADA'!$S$10:$S$11)</f>
        <v>406652940</v>
      </c>
      <c r="BD8" s="41">
        <f>+BA8+BB8-BC8</f>
        <v>642166347060</v>
      </c>
      <c r="BE8" s="29">
        <f>SUM('[4]E.P. AGREGADA ACUMULADA'!$X$10:$X$11)</f>
        <v>641444275442.72009</v>
      </c>
      <c r="BF8" s="43">
        <f t="shared" si="3"/>
        <v>722071617.27990723</v>
      </c>
      <c r="BG8" s="70">
        <f>+BE8/BD8</f>
        <v>0.99887556920323572</v>
      </c>
    </row>
    <row r="9" spans="3:59" ht="15.75" x14ac:dyDescent="0.25">
      <c r="C9" s="18" t="s">
        <v>5</v>
      </c>
      <c r="D9" s="36">
        <v>11</v>
      </c>
      <c r="E9" s="21"/>
      <c r="F9" s="37">
        <v>5099585800</v>
      </c>
      <c r="G9" s="21"/>
      <c r="H9" s="21">
        <f>+F9</f>
        <v>5099585800</v>
      </c>
      <c r="I9" s="21">
        <v>5099585800</v>
      </c>
      <c r="J9" s="21">
        <f t="shared" si="5"/>
        <v>0</v>
      </c>
      <c r="K9" s="25">
        <f>+I9/$H$18</f>
        <v>2.1205785918242598E-2</v>
      </c>
      <c r="L9" s="36">
        <v>11</v>
      </c>
      <c r="M9" s="21"/>
      <c r="N9" s="21">
        <v>18817757108</v>
      </c>
      <c r="O9" s="21"/>
      <c r="P9" s="66">
        <f>+N9</f>
        <v>18817757108</v>
      </c>
      <c r="Q9" s="21">
        <v>18817757108</v>
      </c>
      <c r="R9" s="45">
        <f t="shared" si="6"/>
        <v>0</v>
      </c>
      <c r="S9" s="38">
        <f t="shared" si="7"/>
        <v>4.7723572147496833E-2</v>
      </c>
      <c r="T9" s="36">
        <v>11</v>
      </c>
      <c r="U9" s="29"/>
      <c r="V9" s="33">
        <v>24949258338.400002</v>
      </c>
      <c r="W9" s="33"/>
      <c r="X9" s="41">
        <f>+V9</f>
        <v>24949258338.400002</v>
      </c>
      <c r="Y9" s="29">
        <v>18862379641</v>
      </c>
      <c r="Z9" s="69">
        <f t="shared" si="0"/>
        <v>6086878697.4000015</v>
      </c>
      <c r="AA9" s="70">
        <f t="shared" ref="AA9" si="14">Y9/X9</f>
        <v>0.75602967371452723</v>
      </c>
      <c r="AB9" s="36">
        <v>11</v>
      </c>
      <c r="AC9" s="29">
        <v>0</v>
      </c>
      <c r="AD9" s="33">
        <v>0</v>
      </c>
      <c r="AE9" s="33">
        <v>0</v>
      </c>
      <c r="AF9" s="41">
        <f t="shared" si="8"/>
        <v>0</v>
      </c>
      <c r="AG9" s="29">
        <v>0</v>
      </c>
      <c r="AH9" s="69">
        <f t="shared" ref="AH9:AH11" si="15">+AF9-AG9</f>
        <v>0</v>
      </c>
      <c r="AI9" s="70">
        <v>0</v>
      </c>
      <c r="AJ9" s="36">
        <v>11</v>
      </c>
      <c r="AK9" s="29">
        <v>0</v>
      </c>
      <c r="AL9" s="33">
        <v>0</v>
      </c>
      <c r="AM9" s="33">
        <v>0</v>
      </c>
      <c r="AN9" s="41">
        <f t="shared" si="9"/>
        <v>0</v>
      </c>
      <c r="AO9" s="29">
        <v>0</v>
      </c>
      <c r="AP9" s="69">
        <f t="shared" si="1"/>
        <v>0</v>
      </c>
      <c r="AQ9" s="70">
        <v>0</v>
      </c>
      <c r="AR9" s="36">
        <v>11</v>
      </c>
      <c r="AS9" s="29">
        <v>0</v>
      </c>
      <c r="AT9" s="33">
        <f>SUM('[3]E.P. AGREGADA ACUMULADA'!$Q$12)</f>
        <v>120000000000</v>
      </c>
      <c r="AU9" s="33">
        <f>SUM('[3]E.P. AGREGADA ACUMULADA'!$R$12)</f>
        <v>50951448</v>
      </c>
      <c r="AV9" s="41">
        <f t="shared" si="10"/>
        <v>119949048552</v>
      </c>
      <c r="AW9" s="29">
        <f>SUM('[3]E.P. AGREGADA ACUMULADA'!$W$12)</f>
        <v>117785860643.52</v>
      </c>
      <c r="AX9" s="69">
        <f t="shared" si="2"/>
        <v>2163187908.4799957</v>
      </c>
      <c r="AY9" s="70">
        <f>AW9/AV9</f>
        <v>0.98196577684780706</v>
      </c>
      <c r="AZ9" s="36">
        <v>11</v>
      </c>
      <c r="BA9" s="29">
        <v>0</v>
      </c>
      <c r="BB9" s="33">
        <v>0</v>
      </c>
      <c r="BC9" s="33">
        <v>0</v>
      </c>
      <c r="BD9" s="41">
        <v>0</v>
      </c>
      <c r="BE9" s="29">
        <v>0</v>
      </c>
      <c r="BF9" s="69">
        <f t="shared" si="3"/>
        <v>0</v>
      </c>
      <c r="BG9" s="70">
        <v>0</v>
      </c>
    </row>
    <row r="10" spans="3:59" ht="15.75" x14ac:dyDescent="0.25">
      <c r="C10" s="18" t="s">
        <v>17</v>
      </c>
      <c r="D10" s="36">
        <v>20</v>
      </c>
      <c r="E10" s="21"/>
      <c r="F10" s="21"/>
      <c r="G10" s="21"/>
      <c r="H10" s="21"/>
      <c r="I10" s="21"/>
      <c r="J10" s="21">
        <f t="shared" si="5"/>
        <v>0</v>
      </c>
      <c r="K10" s="21">
        <v>0</v>
      </c>
      <c r="L10" s="36">
        <v>20</v>
      </c>
      <c r="M10" s="21">
        <v>14000000000</v>
      </c>
      <c r="N10" s="21"/>
      <c r="O10" s="21"/>
      <c r="P10" s="66">
        <f>+M10</f>
        <v>14000000000</v>
      </c>
      <c r="Q10" s="21">
        <v>14000000000</v>
      </c>
      <c r="R10" s="45">
        <f t="shared" si="6"/>
        <v>0</v>
      </c>
      <c r="S10" s="38">
        <f t="shared" si="7"/>
        <v>3.5505294612444185E-2</v>
      </c>
      <c r="T10" s="36">
        <v>20</v>
      </c>
      <c r="U10" s="29">
        <v>14420000000</v>
      </c>
      <c r="V10" s="33"/>
      <c r="W10" s="33"/>
      <c r="X10" s="41">
        <f>+U10</f>
        <v>14420000000</v>
      </c>
      <c r="Y10" s="29">
        <v>8375997866.8400002</v>
      </c>
      <c r="Z10" s="69">
        <f t="shared" si="0"/>
        <v>6044002133.1599998</v>
      </c>
      <c r="AA10" s="70">
        <f t="shared" ref="AA10" si="16">+Y10/X10</f>
        <v>0.58085976885159507</v>
      </c>
      <c r="AB10" s="36">
        <v>20</v>
      </c>
      <c r="AC10" s="29">
        <f>SUM('[1]E.P. AGREGADA ACUMULADA'!$P$14)</f>
        <v>1161640000</v>
      </c>
      <c r="AD10" s="33">
        <f>SUM('[1]E.P. AGREGADA ACUMULADA'!$Q$14)</f>
        <v>0</v>
      </c>
      <c r="AE10" s="33">
        <f>SUM('[1]E.P. AGREGADA ACUMULADA'!$R$14)</f>
        <v>0</v>
      </c>
      <c r="AF10" s="41">
        <f t="shared" si="8"/>
        <v>1161640000</v>
      </c>
      <c r="AG10" s="29">
        <f>SUM('[1]E.P. AGREGADA ACUMULADA'!$W$14)</f>
        <v>1016940855</v>
      </c>
      <c r="AH10" s="69">
        <f t="shared" si="15"/>
        <v>144699145</v>
      </c>
      <c r="AI10" s="70">
        <f t="shared" ref="AI10" si="17">+AG10/AF10</f>
        <v>0.87543546623738855</v>
      </c>
      <c r="AJ10" s="36">
        <v>20</v>
      </c>
      <c r="AK10" s="29">
        <v>0</v>
      </c>
      <c r="AL10" s="33">
        <v>0</v>
      </c>
      <c r="AM10" s="33">
        <v>0</v>
      </c>
      <c r="AN10" s="41">
        <f t="shared" si="9"/>
        <v>0</v>
      </c>
      <c r="AO10" s="29">
        <v>0</v>
      </c>
      <c r="AP10" s="69">
        <f t="shared" si="1"/>
        <v>0</v>
      </c>
      <c r="AQ10" s="70">
        <v>0</v>
      </c>
      <c r="AR10" s="36">
        <v>20</v>
      </c>
      <c r="AS10" s="29">
        <v>0</v>
      </c>
      <c r="AT10" s="33">
        <v>0</v>
      </c>
      <c r="AU10" s="33">
        <v>0</v>
      </c>
      <c r="AV10" s="41">
        <f t="shared" si="10"/>
        <v>0</v>
      </c>
      <c r="AW10" s="29">
        <v>0</v>
      </c>
      <c r="AX10" s="69">
        <f t="shared" si="2"/>
        <v>0</v>
      </c>
      <c r="AY10" s="70">
        <v>0</v>
      </c>
      <c r="AZ10" s="36">
        <v>20</v>
      </c>
      <c r="BA10" s="29">
        <v>0</v>
      </c>
      <c r="BB10" s="33">
        <v>0</v>
      </c>
      <c r="BC10" s="33">
        <v>0</v>
      </c>
      <c r="BD10" s="41">
        <f>+BA10+BB10-BC10</f>
        <v>0</v>
      </c>
      <c r="BE10" s="29">
        <v>0</v>
      </c>
      <c r="BF10" s="69">
        <f t="shared" si="3"/>
        <v>0</v>
      </c>
      <c r="BG10" s="70">
        <v>0</v>
      </c>
    </row>
    <row r="11" spans="3:59" ht="15.75" x14ac:dyDescent="0.25">
      <c r="C11" s="18" t="s">
        <v>6</v>
      </c>
      <c r="D11" s="36">
        <v>10</v>
      </c>
      <c r="E11" s="22"/>
      <c r="F11" s="37">
        <v>40000000000</v>
      </c>
      <c r="G11" s="21">
        <v>40000000000</v>
      </c>
      <c r="H11" s="21">
        <v>0</v>
      </c>
      <c r="I11" s="21"/>
      <c r="J11" s="21">
        <f t="shared" si="5"/>
        <v>0</v>
      </c>
      <c r="K11" s="21">
        <v>0</v>
      </c>
      <c r="L11" s="36">
        <v>10</v>
      </c>
      <c r="M11" s="21">
        <v>3000000000</v>
      </c>
      <c r="N11" s="21">
        <v>34000000000</v>
      </c>
      <c r="O11" s="21">
        <v>34000000000</v>
      </c>
      <c r="P11" s="66">
        <f t="shared" ref="P11" si="18">+M11+N11-O11</f>
        <v>3000000000</v>
      </c>
      <c r="Q11" s="21"/>
      <c r="R11" s="45">
        <f t="shared" si="6"/>
        <v>3000000000</v>
      </c>
      <c r="S11" s="55">
        <f t="shared" si="7"/>
        <v>0</v>
      </c>
      <c r="T11" s="36">
        <v>10</v>
      </c>
      <c r="U11" s="29">
        <v>3090000000</v>
      </c>
      <c r="V11" s="33">
        <v>67665965378</v>
      </c>
      <c r="W11" s="33">
        <v>67582982689</v>
      </c>
      <c r="X11" s="41">
        <f>+U11+V11-W11</f>
        <v>3172982689</v>
      </c>
      <c r="Y11" s="29">
        <v>225198455</v>
      </c>
      <c r="Z11" s="43">
        <f t="shared" si="0"/>
        <v>2947784234</v>
      </c>
      <c r="AA11" s="70">
        <f t="shared" ref="AA11:AA12" si="19">Y11/X11</f>
        <v>7.0973742082082944E-2</v>
      </c>
      <c r="AB11" s="36">
        <v>10</v>
      </c>
      <c r="AC11" s="29">
        <f>'[1]E.P. AGREGADA ACUMULADA'!$P$15+'[1]E.P. AGREGADA ACUMULADA'!$P$16+'[1]E.P. AGREGADA ACUMULADA'!$P$18+'[1]E.P. AGREGADA ACUMULADA'!$P$19+'[1]E.P. AGREGADA ACUMULADA'!$P$20</f>
        <v>3027976803</v>
      </c>
      <c r="AD11" s="33">
        <f>'[1]E.P. AGREGADA ACUMULADA'!$Q$15+'[1]E.P. AGREGADA ACUMULADA'!$Q$16+'[1]E.P. AGREGADA ACUMULADA'!$Q$18+'[1]E.P. AGREGADA ACUMULADA'!$Q$19+'[1]E.P. AGREGADA ACUMULADA'!$Q$20</f>
        <v>52605368710</v>
      </c>
      <c r="AE11" s="33">
        <f>'[1]E.P. AGREGADA ACUMULADA'!$R$15+'[1]E.P. AGREGADA ACUMULADA'!$R$16+'[1]E.P. AGREGADA ACUMULADA'!$R$18+'[1]E.P. AGREGADA ACUMULADA'!$R$19+'[1]E.P. AGREGADA ACUMULADA'!$R$20</f>
        <v>52598529596</v>
      </c>
      <c r="AF11" s="41">
        <f t="shared" si="8"/>
        <v>3034815917</v>
      </c>
      <c r="AG11" s="29">
        <f>'[1]E.P. AGREGADA ACUMULADA'!$W$15+'[1]E.P. AGREGADA ACUMULADA'!$W$16+'[1]E.P. AGREGADA ACUMULADA'!$W$18+'[1]E.P. AGREGADA ACUMULADA'!$W$19+'[1]E.P. AGREGADA ACUMULADA'!$W$20</f>
        <v>2700868911</v>
      </c>
      <c r="AH11" s="43">
        <f t="shared" si="15"/>
        <v>333947006</v>
      </c>
      <c r="AI11" s="70">
        <f t="shared" ref="AI11:AI12" si="20">AG11/AF11</f>
        <v>0.88996136334683662</v>
      </c>
      <c r="AJ11" s="36">
        <v>10</v>
      </c>
      <c r="AK11" s="29">
        <f>'[2]E.P. AGREGADA ACUMULADA'!$P$13+'[2]E.P. AGREGADA ACUMULADA'!$P$14+'[2]E.P. AGREGADA ACUMULADA'!$P$16+'[2]E.P. AGREGADA ACUMULADA'!$P$17</f>
        <v>500000000</v>
      </c>
      <c r="AL11" s="33">
        <f>'[2]E.P. AGREGADA ACUMULADA'!$Q$13+'[2]E.P. AGREGADA ACUMULADA'!$Q$14+'[2]E.P. AGREGADA ACUMULADA'!$Q$16+'[2]E.P. AGREGADA ACUMULADA'!$Q$17</f>
        <v>13462593942</v>
      </c>
      <c r="AM11" s="33">
        <f>'[2]E.P. AGREGADA ACUMULADA'!$R$13+'[2]E.P. AGREGADA ACUMULADA'!$R$14+'[2]E.P. AGREGADA ACUMULADA'!$R$16+'[2]E.P. AGREGADA ACUMULADA'!$R$17</f>
        <v>6731296971</v>
      </c>
      <c r="AN11" s="41">
        <f t="shared" si="9"/>
        <v>7231296971</v>
      </c>
      <c r="AO11" s="29">
        <f>'[2]E.P. AGREGADA ACUMULADA'!$W$13+'[2]E.P. AGREGADA ACUMULADA'!$W$14+'[2]E.P. AGREGADA ACUMULADA'!$W$16+'[2]E.P. AGREGADA ACUMULADA'!$W$17</f>
        <v>7083128797</v>
      </c>
      <c r="AP11" s="43">
        <f t="shared" si="1"/>
        <v>148168174</v>
      </c>
      <c r="AQ11" s="70">
        <f t="shared" ref="AQ11:AQ12" si="21">AO11/AN11</f>
        <v>0.9795101522459656</v>
      </c>
      <c r="AR11" s="36">
        <v>10</v>
      </c>
      <c r="AS11" s="29">
        <f>SUM('[3]E.P. AGREGADA ACUMULADA'!$P$15:$P$16)</f>
        <v>3832000000</v>
      </c>
      <c r="AT11" s="33">
        <f>SUM('[3]E.P. AGREGADA ACUMULADA'!$Q$15:$Q$16)</f>
        <v>60000000000</v>
      </c>
      <c r="AU11" s="33">
        <f>SUM('[3]E.P. AGREGADA ACUMULADA'!$R$15:$R$16)</f>
        <v>45000000000</v>
      </c>
      <c r="AV11" s="41">
        <f t="shared" si="10"/>
        <v>18832000000</v>
      </c>
      <c r="AW11" s="29">
        <f>SUM('[3]E.P. AGREGADA ACUMULADA'!$W$15:$W$16)</f>
        <v>18831883577.43</v>
      </c>
      <c r="AX11" s="43">
        <f t="shared" si="2"/>
        <v>116422.56999969482</v>
      </c>
      <c r="AY11" s="70">
        <f>AW11/AV11</f>
        <v>0.99999381783294394</v>
      </c>
      <c r="AZ11" s="36">
        <v>10</v>
      </c>
      <c r="BA11" s="29">
        <f>'[4]E.P. AGREGADA ACUMULADA'!$Q$12+'[4]E.P. AGREGADA ACUMULADA'!$Q$13+'[4]E.P. AGREGADA ACUMULADA'!$Q$15</f>
        <v>10328000000</v>
      </c>
      <c r="BB11" s="33">
        <f>'[4]E.P. AGREGADA ACUMULADA'!$R$12+'[4]E.P. AGREGADA ACUMULADA'!$R$13+'[4]E.P. AGREGADA ACUMULADA'!$R$15</f>
        <v>676087072</v>
      </c>
      <c r="BC11" s="33">
        <f>'[4]E.P. AGREGADA ACUMULADA'!$S$12+'[4]E.P. AGREGADA ACUMULADA'!$S$13+'[4]E.P. AGREGADA ACUMULADA'!$S$15</f>
        <v>338043536</v>
      </c>
      <c r="BD11" s="41">
        <f>+BA11+BB11-BC11</f>
        <v>10666043536</v>
      </c>
      <c r="BE11" s="29">
        <f>'[4]E.P. AGREGADA ACUMULADA'!$X$13+'[4]E.P. AGREGADA ACUMULADA'!$X$15</f>
        <v>10665808204.719999</v>
      </c>
      <c r="BF11" s="43">
        <f t="shared" si="3"/>
        <v>235331.28000068665</v>
      </c>
      <c r="BG11" s="70">
        <f>BE11/BD11</f>
        <v>0.99997793640357768</v>
      </c>
    </row>
    <row r="12" spans="3:59" ht="15.75" x14ac:dyDescent="0.25">
      <c r="C12" s="18" t="s">
        <v>6</v>
      </c>
      <c r="D12" s="36">
        <v>11</v>
      </c>
      <c r="E12" s="22"/>
      <c r="F12" s="21"/>
      <c r="G12" s="21"/>
      <c r="H12" s="21"/>
      <c r="I12" s="21"/>
      <c r="J12" s="21">
        <f t="shared" si="5"/>
        <v>0</v>
      </c>
      <c r="K12" s="21">
        <v>0</v>
      </c>
      <c r="L12" s="36">
        <v>11</v>
      </c>
      <c r="M12" s="21">
        <v>450000000</v>
      </c>
      <c r="N12" s="21"/>
      <c r="O12" s="21"/>
      <c r="P12" s="66">
        <f>+M12</f>
        <v>450000000</v>
      </c>
      <c r="Q12" s="21">
        <v>363344742</v>
      </c>
      <c r="R12" s="45">
        <f t="shared" si="6"/>
        <v>86655258</v>
      </c>
      <c r="S12" s="55">
        <f t="shared" si="7"/>
        <v>9.2147586504232309E-4</v>
      </c>
      <c r="T12" s="36">
        <v>11</v>
      </c>
      <c r="U12" s="29">
        <v>463500000</v>
      </c>
      <c r="V12" s="33"/>
      <c r="W12" s="33"/>
      <c r="X12" s="41">
        <f>+U12</f>
        <v>463500000</v>
      </c>
      <c r="Y12" s="29">
        <v>463500000</v>
      </c>
      <c r="Z12" s="43">
        <f>+U12-Y12</f>
        <v>0</v>
      </c>
      <c r="AA12" s="70">
        <f t="shared" si="19"/>
        <v>1</v>
      </c>
      <c r="AB12" s="36">
        <v>11</v>
      </c>
      <c r="AC12" s="29">
        <f>SUM('[1]E.P. AGREGADA ACUMULADA'!$P$17)</f>
        <v>463500000</v>
      </c>
      <c r="AD12" s="33">
        <f>SUM('[1]E.P. AGREGADA ACUMULADA'!$Q$17)</f>
        <v>0</v>
      </c>
      <c r="AE12" s="33">
        <f>SUM('[1]E.P. AGREGADA ACUMULADA'!$R$17)</f>
        <v>0</v>
      </c>
      <c r="AF12" s="41">
        <f t="shared" si="8"/>
        <v>463500000</v>
      </c>
      <c r="AG12" s="29">
        <f>SUM('[1]E.P. AGREGADA ACUMULADA'!$W$17)</f>
        <v>463500000</v>
      </c>
      <c r="AH12" s="43">
        <f>+AC12-AG12</f>
        <v>0</v>
      </c>
      <c r="AI12" s="70">
        <f t="shared" si="20"/>
        <v>1</v>
      </c>
      <c r="AJ12" s="36">
        <v>11</v>
      </c>
      <c r="AK12" s="29">
        <f>SUM('[2]E.P. AGREGADA ACUMULADA'!$P$15)</f>
        <v>589143314</v>
      </c>
      <c r="AL12" s="33">
        <f>SUM('[2]E.P. AGREGADA ACUMULADA'!$Q$15)</f>
        <v>0</v>
      </c>
      <c r="AM12" s="33">
        <f>SUM('[2]E.P. AGREGADA ACUMULADA'!$R$15)</f>
        <v>0</v>
      </c>
      <c r="AN12" s="41">
        <f t="shared" si="9"/>
        <v>589143314</v>
      </c>
      <c r="AO12" s="29">
        <f>SUM('[2]E.P. AGREGADA ACUMULADA'!$W$15)</f>
        <v>589143314</v>
      </c>
      <c r="AP12" s="43">
        <f>+AK12-AO12</f>
        <v>0</v>
      </c>
      <c r="AQ12" s="70">
        <f t="shared" si="21"/>
        <v>1</v>
      </c>
      <c r="AR12" s="36">
        <v>11</v>
      </c>
      <c r="AS12" s="29">
        <f>SUM('[3]E.P. AGREGADA ACUMULADA'!$P$13:$P$14)</f>
        <v>589000000</v>
      </c>
      <c r="AT12" s="33">
        <f>'[3]E.P. AGREGADA ACUMULADA'!$Q$13+'[3]E.P. AGREGADA ACUMULADA'!$Q$14+'[3]E.P. AGREGADA ACUMULADA'!$Q$17</f>
        <v>50101902896</v>
      </c>
      <c r="AU12" s="33">
        <f>'[3]E.P. AGREGADA ACUMULADA'!$R$13+'[3]E.P. AGREGADA ACUMULADA'!$R$17</f>
        <v>50050951448</v>
      </c>
      <c r="AV12" s="41">
        <f t="shared" si="10"/>
        <v>639951448</v>
      </c>
      <c r="AW12" s="29">
        <f>'[3]E.P. AGREGADA ACUMULADA'!$W$14+'[3]E.P. AGREGADA ACUMULADA'!$W$17</f>
        <v>639951448</v>
      </c>
      <c r="AX12" s="43">
        <f t="shared" ref="AX12:AX13" si="22">+AV12-AW12</f>
        <v>0</v>
      </c>
      <c r="AY12" s="70">
        <f>AW12/AV12</f>
        <v>1</v>
      </c>
      <c r="AZ12" s="36">
        <v>11</v>
      </c>
      <c r="BA12" s="29">
        <f>SUM('[4]E.P. AGREGADA ACUMULADA'!$Q$14)</f>
        <v>607000000</v>
      </c>
      <c r="BB12" s="33">
        <f>SUM('[4]E.P. AGREGADA ACUMULADA'!$R$14)</f>
        <v>0</v>
      </c>
      <c r="BC12" s="33">
        <f>SUM('[4]E.P. AGREGADA ACUMULADA'!$S$14)</f>
        <v>0</v>
      </c>
      <c r="BD12" s="41">
        <f>+BA12+BB12-BC12</f>
        <v>607000000</v>
      </c>
      <c r="BE12" s="29">
        <f>SUM('[4]E.P. AGREGADA ACUMULADA'!$X$14)</f>
        <v>607000000</v>
      </c>
      <c r="BF12" s="43">
        <f t="shared" si="3"/>
        <v>0</v>
      </c>
      <c r="BG12" s="70">
        <f>BE12/BD12</f>
        <v>1</v>
      </c>
    </row>
    <row r="13" spans="3:59" ht="15.75" x14ac:dyDescent="0.25">
      <c r="C13" s="18" t="s">
        <v>6</v>
      </c>
      <c r="D13" s="36">
        <v>20</v>
      </c>
      <c r="E13" s="22"/>
      <c r="F13" s="21"/>
      <c r="G13" s="21"/>
      <c r="H13" s="21"/>
      <c r="I13" s="21"/>
      <c r="J13" s="21">
        <f>+H13-I13</f>
        <v>0</v>
      </c>
      <c r="K13" s="21">
        <v>0</v>
      </c>
      <c r="L13" s="36">
        <v>20</v>
      </c>
      <c r="M13" s="21"/>
      <c r="N13" s="21"/>
      <c r="O13" s="21"/>
      <c r="P13" s="66"/>
      <c r="Q13" s="21"/>
      <c r="R13" s="45"/>
      <c r="S13" s="55">
        <f t="shared" si="7"/>
        <v>0</v>
      </c>
      <c r="T13" s="36">
        <v>20</v>
      </c>
      <c r="U13" s="29"/>
      <c r="V13" s="33"/>
      <c r="W13" s="33"/>
      <c r="X13" s="41"/>
      <c r="Y13" s="29"/>
      <c r="Z13" s="43"/>
      <c r="AA13" s="70"/>
      <c r="AB13" s="36">
        <v>20</v>
      </c>
      <c r="AC13" s="29">
        <v>0</v>
      </c>
      <c r="AD13" s="33">
        <v>0</v>
      </c>
      <c r="AE13" s="33">
        <v>0</v>
      </c>
      <c r="AF13" s="41">
        <f t="shared" si="8"/>
        <v>0</v>
      </c>
      <c r="AG13" s="29">
        <v>0</v>
      </c>
      <c r="AH13" s="43">
        <v>0</v>
      </c>
      <c r="AI13" s="70">
        <v>0</v>
      </c>
      <c r="AJ13" s="36">
        <v>20</v>
      </c>
      <c r="AK13" s="29">
        <v>0</v>
      </c>
      <c r="AL13" s="33">
        <v>0</v>
      </c>
      <c r="AM13" s="33">
        <v>0</v>
      </c>
      <c r="AN13" s="41">
        <f t="shared" si="9"/>
        <v>0</v>
      </c>
      <c r="AO13" s="29">
        <v>0</v>
      </c>
      <c r="AP13" s="43">
        <v>0</v>
      </c>
      <c r="AQ13" s="70">
        <v>0</v>
      </c>
      <c r="AR13" s="36">
        <v>20</v>
      </c>
      <c r="AS13" s="29">
        <v>0</v>
      </c>
      <c r="AT13" s="33">
        <v>0</v>
      </c>
      <c r="AU13" s="33">
        <v>0</v>
      </c>
      <c r="AV13" s="41">
        <f t="shared" si="10"/>
        <v>0</v>
      </c>
      <c r="AW13" s="29">
        <v>0</v>
      </c>
      <c r="AX13" s="43">
        <f t="shared" si="22"/>
        <v>0</v>
      </c>
      <c r="AY13" s="70">
        <v>0</v>
      </c>
      <c r="AZ13" s="36">
        <v>20</v>
      </c>
      <c r="BA13" s="29">
        <v>0</v>
      </c>
      <c r="BB13" s="33">
        <v>0</v>
      </c>
      <c r="BC13" s="33">
        <v>0</v>
      </c>
      <c r="BD13" s="41">
        <f>+BA13+BB13-BC13</f>
        <v>0</v>
      </c>
      <c r="BE13" s="29">
        <v>0</v>
      </c>
      <c r="BF13" s="43">
        <f t="shared" si="3"/>
        <v>0</v>
      </c>
      <c r="BG13" s="70">
        <v>0</v>
      </c>
    </row>
    <row r="14" spans="3:59" ht="15.75" x14ac:dyDescent="0.25">
      <c r="C14" s="73" t="s">
        <v>28</v>
      </c>
      <c r="D14" s="83"/>
      <c r="E14" s="74"/>
      <c r="F14" s="74"/>
      <c r="G14" s="74"/>
      <c r="H14" s="74"/>
      <c r="I14" s="74"/>
      <c r="J14" s="74"/>
      <c r="K14" s="74"/>
      <c r="L14" s="75"/>
      <c r="M14" s="74"/>
      <c r="N14" s="74"/>
      <c r="O14" s="74"/>
      <c r="P14" s="76"/>
      <c r="Q14" s="74"/>
      <c r="R14" s="77"/>
      <c r="S14" s="78"/>
      <c r="T14" s="75"/>
      <c r="U14" s="79"/>
      <c r="V14" s="79"/>
      <c r="W14" s="79"/>
      <c r="X14" s="80"/>
      <c r="Y14" s="79"/>
      <c r="Z14" s="81"/>
      <c r="AA14" s="82"/>
      <c r="AB14" s="88">
        <v>20</v>
      </c>
      <c r="AC14" s="30">
        <f>SUM('[1]E.P. AGREGADA ACUMULADA'!$P$21)</f>
        <v>0</v>
      </c>
      <c r="AD14" s="30">
        <f>SUM('[1]E.P. AGREGADA ACUMULADA'!$Q$21)</f>
        <v>66937364147</v>
      </c>
      <c r="AE14" s="30">
        <f>SUM('[1]E.P. AGREGADA ACUMULADA'!$R$21)</f>
        <v>0</v>
      </c>
      <c r="AF14" s="32">
        <f t="shared" si="8"/>
        <v>66937364147</v>
      </c>
      <c r="AG14" s="79">
        <f>SUM('[1]E.P. AGREGADA ACUMULADA'!$W$21)</f>
        <v>62113171485.660004</v>
      </c>
      <c r="AH14" s="30">
        <f>AF14-AG14</f>
        <v>4824192661.3399963</v>
      </c>
      <c r="AI14" s="71">
        <f>+AG14/AF14</f>
        <v>0.9279297486117668</v>
      </c>
      <c r="AJ14" s="88">
        <v>20</v>
      </c>
      <c r="AK14" s="30">
        <f>SUM('[2]E.P. AGREGADA ACUMULADA'!$P$18)</f>
        <v>63179939448</v>
      </c>
      <c r="AL14" s="30">
        <f>SUM('[2]E.P. AGREGADA ACUMULADA'!$Q$18)</f>
        <v>8738414300</v>
      </c>
      <c r="AM14" s="30">
        <f>SUM('[2]E.P. AGREGADA ACUMULADA'!$R$18)</f>
        <v>631799394</v>
      </c>
      <c r="AN14" s="32">
        <f t="shared" si="9"/>
        <v>71286554354</v>
      </c>
      <c r="AO14" s="79">
        <f>SUM('[2]E.P. AGREGADA ACUMULADA'!$W$18)</f>
        <v>68458925264.150002</v>
      </c>
      <c r="AP14" s="30">
        <f>AN14-AO14</f>
        <v>2827629089.8499985</v>
      </c>
      <c r="AQ14" s="71">
        <f>+AO14/AN14</f>
        <v>0.96033432790413253</v>
      </c>
      <c r="AR14" s="88">
        <v>20</v>
      </c>
      <c r="AS14" s="30">
        <f>SUM('[3]E.P. AGREGADA ACUMULADA'!$P$18)</f>
        <v>65050000000</v>
      </c>
      <c r="AT14" s="30">
        <f>SUM('[3]E.P. AGREGADA ACUMULADA'!$Q$18)</f>
        <v>25897488671.259998</v>
      </c>
      <c r="AU14" s="30">
        <f>SUM('[3]E.P. AGREGADA ACUMULADA'!$R$18)</f>
        <v>0</v>
      </c>
      <c r="AV14" s="32">
        <f t="shared" si="10"/>
        <v>90947488671.259995</v>
      </c>
      <c r="AW14" s="79">
        <f>SUM('[3]E.P. AGREGADA ACUMULADA'!$W$18)</f>
        <v>90830616325.699997</v>
      </c>
      <c r="AX14" s="30">
        <f>AV14-AW14</f>
        <v>116872345.55999756</v>
      </c>
      <c r="AY14" s="71">
        <f>+AW14/AV14</f>
        <v>0.9987149469736053</v>
      </c>
      <c r="AZ14" s="88">
        <v>20</v>
      </c>
      <c r="BA14" s="30">
        <f>SUM('[4]E.P. AGREGADA ACUMULADA'!$Q$16)</f>
        <v>68303000000</v>
      </c>
      <c r="BB14" s="30">
        <f>SUM('[4]E.P. AGREGADA ACUMULADA'!$R$16)</f>
        <v>17665479647</v>
      </c>
      <c r="BC14" s="30">
        <f>SUM('[4]E.P. AGREGADA ACUMULADA'!$S$16)</f>
        <v>0</v>
      </c>
      <c r="BD14" s="32">
        <f>+BA14+BB14-BC14</f>
        <v>85968479647</v>
      </c>
      <c r="BE14" s="79">
        <f>SUM('[4]E.P. AGREGADA ACUMULADA'!$X$16)</f>
        <v>85804325058</v>
      </c>
      <c r="BF14" s="30">
        <f>BD14-BE14</f>
        <v>164154589</v>
      </c>
      <c r="BG14" s="71">
        <f>+BE14/BD14</f>
        <v>0.99809052585698799</v>
      </c>
    </row>
    <row r="15" spans="3:59" ht="15.75" x14ac:dyDescent="0.25">
      <c r="C15" s="63" t="s">
        <v>7</v>
      </c>
      <c r="D15" s="19"/>
      <c r="E15" s="23">
        <v>0</v>
      </c>
      <c r="F15" s="23">
        <v>0</v>
      </c>
      <c r="G15" s="23">
        <v>0</v>
      </c>
      <c r="H15" s="23">
        <v>0</v>
      </c>
      <c r="I15" s="23"/>
      <c r="J15" s="23"/>
      <c r="K15" s="23">
        <v>0</v>
      </c>
      <c r="L15" s="27"/>
      <c r="M15" s="23">
        <v>3155000000</v>
      </c>
      <c r="N15" s="23"/>
      <c r="O15" s="23"/>
      <c r="P15" s="67">
        <v>3155000000</v>
      </c>
      <c r="Q15" s="23">
        <f>+P15</f>
        <v>3155000000</v>
      </c>
      <c r="R15" s="46">
        <f>+P15-Q15</f>
        <v>0</v>
      </c>
      <c r="S15" s="56">
        <f>+Q15/$P$18</f>
        <v>8.0013717501615286E-3</v>
      </c>
      <c r="T15" s="27"/>
      <c r="U15" s="30">
        <f t="shared" ref="U15" si="23">+U16</f>
        <v>3000000000</v>
      </c>
      <c r="V15" s="30">
        <v>0</v>
      </c>
      <c r="W15" s="30">
        <v>0</v>
      </c>
      <c r="X15" s="32">
        <v>3000000000</v>
      </c>
      <c r="Y15" s="30">
        <v>2999998594</v>
      </c>
      <c r="Z15" s="50">
        <f>+X15-Y15</f>
        <v>1406</v>
      </c>
      <c r="AA15" s="71">
        <f>+Y15/X15</f>
        <v>0.9999995313333333</v>
      </c>
      <c r="AB15" s="88">
        <v>11</v>
      </c>
      <c r="AC15" s="30">
        <f>SUM(AC16:AC17)</f>
        <v>3000000000</v>
      </c>
      <c r="AD15" s="30">
        <f t="shared" ref="AD15:AG15" si="24">SUM(AD16:AD17)</f>
        <v>3000000000</v>
      </c>
      <c r="AE15" s="30">
        <f t="shared" si="24"/>
        <v>3000000000</v>
      </c>
      <c r="AF15" s="30">
        <f t="shared" si="24"/>
        <v>3000000000</v>
      </c>
      <c r="AG15" s="30">
        <f t="shared" si="24"/>
        <v>2999223398</v>
      </c>
      <c r="AH15" s="30">
        <f>AF15-AG15</f>
        <v>776602</v>
      </c>
      <c r="AI15" s="71">
        <f>+AG15/AF15</f>
        <v>0.99974113266666664</v>
      </c>
      <c r="AJ15" s="88">
        <v>11</v>
      </c>
      <c r="AK15" s="30">
        <f>SUM(AK16:AK17)</f>
        <v>3000000000</v>
      </c>
      <c r="AL15" s="30">
        <f t="shared" ref="AL15:AO15" si="25">SUM(AL16:AL17)</f>
        <v>0</v>
      </c>
      <c r="AM15" s="30">
        <f t="shared" si="25"/>
        <v>691848419</v>
      </c>
      <c r="AN15" s="30">
        <f t="shared" si="25"/>
        <v>2308151581</v>
      </c>
      <c r="AO15" s="30">
        <f t="shared" si="25"/>
        <v>2308151581</v>
      </c>
      <c r="AP15" s="30">
        <f>AN15-AO15</f>
        <v>0</v>
      </c>
      <c r="AQ15" s="71">
        <f>+AO15/AN15</f>
        <v>1</v>
      </c>
      <c r="AR15" s="88">
        <v>11</v>
      </c>
      <c r="AS15" s="30">
        <f>SUM(AS16:AS17)</f>
        <v>2309000000</v>
      </c>
      <c r="AT15" s="30">
        <f t="shared" ref="AT15:AW15" si="26">SUM(AT16:AT17)</f>
        <v>0</v>
      </c>
      <c r="AU15" s="30">
        <f t="shared" si="26"/>
        <v>0</v>
      </c>
      <c r="AV15" s="30">
        <f t="shared" si="26"/>
        <v>2309000000</v>
      </c>
      <c r="AW15" s="30">
        <f t="shared" si="26"/>
        <v>2309000000</v>
      </c>
      <c r="AX15" s="30">
        <f>AV15-AW15</f>
        <v>0</v>
      </c>
      <c r="AY15" s="71">
        <f>+AW15/AV15</f>
        <v>1</v>
      </c>
      <c r="AZ15" s="88">
        <v>11</v>
      </c>
      <c r="BA15" s="30">
        <f>SUM(BA16:BA17)</f>
        <v>2000000000</v>
      </c>
      <c r="BB15" s="30">
        <f t="shared" ref="BB15:BD15" si="27">SUM(BB16:BB17)</f>
        <v>0</v>
      </c>
      <c r="BC15" s="30">
        <f t="shared" si="27"/>
        <v>852000000</v>
      </c>
      <c r="BD15" s="30">
        <f t="shared" si="27"/>
        <v>1148000000</v>
      </c>
      <c r="BE15" s="30">
        <f>SUM(BE16:BE17)</f>
        <v>1148000000</v>
      </c>
      <c r="BF15" s="30">
        <f>BD15-BE15</f>
        <v>0</v>
      </c>
      <c r="BG15" s="71">
        <f>+BE15/BD15</f>
        <v>1</v>
      </c>
    </row>
    <row r="16" spans="3:59" s="6" customFormat="1" ht="32.25" thickBot="1" x14ac:dyDescent="0.3">
      <c r="C16" s="61" t="s">
        <v>31</v>
      </c>
      <c r="D16" s="20"/>
      <c r="E16" s="24"/>
      <c r="F16" s="24"/>
      <c r="G16" s="24"/>
      <c r="H16" s="24"/>
      <c r="I16" s="24"/>
      <c r="J16" s="24"/>
      <c r="K16" s="24"/>
      <c r="L16" s="28"/>
      <c r="M16" s="26">
        <v>3155000000</v>
      </c>
      <c r="N16" s="40"/>
      <c r="O16" s="40"/>
      <c r="P16" s="68">
        <f>+[5]Hoja1!$AP$160</f>
        <v>3155000000</v>
      </c>
      <c r="Q16" s="40">
        <f>+P16</f>
        <v>3155000000</v>
      </c>
      <c r="R16" s="47"/>
      <c r="S16" s="39"/>
      <c r="T16" s="28"/>
      <c r="U16" s="31">
        <v>3000000000</v>
      </c>
      <c r="V16" s="28"/>
      <c r="W16" s="28"/>
      <c r="X16" s="42">
        <f>+U16</f>
        <v>3000000000</v>
      </c>
      <c r="Y16" s="44">
        <v>2999998594</v>
      </c>
      <c r="Z16" s="51"/>
      <c r="AA16" s="72"/>
      <c r="AB16" s="89">
        <v>11</v>
      </c>
      <c r="AC16" s="84">
        <f>SUM('[1]E.P. AGREGADA ACUMULADA'!$P$22)</f>
        <v>3000000000</v>
      </c>
      <c r="AD16" s="85">
        <f>SUM('[1]E.P. AGREGADA ACUMULADA'!$Q$22)</f>
        <v>0</v>
      </c>
      <c r="AE16" s="85">
        <f>SUM('[1]E.P. AGREGADA ACUMULADA'!$R$22)</f>
        <v>3000000000</v>
      </c>
      <c r="AF16" s="86">
        <f t="shared" si="8"/>
        <v>0</v>
      </c>
      <c r="AG16" s="44">
        <f>SUM('[1]E.P. AGREGADA ACUMULADA'!$W$22)</f>
        <v>0</v>
      </c>
      <c r="AH16" s="87">
        <f>+AF16-AG16</f>
        <v>0</v>
      </c>
      <c r="AI16" s="70">
        <v>0</v>
      </c>
      <c r="AJ16" s="89">
        <v>11</v>
      </c>
      <c r="AK16" s="84">
        <f>SUM('[2]E.P. AGREGADA ACUMULADA'!$P$19)</f>
        <v>1617048951</v>
      </c>
      <c r="AL16" s="85">
        <f>SUM('[2]E.P. AGREGADA ACUMULADA'!$Q$19)</f>
        <v>0</v>
      </c>
      <c r="AM16" s="85">
        <f>SUM('[2]E.P. AGREGADA ACUMULADA'!$R$19)</f>
        <v>691848419</v>
      </c>
      <c r="AN16" s="86">
        <f t="shared" ref="AN16:AN17" si="28">+AK16+AL16-AM16</f>
        <v>925200532</v>
      </c>
      <c r="AO16" s="44">
        <f>SUM('[2]E.P. AGREGADA ACUMULADA'!$W$19)</f>
        <v>925200532</v>
      </c>
      <c r="AP16" s="87">
        <f>+AN16-AO16</f>
        <v>0</v>
      </c>
      <c r="AQ16" s="70">
        <v>0</v>
      </c>
      <c r="AR16" s="89">
        <v>11</v>
      </c>
      <c r="AS16" s="84">
        <f>SUM('[3]E.P. AGREGADA ACUMULADA'!$P$19)</f>
        <v>1809000000</v>
      </c>
      <c r="AT16" s="85">
        <f>SUM('[3]E.P. AGREGADA ACUMULADA'!$Q$19)</f>
        <v>0</v>
      </c>
      <c r="AU16" s="85">
        <f>SUM('[3]E.P. AGREGADA ACUMULADA'!$R$19)</f>
        <v>0</v>
      </c>
      <c r="AV16" s="86">
        <f t="shared" ref="AV16:AV17" si="29">+AS16+AT16-AU16</f>
        <v>1809000000</v>
      </c>
      <c r="AW16" s="44">
        <f>SUM('[3]E.P. AGREGADA ACUMULADA'!$W$19)</f>
        <v>1809000000</v>
      </c>
      <c r="AX16" s="87">
        <f>+AV16-AW16</f>
        <v>0</v>
      </c>
      <c r="AY16" s="70">
        <v>0</v>
      </c>
      <c r="AZ16" s="89">
        <v>11</v>
      </c>
      <c r="BA16" s="84">
        <f>SUM('[4]E.P. AGREGADA ACUMULADA'!$Q$17)</f>
        <v>968000000</v>
      </c>
      <c r="BB16" s="85">
        <f>SUM('[4]E.P. AGREGADA ACUMULADA'!$R$17)</f>
        <v>0</v>
      </c>
      <c r="BC16" s="85">
        <f>SUM('[4]E.P. AGREGADA ACUMULADA'!$S$17)</f>
        <v>0</v>
      </c>
      <c r="BD16" s="86">
        <f>+BA16+BB16-BC16</f>
        <v>968000000</v>
      </c>
      <c r="BE16" s="44">
        <f>SUM('[4]E.P. AGREGADA ACUMULADA'!$X$17)</f>
        <v>968000000</v>
      </c>
      <c r="BF16" s="87">
        <f>+BD16-BE16</f>
        <v>0</v>
      </c>
      <c r="BG16" s="70">
        <f>BE16/BD16</f>
        <v>1</v>
      </c>
    </row>
    <row r="17" spans="3:59" s="6" customFormat="1" ht="32.25" thickBot="1" x14ac:dyDescent="0.3">
      <c r="C17" s="61" t="s">
        <v>31</v>
      </c>
      <c r="D17" s="20"/>
      <c r="E17" s="24"/>
      <c r="F17" s="24"/>
      <c r="G17" s="24"/>
      <c r="H17" s="24"/>
      <c r="I17" s="24"/>
      <c r="J17" s="24"/>
      <c r="K17" s="24"/>
      <c r="L17" s="28"/>
      <c r="M17" s="26"/>
      <c r="N17" s="40"/>
      <c r="O17" s="40"/>
      <c r="P17" s="68"/>
      <c r="Q17" s="40"/>
      <c r="R17" s="47"/>
      <c r="S17" s="39"/>
      <c r="T17" s="28"/>
      <c r="U17" s="31"/>
      <c r="V17" s="28"/>
      <c r="W17" s="28"/>
      <c r="X17" s="42"/>
      <c r="Y17" s="44"/>
      <c r="Z17" s="51"/>
      <c r="AA17" s="72"/>
      <c r="AB17" s="89">
        <v>11</v>
      </c>
      <c r="AC17" s="84">
        <f>SUM('[1]E.P. AGREGADA ACUMULADA'!$P$23)</f>
        <v>0</v>
      </c>
      <c r="AD17" s="85">
        <f>SUM('[1]E.P. AGREGADA ACUMULADA'!$Q$23)</f>
        <v>3000000000</v>
      </c>
      <c r="AE17" s="85">
        <f>SUM('[1]E.P. AGREGADA ACUMULADA'!$R$23)</f>
        <v>0</v>
      </c>
      <c r="AF17" s="86">
        <f t="shared" si="8"/>
        <v>3000000000</v>
      </c>
      <c r="AG17" s="44">
        <f>SUM('[1]E.P. AGREGADA ACUMULADA'!$W$23)</f>
        <v>2999223398</v>
      </c>
      <c r="AH17" s="87">
        <f>+AF17-AG17</f>
        <v>776602</v>
      </c>
      <c r="AI17" s="70">
        <f t="shared" ref="AI17" si="30">AG17/AF17</f>
        <v>0.99974113266666664</v>
      </c>
      <c r="AJ17" s="89">
        <v>13</v>
      </c>
      <c r="AK17" s="84">
        <f>SUM('[2]E.P. AGREGADA ACUMULADA'!$P$20)</f>
        <v>1382951049</v>
      </c>
      <c r="AL17" s="85">
        <f>SUM('[2]E.P. AGREGADA ACUMULADA'!$Q$20)</f>
        <v>0</v>
      </c>
      <c r="AM17" s="85">
        <f>SUM('[2]E.P. AGREGADA ACUMULADA'!$R$20)</f>
        <v>0</v>
      </c>
      <c r="AN17" s="86">
        <f t="shared" si="28"/>
        <v>1382951049</v>
      </c>
      <c r="AO17" s="44">
        <f>SUM('[2]E.P. AGREGADA ACUMULADA'!$W$20)</f>
        <v>1382951049</v>
      </c>
      <c r="AP17" s="87">
        <f>+AN17-AO17</f>
        <v>0</v>
      </c>
      <c r="AQ17" s="70">
        <f t="shared" ref="AQ17" si="31">AO17/AN17</f>
        <v>1</v>
      </c>
      <c r="AR17" s="89">
        <v>11</v>
      </c>
      <c r="AS17" s="84">
        <f>SUM('[3]E.P. AGREGADA ACUMULADA'!$P$20)</f>
        <v>500000000</v>
      </c>
      <c r="AT17" s="85">
        <f>SUM('[3]E.P. AGREGADA ACUMULADA'!$Q$20)</f>
        <v>0</v>
      </c>
      <c r="AU17" s="85">
        <f>SUM('[3]E.P. AGREGADA ACUMULADA'!$R$20)</f>
        <v>0</v>
      </c>
      <c r="AV17" s="86">
        <f t="shared" si="29"/>
        <v>500000000</v>
      </c>
      <c r="AW17" s="44">
        <f>SUM('[3]E.P. AGREGADA ACUMULADA'!$W$20)</f>
        <v>500000000</v>
      </c>
      <c r="AX17" s="87">
        <f>+AV17-AW17</f>
        <v>0</v>
      </c>
      <c r="AY17" s="70">
        <f>AW17/AV17</f>
        <v>1</v>
      </c>
      <c r="AZ17" s="89">
        <v>11</v>
      </c>
      <c r="BA17" s="84">
        <f>SUM('[4]E.P. AGREGADA ACUMULADA'!$Q$18)</f>
        <v>1032000000</v>
      </c>
      <c r="BB17" s="85">
        <f>SUM('[4]E.P. AGREGADA ACUMULADA'!$R$18)</f>
        <v>0</v>
      </c>
      <c r="BC17" s="85">
        <f>SUM('[4]E.P. AGREGADA ACUMULADA'!$S$18)</f>
        <v>852000000</v>
      </c>
      <c r="BD17" s="86">
        <f>+BA17+BB17-BC17</f>
        <v>180000000</v>
      </c>
      <c r="BE17" s="44">
        <f>SUM('[4]E.P. AGREGADA ACUMULADA'!$X$18)</f>
        <v>180000000</v>
      </c>
      <c r="BF17" s="87">
        <f>+BD17-BE17</f>
        <v>0</v>
      </c>
      <c r="BG17" s="70">
        <f>BE17/BD17</f>
        <v>1</v>
      </c>
    </row>
    <row r="18" spans="3:59" ht="47.25" customHeight="1" thickBot="1" x14ac:dyDescent="0.3">
      <c r="C18" s="62" t="s">
        <v>8</v>
      </c>
      <c r="D18" s="35"/>
      <c r="E18" s="57">
        <f>E6+E7+E8+E9+E10+E11+E12+E13</f>
        <v>195381282000</v>
      </c>
      <c r="F18" s="58">
        <f>+F6+F7+F8+F9+F11</f>
        <v>89419585800</v>
      </c>
      <c r="G18" s="59">
        <f>+SUM(G6:G11)</f>
        <v>44320000000</v>
      </c>
      <c r="H18" s="58">
        <f>E18+F18-G18</f>
        <v>240480867800</v>
      </c>
      <c r="I18" s="59">
        <f>+I6+I7+I8+I9+I10+I11+I12+I13</f>
        <v>240389809806.89999</v>
      </c>
      <c r="J18" s="59">
        <f>+H18-I18</f>
        <v>91057993.100006104</v>
      </c>
      <c r="K18" s="60">
        <f>+SUM(K6:K9)</f>
        <v>0.99962135036382294</v>
      </c>
      <c r="L18" s="12"/>
      <c r="M18" s="13">
        <f>M6+M7+M8+M10+M11+M12+M15</f>
        <v>245489631489</v>
      </c>
      <c r="N18" s="13">
        <f>N6+N7+N8+N9+N10+N11+N12+N13</f>
        <v>185556464400.47998</v>
      </c>
      <c r="O18" s="13">
        <f>+O6+O11</f>
        <v>36738707292.480003</v>
      </c>
      <c r="P18" s="12">
        <f>M18+N18-O18</f>
        <v>394307388597</v>
      </c>
      <c r="Q18" s="11">
        <f>+Q6+Q7+Q8+Q9+Q10+Q12+Q16</f>
        <v>387894254856.69995</v>
      </c>
      <c r="R18" s="11">
        <f>+P18-Q18</f>
        <v>6413133740.3000488</v>
      </c>
      <c r="S18" s="14">
        <f>+SUM(S6:S16)</f>
        <v>0.98373569979726017</v>
      </c>
      <c r="T18" s="11"/>
      <c r="U18" s="59">
        <f>+U6+U7+U8+U10+U11+U12+U16</f>
        <v>386375152284</v>
      </c>
      <c r="V18" s="64">
        <f>SUM(V6:V13)</f>
        <v>163252134875.39999</v>
      </c>
      <c r="W18" s="59">
        <f>+SUM(W6:W13)</f>
        <v>70802876537</v>
      </c>
      <c r="X18" s="58">
        <f>+U18+V18-W18</f>
        <v>478824410622.40002</v>
      </c>
      <c r="Y18" s="59">
        <f>+SUM(Y6:Y15)</f>
        <v>461531960500.81</v>
      </c>
      <c r="Z18" s="57">
        <f>+X18-Y18</f>
        <v>17292450121.590027</v>
      </c>
      <c r="AA18" s="65">
        <f>+Y18/X18</f>
        <v>0.96388561289280883</v>
      </c>
      <c r="AB18" s="11"/>
      <c r="AC18" s="59">
        <f>+AC6+AC7+AC8+AC10+AC11+AC12+AC14+AC15</f>
        <v>371251855905</v>
      </c>
      <c r="AD18" s="59">
        <f t="shared" ref="AD18:AH18" si="32">+AD6+AD7+AD8+AD10+AD11+AD12+AD14+AD15</f>
        <v>178593153897</v>
      </c>
      <c r="AE18" s="59">
        <f t="shared" si="32"/>
        <v>59064099268</v>
      </c>
      <c r="AF18" s="59">
        <f t="shared" si="32"/>
        <v>490780910534</v>
      </c>
      <c r="AG18" s="59">
        <f t="shared" si="32"/>
        <v>465905407056.41003</v>
      </c>
      <c r="AH18" s="59">
        <f t="shared" si="32"/>
        <v>24875503477.589966</v>
      </c>
      <c r="AI18" s="65">
        <f>+AG18/AF18</f>
        <v>0.94931444368827655</v>
      </c>
      <c r="AJ18" s="11"/>
      <c r="AK18" s="59">
        <f>+AK6+AK7+AK8+AK10+AK11+AK12+AK14+AK15</f>
        <v>477189531194</v>
      </c>
      <c r="AL18" s="59">
        <f t="shared" ref="AL18:AP18" si="33">+AL6+AL7+AL8+AL10+AL11+AL12+AL14+AL15</f>
        <v>24052631854.380001</v>
      </c>
      <c r="AM18" s="59">
        <f t="shared" si="33"/>
        <v>10000123770.380001</v>
      </c>
      <c r="AN18" s="59">
        <f t="shared" si="33"/>
        <v>491242039278</v>
      </c>
      <c r="AO18" s="59">
        <f t="shared" si="33"/>
        <v>487473182505.21997</v>
      </c>
      <c r="AP18" s="59">
        <f t="shared" si="33"/>
        <v>3768856772.7800293</v>
      </c>
      <c r="AQ18" s="90">
        <f>+AO18/AN18</f>
        <v>0.99232790259905423</v>
      </c>
      <c r="AR18" s="11"/>
      <c r="AS18" s="59">
        <f>+AS6+AS7+AS8+AS10+AS11+AS12+AS14+AS15</f>
        <v>443105000000</v>
      </c>
      <c r="AT18" s="59">
        <f>+AT6+AT7+AT8+AT9+AT10+AT11+AT12+AT14+AT15</f>
        <v>289168793339.26001</v>
      </c>
      <c r="AU18" s="59">
        <f>+AU6+AU7+AU8+AU9+AU10+AU11+AU12+AU14+AU15</f>
        <v>98271304668</v>
      </c>
      <c r="AV18" s="59">
        <f>+AV6+AV7+AV8+AV9+AV10+AV11+AV12+AV14+AV15</f>
        <v>634002488671.26001</v>
      </c>
      <c r="AW18" s="59">
        <f>+AW6+AW7+AW8+AW9+AW10+AW11+AW12+AW14+AW15</f>
        <v>629142621497.18994</v>
      </c>
      <c r="AX18" s="59">
        <f>+AX6+AX7+AX8+AX9+AX10+AX11+AX12+AX14+AX15</f>
        <v>4859867174.0700073</v>
      </c>
      <c r="AY18" s="90">
        <f>+AW18/AV18</f>
        <v>0.99233462445193965</v>
      </c>
      <c r="AZ18" s="11"/>
      <c r="BA18" s="59">
        <f>+BA6+BA7+BA8+BA10+BA11+BA12+BA14+BA15</f>
        <v>549743000000</v>
      </c>
      <c r="BB18" s="59">
        <f>+BB6+BB7+BB8+BB9+BB10+BB11+BB12+BB14+BB15</f>
        <v>299717566719</v>
      </c>
      <c r="BC18" s="59">
        <f>+BC6+BC7+BC8+BC9+BC10+BC11+BC12+BC14+BC15</f>
        <v>19096696476</v>
      </c>
      <c r="BD18" s="59">
        <f>+BD6+BD7+BD8+BD9+BD10+BD11+BD12+BD14+BD15</f>
        <v>830363870243</v>
      </c>
      <c r="BE18" s="59">
        <f>+BE6+BE7+BE8+BE9+BE10+BE11+BE12+BE14+BE15</f>
        <v>817779217812.13013</v>
      </c>
      <c r="BF18" s="59">
        <f>+BF6+BF7+BF8+BF9+BF10+BF11+BF12+BF14+BF15</f>
        <v>12584652430.869905</v>
      </c>
      <c r="BG18" s="90">
        <f>+BE18/BD18</f>
        <v>0.98484441233312925</v>
      </c>
    </row>
    <row r="19" spans="3:59" x14ac:dyDescent="0.25">
      <c r="C19" t="s">
        <v>9</v>
      </c>
      <c r="P19" s="3"/>
      <c r="Q19" s="3"/>
      <c r="R19" s="3"/>
      <c r="U19" s="4"/>
      <c r="X19" s="7"/>
      <c r="Y19" s="7"/>
      <c r="Z19" s="7"/>
      <c r="AA19" s="7"/>
      <c r="AC19" s="3"/>
      <c r="AD19" s="3"/>
      <c r="AH19" s="3"/>
      <c r="AO19" s="3"/>
      <c r="AP19" s="3"/>
    </row>
    <row r="20" spans="3:59" x14ac:dyDescent="0.25">
      <c r="J20" s="48"/>
      <c r="M20" s="3"/>
      <c r="N20" s="3"/>
      <c r="P20" s="4"/>
      <c r="Q20" s="10"/>
      <c r="R20" s="10"/>
      <c r="S20" s="8"/>
      <c r="U20" s="4"/>
      <c r="V20" s="7"/>
      <c r="W20" s="7"/>
      <c r="X20" s="3"/>
      <c r="Y20" s="48"/>
      <c r="Z20"/>
      <c r="AA20"/>
      <c r="AH20" s="3"/>
    </row>
    <row r="21" spans="3:59" x14ac:dyDescent="0.25">
      <c r="I21" s="3"/>
      <c r="J21" s="3"/>
      <c r="P21" s="3"/>
      <c r="Q21" s="3"/>
      <c r="R21" s="3"/>
      <c r="U21" s="9"/>
      <c r="X21" s="52"/>
      <c r="Y21" s="52"/>
      <c r="Z21" s="7"/>
      <c r="AA21" s="7"/>
    </row>
    <row r="22" spans="3:59" x14ac:dyDescent="0.25">
      <c r="H22" s="3"/>
      <c r="J22" s="49"/>
      <c r="M22" s="2"/>
      <c r="N22" s="2"/>
      <c r="O22" s="2"/>
      <c r="P22" s="3"/>
      <c r="Q22" s="3"/>
      <c r="R22" s="3"/>
      <c r="T22" s="5"/>
      <c r="U22" s="2"/>
      <c r="V22" s="5"/>
      <c r="W22" s="5"/>
      <c r="X22" s="5"/>
      <c r="Y22" s="5"/>
      <c r="Z22" s="5"/>
      <c r="AA22"/>
    </row>
    <row r="23" spans="3:59" x14ac:dyDescent="0.25">
      <c r="E23" s="1"/>
      <c r="F23" s="1"/>
      <c r="G23" s="1"/>
      <c r="I23" s="3"/>
      <c r="J23" s="3"/>
      <c r="P23" s="3"/>
      <c r="Q23" s="3"/>
      <c r="R23" s="3"/>
      <c r="U23" s="1"/>
      <c r="X23" s="8"/>
      <c r="Y23" s="8"/>
      <c r="Z23" s="8"/>
      <c r="AA23"/>
    </row>
    <row r="24" spans="3:59" x14ac:dyDescent="0.25">
      <c r="AA24"/>
    </row>
    <row r="25" spans="3:59" x14ac:dyDescent="0.25">
      <c r="AA25"/>
    </row>
    <row r="26" spans="3:59" x14ac:dyDescent="0.25">
      <c r="AA26"/>
    </row>
    <row r="27" spans="3:59" x14ac:dyDescent="0.25">
      <c r="AA27"/>
    </row>
    <row r="28" spans="3:59" x14ac:dyDescent="0.25">
      <c r="AA28"/>
    </row>
    <row r="29" spans="3:59" x14ac:dyDescent="0.25">
      <c r="AA29"/>
    </row>
    <row r="30" spans="3:59" x14ac:dyDescent="0.25">
      <c r="AA30"/>
    </row>
    <row r="31" spans="3:59" x14ac:dyDescent="0.25">
      <c r="AA31"/>
    </row>
    <row r="32" spans="3:59" x14ac:dyDescent="0.25">
      <c r="AA32"/>
    </row>
    <row r="33" spans="27:27" x14ac:dyDescent="0.25">
      <c r="AA33"/>
    </row>
    <row r="34" spans="27:27" x14ac:dyDescent="0.25">
      <c r="AA34"/>
    </row>
    <row r="35" spans="27:27" x14ac:dyDescent="0.25">
      <c r="AA35"/>
    </row>
    <row r="36" spans="27:27" x14ac:dyDescent="0.25">
      <c r="AA36"/>
    </row>
    <row r="37" spans="27:27" x14ac:dyDescent="0.25">
      <c r="AA37"/>
    </row>
    <row r="38" spans="27:27" x14ac:dyDescent="0.25">
      <c r="AA38"/>
    </row>
    <row r="39" spans="27:27" x14ac:dyDescent="0.25">
      <c r="AA39"/>
    </row>
    <row r="40" spans="27:27" x14ac:dyDescent="0.25">
      <c r="AA40"/>
    </row>
    <row r="41" spans="27:27" x14ac:dyDescent="0.25">
      <c r="AA41"/>
    </row>
    <row r="42" spans="27:27" x14ac:dyDescent="0.25">
      <c r="AA42"/>
    </row>
  </sheetData>
  <mergeCells count="7">
    <mergeCell ref="AZ4:BG4"/>
    <mergeCell ref="AR4:AY4"/>
    <mergeCell ref="D4:K4"/>
    <mergeCell ref="L4:S4"/>
    <mergeCell ref="T4:AA4"/>
    <mergeCell ref="AB4:AI4"/>
    <mergeCell ref="AJ4:AQ4"/>
  </mergeCells>
  <pageMargins left="0.70866141732283472" right="0.70866141732283472" top="0.74803149606299213" bottom="0.74803149606299213" header="0.31496062992125984" footer="0.31496062992125984"/>
  <pageSetup scale="60" fitToHeight="0" orientation="landscape" horizontalDpi="4294967294" verticalDpi="4294967294" r:id="rId1"/>
  <ignoredErrors>
    <ignoredError sqref="X11 AA9 AA7" formula="1"/>
    <ignoredError sqref="Y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N32"/>
  <sheetViews>
    <sheetView showGridLines="0" tabSelected="1" topLeftCell="B4" zoomScale="79" zoomScaleNormal="79" zoomScaleSheetLayoutView="62" workbookViewId="0">
      <pane xSplit="2" ySplit="2" topLeftCell="D6" activePane="bottomRight" state="frozen"/>
      <selection activeCell="B4" sqref="B4"/>
      <selection pane="topRight" activeCell="D4" sqref="D4"/>
      <selection pane="bottomLeft" activeCell="B6" sqref="B6"/>
      <selection pane="bottomRight" activeCell="A5" sqref="A5"/>
    </sheetView>
  </sheetViews>
  <sheetFormatPr baseColWidth="10" defaultRowHeight="15" x14ac:dyDescent="0.25"/>
  <cols>
    <col min="2" max="2" width="36.42578125" customWidth="1"/>
    <col min="3" max="3" width="11.140625" bestFit="1" customWidth="1"/>
    <col min="4" max="4" width="20.28515625" bestFit="1" customWidth="1"/>
    <col min="5" max="5" width="19.85546875" bestFit="1" customWidth="1"/>
    <col min="6" max="6" width="21.42578125" bestFit="1" customWidth="1"/>
    <col min="7" max="7" width="20.28515625" customWidth="1"/>
    <col min="8" max="8" width="21.5703125" customWidth="1"/>
    <col min="9" max="9" width="22.140625" customWidth="1"/>
    <col min="10" max="10" width="18.5703125" customWidth="1"/>
    <col min="11" max="11" width="20.28515625" bestFit="1" customWidth="1"/>
    <col min="12" max="13" width="19.85546875" bestFit="1" customWidth="1"/>
    <col min="14" max="15" width="21.42578125" bestFit="1" customWidth="1"/>
    <col min="16" max="16" width="20.28515625" bestFit="1" customWidth="1"/>
    <col min="17" max="17" width="12.42578125" bestFit="1" customWidth="1"/>
    <col min="18" max="18" width="21.42578125" bestFit="1" customWidth="1"/>
    <col min="19" max="19" width="19.85546875" bestFit="1" customWidth="1"/>
    <col min="20" max="20" width="18.7109375" bestFit="1" customWidth="1"/>
    <col min="21" max="22" width="21.42578125" bestFit="1" customWidth="1"/>
    <col min="23" max="23" width="18.7109375" bestFit="1" customWidth="1"/>
    <col min="24" max="24" width="12.42578125" bestFit="1" customWidth="1"/>
    <col min="25" max="25" width="36.42578125" customWidth="1"/>
    <col min="26" max="26" width="21.42578125" bestFit="1" customWidth="1"/>
    <col min="27" max="27" width="19.85546875" bestFit="1" customWidth="1"/>
    <col min="28" max="28" width="19.140625" bestFit="1" customWidth="1"/>
    <col min="29" max="29" width="21.42578125" bestFit="1" customWidth="1"/>
    <col min="30" max="30" width="21.42578125" customWidth="1"/>
    <col min="31" max="31" width="21" bestFit="1" customWidth="1"/>
    <col min="32" max="32" width="12.42578125" bestFit="1" customWidth="1"/>
    <col min="33" max="33" width="21.42578125" bestFit="1" customWidth="1"/>
    <col min="34" max="34" width="19.85546875" bestFit="1" customWidth="1"/>
    <col min="35" max="35" width="20.28515625" bestFit="1" customWidth="1"/>
    <col min="36" max="37" width="21.85546875" bestFit="1" customWidth="1"/>
    <col min="38" max="38" width="19.140625" bestFit="1" customWidth="1"/>
    <col min="39" max="39" width="12.42578125" bestFit="1" customWidth="1"/>
  </cols>
  <sheetData>
    <row r="3" spans="2:40" ht="58.5" customHeight="1" thickBot="1" x14ac:dyDescent="0.3"/>
    <row r="4" spans="2:40" ht="28.5" customHeight="1" thickBot="1" x14ac:dyDescent="0.3">
      <c r="B4" s="34"/>
      <c r="C4" s="92" t="s">
        <v>39</v>
      </c>
      <c r="D4" s="93"/>
      <c r="E4" s="93"/>
      <c r="F4" s="93"/>
      <c r="G4" s="93"/>
      <c r="H4" s="93"/>
      <c r="I4" s="93"/>
      <c r="J4" s="94"/>
      <c r="K4" s="93" t="s">
        <v>50</v>
      </c>
      <c r="L4" s="93"/>
      <c r="M4" s="93"/>
      <c r="N4" s="93"/>
      <c r="O4" s="93"/>
      <c r="P4" s="93"/>
      <c r="Q4" s="94"/>
      <c r="R4" s="93" t="s">
        <v>54</v>
      </c>
      <c r="S4" s="93"/>
      <c r="T4" s="93"/>
      <c r="U4" s="93"/>
      <c r="V4" s="93"/>
      <c r="W4" s="93"/>
      <c r="X4" s="94"/>
      <c r="Y4" s="34"/>
      <c r="Z4" s="93" t="s">
        <v>58</v>
      </c>
      <c r="AA4" s="93"/>
      <c r="AB4" s="93"/>
      <c r="AC4" s="93"/>
      <c r="AD4" s="93"/>
      <c r="AE4" s="93"/>
      <c r="AF4" s="94"/>
      <c r="AG4" s="93" t="s">
        <v>65</v>
      </c>
      <c r="AH4" s="93"/>
      <c r="AI4" s="93"/>
      <c r="AJ4" s="93"/>
      <c r="AK4" s="93"/>
      <c r="AL4" s="93"/>
      <c r="AM4" s="94"/>
    </row>
    <row r="5" spans="2:40" ht="95.25" thickBot="1" x14ac:dyDescent="0.3">
      <c r="B5" s="15" t="s">
        <v>0</v>
      </c>
      <c r="C5" s="17" t="s">
        <v>15</v>
      </c>
      <c r="D5" s="15" t="s">
        <v>40</v>
      </c>
      <c r="E5" s="15" t="s">
        <v>10</v>
      </c>
      <c r="F5" s="15" t="s">
        <v>11</v>
      </c>
      <c r="G5" s="15" t="s">
        <v>41</v>
      </c>
      <c r="H5" s="15" t="s">
        <v>21</v>
      </c>
      <c r="I5" s="17" t="s">
        <v>22</v>
      </c>
      <c r="J5" s="15" t="s">
        <v>23</v>
      </c>
      <c r="K5" s="15" t="s">
        <v>48</v>
      </c>
      <c r="L5" s="15" t="s">
        <v>10</v>
      </c>
      <c r="M5" s="15" t="s">
        <v>11</v>
      </c>
      <c r="N5" s="15" t="s">
        <v>49</v>
      </c>
      <c r="O5" s="15" t="s">
        <v>21</v>
      </c>
      <c r="P5" s="17" t="s">
        <v>22</v>
      </c>
      <c r="Q5" s="15" t="s">
        <v>23</v>
      </c>
      <c r="R5" s="15" t="s">
        <v>55</v>
      </c>
      <c r="S5" s="15" t="s">
        <v>10</v>
      </c>
      <c r="T5" s="15" t="s">
        <v>11</v>
      </c>
      <c r="U5" s="15" t="s">
        <v>56</v>
      </c>
      <c r="V5" s="15" t="s">
        <v>21</v>
      </c>
      <c r="W5" s="17" t="s">
        <v>22</v>
      </c>
      <c r="X5" s="15" t="s">
        <v>23</v>
      </c>
      <c r="Y5" s="15" t="s">
        <v>0</v>
      </c>
      <c r="Z5" s="15" t="s">
        <v>59</v>
      </c>
      <c r="AA5" s="15" t="s">
        <v>10</v>
      </c>
      <c r="AB5" s="15" t="s">
        <v>11</v>
      </c>
      <c r="AC5" s="15" t="s">
        <v>60</v>
      </c>
      <c r="AD5" s="15" t="s">
        <v>21</v>
      </c>
      <c r="AE5" s="17" t="s">
        <v>22</v>
      </c>
      <c r="AF5" s="15" t="s">
        <v>23</v>
      </c>
      <c r="AG5" s="15" t="s">
        <v>66</v>
      </c>
      <c r="AH5" s="15" t="s">
        <v>10</v>
      </c>
      <c r="AI5" s="15" t="s">
        <v>11</v>
      </c>
      <c r="AJ5" s="15" t="s">
        <v>67</v>
      </c>
      <c r="AK5" s="15" t="s">
        <v>21</v>
      </c>
      <c r="AL5" s="17" t="s">
        <v>22</v>
      </c>
      <c r="AM5" s="15" t="s">
        <v>23</v>
      </c>
    </row>
    <row r="6" spans="2:40" ht="15.75" x14ac:dyDescent="0.25">
      <c r="B6" s="18" t="s">
        <v>3</v>
      </c>
      <c r="C6" s="111">
        <v>10</v>
      </c>
      <c r="D6" s="37">
        <v>99482000000</v>
      </c>
      <c r="E6" s="37">
        <v>4938931581</v>
      </c>
      <c r="F6" s="21">
        <v>17568796222</v>
      </c>
      <c r="G6" s="21">
        <f>+D6+E6-F6</f>
        <v>86852135359</v>
      </c>
      <c r="H6" s="21">
        <v>86842599593.080002</v>
      </c>
      <c r="I6" s="21">
        <f>+G6-H6</f>
        <v>9535765.9199981689</v>
      </c>
      <c r="J6" s="54">
        <f>+H6/G6</f>
        <v>0.99989020689151065</v>
      </c>
      <c r="K6" s="37">
        <v>96997500000</v>
      </c>
      <c r="L6" s="37">
        <v>3777000000</v>
      </c>
      <c r="M6" s="21">
        <v>3777000000</v>
      </c>
      <c r="N6" s="21">
        <v>96997500000</v>
      </c>
      <c r="O6" s="21">
        <v>93409284701.630005</v>
      </c>
      <c r="P6" s="21">
        <f>+N6-O6</f>
        <v>3588215298.3699951</v>
      </c>
      <c r="Q6" s="54">
        <f>+O6/N6</f>
        <v>0.96300713628320322</v>
      </c>
      <c r="R6" s="37">
        <v>105238400000</v>
      </c>
      <c r="S6" s="37">
        <v>1205000000</v>
      </c>
      <c r="T6" s="21">
        <v>4505000000</v>
      </c>
      <c r="U6" s="21">
        <f t="shared" ref="U6:U15" si="0">+R6+S6-T6</f>
        <v>101938400000</v>
      </c>
      <c r="V6" s="21">
        <v>96134004317.050003</v>
      </c>
      <c r="W6" s="21">
        <f>+U6-V6</f>
        <v>5804395682.9499969</v>
      </c>
      <c r="X6" s="54">
        <f>+V6/U6</f>
        <v>0.94305977253959261</v>
      </c>
      <c r="Y6" s="18" t="s">
        <v>3</v>
      </c>
      <c r="Z6" s="37">
        <v>105238400000</v>
      </c>
      <c r="AA6" s="37">
        <v>1918400000</v>
      </c>
      <c r="AB6" s="21">
        <v>826000000</v>
      </c>
      <c r="AC6" s="21">
        <f t="shared" ref="AC6:AC24" si="1">+Z6+AA6-AB6</f>
        <v>106330800000</v>
      </c>
      <c r="AD6" s="21">
        <v>103210629701.75999</v>
      </c>
      <c r="AE6" s="21">
        <f>+AC6-AD6</f>
        <v>3120170298.2400055</v>
      </c>
      <c r="AF6" s="54">
        <f>+AD6/AC6</f>
        <v>0.97065600655463891</v>
      </c>
      <c r="AG6" s="37">
        <v>106184600000</v>
      </c>
      <c r="AH6" s="37">
        <v>11363000000</v>
      </c>
      <c r="AI6" s="21">
        <v>320000000</v>
      </c>
      <c r="AJ6" s="21">
        <f t="shared" ref="AJ6:AJ24" si="2">+AG6+AH6-AI6</f>
        <v>117227600000</v>
      </c>
      <c r="AK6" s="21">
        <v>115441265551.74001</v>
      </c>
      <c r="AL6" s="21">
        <f>+AJ6-AK6</f>
        <v>1786334448.2599945</v>
      </c>
      <c r="AM6" s="54">
        <f>+AK6/AJ6</f>
        <v>0.98476182700780368</v>
      </c>
    </row>
    <row r="7" spans="2:40" ht="31.5" x14ac:dyDescent="0.25">
      <c r="B7" s="18" t="s">
        <v>42</v>
      </c>
      <c r="C7" s="111">
        <v>10</v>
      </c>
      <c r="D7" s="37">
        <v>6308000000</v>
      </c>
      <c r="E7" s="37">
        <v>0</v>
      </c>
      <c r="F7" s="21">
        <v>2936819943</v>
      </c>
      <c r="G7" s="21">
        <f>+D7+E7-F7</f>
        <v>3371180057</v>
      </c>
      <c r="H7" s="21">
        <v>3219896026.0999999</v>
      </c>
      <c r="I7" s="21">
        <f t="shared" ref="I7:I20" si="3">+G7-H7</f>
        <v>151284030.9000001</v>
      </c>
      <c r="J7" s="54">
        <f>+H7/G7</f>
        <v>0.95512431008071785</v>
      </c>
      <c r="K7" s="37">
        <v>6497300000</v>
      </c>
      <c r="L7" s="37">
        <v>0</v>
      </c>
      <c r="M7" s="21">
        <v>3048274014</v>
      </c>
      <c r="N7" s="21">
        <v>3449025986</v>
      </c>
      <c r="O7" s="21">
        <v>2469920273</v>
      </c>
      <c r="P7" s="21">
        <f t="shared" ref="P7:P14" si="4">+N7-O7</f>
        <v>979105713</v>
      </c>
      <c r="Q7" s="54">
        <f>+O7/N7</f>
        <v>0.71612109709398986</v>
      </c>
      <c r="R7" s="37">
        <v>3913000000</v>
      </c>
      <c r="S7" s="37">
        <v>514578602</v>
      </c>
      <c r="T7" s="21">
        <v>368321542</v>
      </c>
      <c r="U7" s="21">
        <f t="shared" si="0"/>
        <v>4059257060</v>
      </c>
      <c r="V7" s="21">
        <v>3691701548.1199999</v>
      </c>
      <c r="W7" s="21">
        <f t="shared" ref="W7:W15" si="5">+U7-V7</f>
        <v>367555511.88000011</v>
      </c>
      <c r="X7" s="54">
        <f>+V7/U7</f>
        <v>0.90945251644644542</v>
      </c>
      <c r="Y7" s="101" t="s">
        <v>61</v>
      </c>
      <c r="Z7" s="103">
        <v>983673700000</v>
      </c>
      <c r="AA7" s="103">
        <v>271025501741</v>
      </c>
      <c r="AB7" s="104">
        <v>1261224468</v>
      </c>
      <c r="AC7" s="104">
        <f t="shared" si="1"/>
        <v>1253437977273</v>
      </c>
      <c r="AD7" s="104">
        <v>1240694157291.9199</v>
      </c>
      <c r="AE7" s="104">
        <f t="shared" ref="AE7:AE16" si="6">+AC7-AD7</f>
        <v>12743819981.080078</v>
      </c>
      <c r="AF7" s="105">
        <f>+AD7/AC7</f>
        <v>0.98983290740176411</v>
      </c>
      <c r="AG7" s="103">
        <v>1403080000000</v>
      </c>
      <c r="AH7" s="103">
        <v>233724103964</v>
      </c>
      <c r="AI7" s="104">
        <v>3811736752</v>
      </c>
      <c r="AJ7" s="104">
        <f t="shared" si="2"/>
        <v>1632992367212</v>
      </c>
      <c r="AK7" s="104">
        <v>1610188898815.4199</v>
      </c>
      <c r="AL7" s="104">
        <f t="shared" ref="AL7:AL16" si="7">+AJ7-AK7</f>
        <v>22803468396.580078</v>
      </c>
      <c r="AM7" s="105">
        <f>+AK7/AJ7</f>
        <v>0.98603577772043582</v>
      </c>
    </row>
    <row r="8" spans="2:40" ht="31.5" x14ac:dyDescent="0.25">
      <c r="B8" s="18" t="s">
        <v>43</v>
      </c>
      <c r="C8" s="111">
        <v>10</v>
      </c>
      <c r="D8" s="21">
        <v>490915000000</v>
      </c>
      <c r="E8" s="37">
        <v>277660528096</v>
      </c>
      <c r="F8" s="21">
        <v>25343011900</v>
      </c>
      <c r="G8" s="21">
        <f t="shared" ref="G8:G22" si="8">+D8+E8-F8</f>
        <v>743232516196</v>
      </c>
      <c r="H8" s="21">
        <v>743218705711.66003</v>
      </c>
      <c r="I8" s="21">
        <f t="shared" si="3"/>
        <v>13810484.33996582</v>
      </c>
      <c r="J8" s="54">
        <f>+H8/G8</f>
        <v>0.99998141835288556</v>
      </c>
      <c r="K8" s="21">
        <v>635373500000</v>
      </c>
      <c r="L8" s="37">
        <v>154174068021</v>
      </c>
      <c r="M8" s="21">
        <v>3922000000</v>
      </c>
      <c r="N8" s="21">
        <v>785625568021</v>
      </c>
      <c r="O8" s="21">
        <v>776443618200.25</v>
      </c>
      <c r="P8" s="21">
        <f t="shared" si="4"/>
        <v>9181949820.75</v>
      </c>
      <c r="Q8" s="54">
        <f>+O8/N8</f>
        <v>0.98831256237767384</v>
      </c>
      <c r="R8" s="21">
        <v>704626200000</v>
      </c>
      <c r="S8" s="37">
        <v>268262483145</v>
      </c>
      <c r="T8" s="21">
        <v>0</v>
      </c>
      <c r="U8" s="21">
        <f t="shared" si="0"/>
        <v>972888683145</v>
      </c>
      <c r="V8" s="21">
        <v>962373897099.95996</v>
      </c>
      <c r="W8" s="21">
        <f t="shared" si="5"/>
        <v>10514786045.040039</v>
      </c>
      <c r="X8" s="54">
        <f>+V8/U8</f>
        <v>0.98919220027202959</v>
      </c>
      <c r="Y8" s="102"/>
      <c r="Z8" s="106"/>
      <c r="AA8" s="106"/>
      <c r="AB8" s="107"/>
      <c r="AC8" s="107"/>
      <c r="AD8" s="107"/>
      <c r="AE8" s="107"/>
      <c r="AF8" s="108"/>
      <c r="AG8" s="106"/>
      <c r="AH8" s="106"/>
      <c r="AI8" s="107"/>
      <c r="AJ8" s="107"/>
      <c r="AK8" s="107"/>
      <c r="AL8" s="107"/>
      <c r="AM8" s="108"/>
    </row>
    <row r="9" spans="2:40" ht="31.5" x14ac:dyDescent="0.25">
      <c r="B9" s="18" t="s">
        <v>43</v>
      </c>
      <c r="C9" s="111">
        <v>11</v>
      </c>
      <c r="D9" s="21">
        <v>0</v>
      </c>
      <c r="E9" s="37">
        <v>0</v>
      </c>
      <c r="F9" s="21">
        <v>0</v>
      </c>
      <c r="G9" s="21">
        <v>0</v>
      </c>
      <c r="H9" s="21">
        <v>0</v>
      </c>
      <c r="I9" s="21">
        <v>0</v>
      </c>
      <c r="J9" s="54">
        <v>0</v>
      </c>
      <c r="K9" s="21">
        <v>65078626632</v>
      </c>
      <c r="L9" s="37">
        <v>0</v>
      </c>
      <c r="M9" s="21">
        <v>0</v>
      </c>
      <c r="N9" s="21">
        <v>65078626632</v>
      </c>
      <c r="O9" s="21">
        <v>63466958904.959999</v>
      </c>
      <c r="P9" s="21">
        <f t="shared" si="4"/>
        <v>1611667727.0400009</v>
      </c>
      <c r="Q9" s="54">
        <f>+O9/N9</f>
        <v>0.97523506855555675</v>
      </c>
      <c r="R9" s="21">
        <v>0</v>
      </c>
      <c r="S9" s="37">
        <v>0</v>
      </c>
      <c r="T9" s="21">
        <v>0</v>
      </c>
      <c r="U9" s="21">
        <f t="shared" si="0"/>
        <v>0</v>
      </c>
      <c r="V9" s="21">
        <v>0</v>
      </c>
      <c r="W9" s="21">
        <f t="shared" si="5"/>
        <v>0</v>
      </c>
      <c r="X9" s="54">
        <v>0</v>
      </c>
      <c r="Y9" s="18" t="s">
        <v>61</v>
      </c>
      <c r="Z9" s="21">
        <v>0</v>
      </c>
      <c r="AA9" s="37">
        <v>0</v>
      </c>
      <c r="AB9" s="21">
        <v>0</v>
      </c>
      <c r="AC9" s="21">
        <f t="shared" si="1"/>
        <v>0</v>
      </c>
      <c r="AD9" s="21">
        <v>0</v>
      </c>
      <c r="AE9" s="21">
        <f t="shared" si="6"/>
        <v>0</v>
      </c>
      <c r="AF9" s="54">
        <v>0</v>
      </c>
      <c r="AG9" s="21">
        <v>0</v>
      </c>
      <c r="AH9" s="37">
        <v>200000000000</v>
      </c>
      <c r="AI9" s="21">
        <v>0</v>
      </c>
      <c r="AJ9" s="21">
        <f t="shared" ref="AJ9:AJ27" si="9">+AG9+AH9-AI9</f>
        <v>200000000000</v>
      </c>
      <c r="AK9" s="21">
        <v>198815973598.82999</v>
      </c>
      <c r="AL9" s="21">
        <f t="shared" ref="AL9:AL18" si="10">+AJ9-AK9</f>
        <v>1184026401.1700134</v>
      </c>
      <c r="AM9" s="54">
        <v>0</v>
      </c>
    </row>
    <row r="10" spans="2:40" ht="15.75" x14ac:dyDescent="0.25">
      <c r="B10" s="18" t="s">
        <v>6</v>
      </c>
      <c r="C10" s="111">
        <v>10</v>
      </c>
      <c r="D10" s="21">
        <v>0</v>
      </c>
      <c r="E10" s="37">
        <v>25310000000</v>
      </c>
      <c r="F10" s="21">
        <v>2593094917</v>
      </c>
      <c r="G10" s="21">
        <f t="shared" si="8"/>
        <v>22716905083</v>
      </c>
      <c r="H10" s="21">
        <v>22677034984.25</v>
      </c>
      <c r="I10" s="21">
        <f t="shared" si="3"/>
        <v>39870098.75</v>
      </c>
      <c r="J10" s="54">
        <f t="shared" ref="J10:J14" si="11">+H10/G10</f>
        <v>0.9982449150267465</v>
      </c>
      <c r="K10" s="21">
        <v>34363000000</v>
      </c>
      <c r="L10" s="37">
        <v>7600000000</v>
      </c>
      <c r="M10" s="21">
        <v>6245042449</v>
      </c>
      <c r="N10" s="21">
        <v>35717957551</v>
      </c>
      <c r="O10" s="21">
        <v>33628414956.099998</v>
      </c>
      <c r="P10" s="21">
        <f t="shared" si="4"/>
        <v>2089542594.9000015</v>
      </c>
      <c r="Q10" s="54">
        <f t="shared" ref="Q10:Q14" si="12">+O10/N10</f>
        <v>0.94149882193245671</v>
      </c>
      <c r="R10" s="21">
        <v>62997500000</v>
      </c>
      <c r="S10" s="37">
        <v>17781129809</v>
      </c>
      <c r="T10" s="21">
        <v>29510491534</v>
      </c>
      <c r="U10" s="21">
        <f t="shared" si="0"/>
        <v>51268138275</v>
      </c>
      <c r="V10" s="21">
        <v>50954421437.300003</v>
      </c>
      <c r="W10" s="21">
        <f t="shared" si="5"/>
        <v>313716837.69999695</v>
      </c>
      <c r="X10" s="54">
        <f t="shared" ref="X10" si="13">+V10/U10</f>
        <v>0.99388086152032218</v>
      </c>
      <c r="Y10" s="18" t="s">
        <v>6</v>
      </c>
      <c r="Z10" s="21">
        <v>87643300000</v>
      </c>
      <c r="AA10" s="37">
        <v>40677089174</v>
      </c>
      <c r="AB10" s="21">
        <v>31592590915</v>
      </c>
      <c r="AC10" s="21">
        <f t="shared" si="1"/>
        <v>96727798259</v>
      </c>
      <c r="AD10" s="21">
        <v>68357725066.339996</v>
      </c>
      <c r="AE10" s="21">
        <f t="shared" si="6"/>
        <v>28370073192.660004</v>
      </c>
      <c r="AF10" s="54">
        <f t="shared" ref="AF10" si="14">+AD10/AC10</f>
        <v>0.70670196465450597</v>
      </c>
      <c r="AG10" s="21">
        <v>194549000000</v>
      </c>
      <c r="AH10" s="37">
        <v>112958607972</v>
      </c>
      <c r="AI10" s="21">
        <v>243667400000</v>
      </c>
      <c r="AJ10" s="21">
        <f t="shared" si="9"/>
        <v>63840207972</v>
      </c>
      <c r="AK10" s="21">
        <v>50420133829</v>
      </c>
      <c r="AL10" s="21">
        <f t="shared" si="10"/>
        <v>13420074143</v>
      </c>
      <c r="AM10" s="54">
        <f t="shared" ref="AM10" si="15">+AK10/AJ10</f>
        <v>0.78978649084467301</v>
      </c>
    </row>
    <row r="11" spans="2:40" ht="15.75" x14ac:dyDescent="0.25">
      <c r="B11" s="18" t="s">
        <v>6</v>
      </c>
      <c r="C11" s="111">
        <v>11</v>
      </c>
      <c r="D11" s="21">
        <v>10388000000</v>
      </c>
      <c r="E11" s="37">
        <v>0</v>
      </c>
      <c r="F11" s="21">
        <v>0</v>
      </c>
      <c r="G11" s="21">
        <f t="shared" si="8"/>
        <v>10388000000</v>
      </c>
      <c r="H11" s="21">
        <v>10385374157.790001</v>
      </c>
      <c r="I11" s="21">
        <f t="shared" si="3"/>
        <v>2625842.2099990845</v>
      </c>
      <c r="J11" s="54">
        <f t="shared" si="11"/>
        <v>0.99974722350693113</v>
      </c>
      <c r="K11" s="21">
        <v>0</v>
      </c>
      <c r="L11" s="37">
        <v>0</v>
      </c>
      <c r="M11" s="21">
        <v>0</v>
      </c>
      <c r="N11" s="21">
        <v>0</v>
      </c>
      <c r="O11" s="21">
        <v>0</v>
      </c>
      <c r="P11" s="21">
        <f t="shared" si="4"/>
        <v>0</v>
      </c>
      <c r="Q11" s="54">
        <v>0</v>
      </c>
      <c r="R11" s="21">
        <v>0</v>
      </c>
      <c r="S11" s="37">
        <v>0</v>
      </c>
      <c r="T11" s="21">
        <v>0</v>
      </c>
      <c r="U11" s="21">
        <f t="shared" si="0"/>
        <v>0</v>
      </c>
      <c r="V11" s="21">
        <v>0</v>
      </c>
      <c r="W11" s="21">
        <f t="shared" si="5"/>
        <v>0</v>
      </c>
      <c r="X11" s="54">
        <v>0</v>
      </c>
      <c r="Y11" s="18" t="s">
        <v>6</v>
      </c>
      <c r="Z11" s="21">
        <v>0</v>
      </c>
      <c r="AA11" s="37">
        <v>0</v>
      </c>
      <c r="AB11" s="21">
        <v>0</v>
      </c>
      <c r="AC11" s="21">
        <f t="shared" si="1"/>
        <v>0</v>
      </c>
      <c r="AD11" s="21">
        <v>0</v>
      </c>
      <c r="AE11" s="21">
        <f t="shared" si="6"/>
        <v>0</v>
      </c>
      <c r="AF11" s="54">
        <v>0</v>
      </c>
      <c r="AG11" s="21">
        <v>0</v>
      </c>
      <c r="AH11" s="37">
        <v>0</v>
      </c>
      <c r="AI11" s="21">
        <v>0</v>
      </c>
      <c r="AJ11" s="21">
        <f t="shared" si="9"/>
        <v>0</v>
      </c>
      <c r="AK11" s="21">
        <v>0</v>
      </c>
      <c r="AL11" s="21">
        <f t="shared" si="10"/>
        <v>0</v>
      </c>
      <c r="AM11" s="54">
        <v>0</v>
      </c>
    </row>
    <row r="12" spans="2:40" ht="31.5" x14ac:dyDescent="0.25">
      <c r="B12" s="91" t="s">
        <v>51</v>
      </c>
      <c r="C12" s="110">
        <v>20</v>
      </c>
      <c r="D12" s="21">
        <v>79403000000</v>
      </c>
      <c r="E12" s="37">
        <v>77167360693</v>
      </c>
      <c r="F12" s="21">
        <v>50000000000</v>
      </c>
      <c r="G12" s="21">
        <f t="shared" si="8"/>
        <v>106570360693</v>
      </c>
      <c r="H12" s="21">
        <v>105342852623.94</v>
      </c>
      <c r="I12" s="21">
        <f t="shared" si="3"/>
        <v>1227508069.0599976</v>
      </c>
      <c r="J12" s="54">
        <f t="shared" si="11"/>
        <v>0.98848171235343651</v>
      </c>
      <c r="K12" s="21">
        <v>94260700000</v>
      </c>
      <c r="L12" s="37">
        <v>21809088985</v>
      </c>
      <c r="M12" s="21">
        <v>957835000</v>
      </c>
      <c r="N12" s="21">
        <v>115111953985</v>
      </c>
      <c r="O12" s="21">
        <v>114055583053.67</v>
      </c>
      <c r="P12" s="21">
        <f t="shared" si="4"/>
        <v>1056370931.3300018</v>
      </c>
      <c r="Q12" s="54">
        <f t="shared" si="12"/>
        <v>0.99082309964551851</v>
      </c>
      <c r="R12" s="21">
        <v>114003000000</v>
      </c>
      <c r="S12" s="37">
        <v>17141217016</v>
      </c>
      <c r="T12" s="21">
        <v>0</v>
      </c>
      <c r="U12" s="21">
        <f t="shared" si="0"/>
        <v>131144217016</v>
      </c>
      <c r="V12" s="21">
        <v>130988164368.86</v>
      </c>
      <c r="W12" s="21">
        <f t="shared" si="5"/>
        <v>156052647.13999939</v>
      </c>
      <c r="X12" s="54">
        <f t="shared" ref="X12:X14" si="16">+V12/U12</f>
        <v>0.99881006840644027</v>
      </c>
      <c r="Y12" s="91" t="s">
        <v>62</v>
      </c>
      <c r="Z12" s="21">
        <v>137741700000</v>
      </c>
      <c r="AA12" s="37">
        <v>26442672976</v>
      </c>
      <c r="AB12" s="21">
        <v>0</v>
      </c>
      <c r="AC12" s="21">
        <f t="shared" si="1"/>
        <v>164184372976</v>
      </c>
      <c r="AD12" s="21">
        <v>162837690240</v>
      </c>
      <c r="AE12" s="21">
        <f t="shared" si="6"/>
        <v>1346682736</v>
      </c>
      <c r="AF12" s="54">
        <f t="shared" ref="AF12:AF14" si="17">+AD12/AC12</f>
        <v>0.99179774109076235</v>
      </c>
      <c r="AG12" s="21">
        <v>144674100000</v>
      </c>
      <c r="AH12" s="37">
        <v>28922187573</v>
      </c>
      <c r="AI12" s="21">
        <v>0</v>
      </c>
      <c r="AJ12" s="21">
        <f t="shared" si="9"/>
        <v>173596287573</v>
      </c>
      <c r="AK12" s="21">
        <v>161121654908.29999</v>
      </c>
      <c r="AL12" s="21">
        <f t="shared" si="10"/>
        <v>12474632664.700012</v>
      </c>
      <c r="AM12" s="54">
        <f t="shared" ref="AM12:AM14" si="18">+AK12/AJ12</f>
        <v>0.92813998018561183</v>
      </c>
    </row>
    <row r="13" spans="2:40" ht="47.25" x14ac:dyDescent="0.25">
      <c r="B13" s="91" t="s">
        <v>44</v>
      </c>
      <c r="C13" s="110">
        <v>10</v>
      </c>
      <c r="D13" s="21">
        <v>155000000</v>
      </c>
      <c r="E13" s="37">
        <v>696023800</v>
      </c>
      <c r="F13" s="21">
        <v>420760495</v>
      </c>
      <c r="G13" s="21">
        <f t="shared" si="8"/>
        <v>430263305</v>
      </c>
      <c r="H13" s="21">
        <v>429780672</v>
      </c>
      <c r="I13" s="21">
        <f t="shared" si="3"/>
        <v>482633</v>
      </c>
      <c r="J13" s="54">
        <f t="shared" si="11"/>
        <v>0.99887828454253147</v>
      </c>
      <c r="K13" s="21">
        <v>170000000</v>
      </c>
      <c r="L13" s="37">
        <v>2383705484</v>
      </c>
      <c r="M13" s="21">
        <v>1268869042</v>
      </c>
      <c r="N13" s="21">
        <f t="shared" ref="N13" si="19">+K13+L13-M13</f>
        <v>1284836442</v>
      </c>
      <c r="O13" s="21">
        <v>1256257598</v>
      </c>
      <c r="P13" s="21">
        <f t="shared" si="4"/>
        <v>28578844</v>
      </c>
      <c r="Q13" s="54">
        <f t="shared" si="12"/>
        <v>0.97775682330778724</v>
      </c>
      <c r="R13" s="21">
        <v>175300000</v>
      </c>
      <c r="S13" s="37">
        <v>4504018658</v>
      </c>
      <c r="T13" s="21">
        <v>1709267329</v>
      </c>
      <c r="U13" s="21">
        <f t="shared" si="0"/>
        <v>2970051329</v>
      </c>
      <c r="V13" s="21">
        <v>2682419985.5999999</v>
      </c>
      <c r="W13" s="21">
        <f t="shared" si="5"/>
        <v>287631343.4000001</v>
      </c>
      <c r="X13" s="54">
        <f t="shared" si="16"/>
        <v>0.90315610353547526</v>
      </c>
      <c r="Y13" s="91" t="s">
        <v>44</v>
      </c>
      <c r="Z13" s="21">
        <v>1405300000</v>
      </c>
      <c r="AA13" s="37">
        <v>362648936</v>
      </c>
      <c r="AB13" s="21">
        <v>193824468</v>
      </c>
      <c r="AC13" s="21">
        <f t="shared" si="1"/>
        <v>1574124468</v>
      </c>
      <c r="AD13" s="21">
        <v>1482436280.97</v>
      </c>
      <c r="AE13" s="21">
        <f t="shared" si="6"/>
        <v>91688187.029999971</v>
      </c>
      <c r="AF13" s="54">
        <f t="shared" si="17"/>
        <v>0.94175289890100355</v>
      </c>
      <c r="AG13" s="21">
        <v>1415600000</v>
      </c>
      <c r="AH13" s="37">
        <v>1192849632</v>
      </c>
      <c r="AI13" s="21">
        <v>336424816</v>
      </c>
      <c r="AJ13" s="21">
        <f t="shared" si="9"/>
        <v>2272024816</v>
      </c>
      <c r="AK13" s="21">
        <v>2022845417.9100001</v>
      </c>
      <c r="AL13" s="21">
        <f t="shared" si="10"/>
        <v>249179398.08999991</v>
      </c>
      <c r="AM13" s="54">
        <f t="shared" si="18"/>
        <v>0.89032716705590775</v>
      </c>
      <c r="AN13" s="109"/>
    </row>
    <row r="14" spans="2:40" ht="47.25" x14ac:dyDescent="0.25">
      <c r="B14" s="91" t="s">
        <v>44</v>
      </c>
      <c r="C14" s="110">
        <v>11</v>
      </c>
      <c r="D14" s="21">
        <v>607000000</v>
      </c>
      <c r="E14" s="37">
        <v>0</v>
      </c>
      <c r="F14" s="21">
        <v>0</v>
      </c>
      <c r="G14" s="21">
        <f t="shared" si="8"/>
        <v>607000000</v>
      </c>
      <c r="H14" s="21">
        <v>607000000</v>
      </c>
      <c r="I14" s="21">
        <f t="shared" si="3"/>
        <v>0</v>
      </c>
      <c r="J14" s="54">
        <f t="shared" si="11"/>
        <v>1</v>
      </c>
      <c r="K14" s="21">
        <v>625300000</v>
      </c>
      <c r="L14" s="37">
        <v>0</v>
      </c>
      <c r="M14" s="21">
        <v>0</v>
      </c>
      <c r="N14" s="21">
        <v>625300000</v>
      </c>
      <c r="O14" s="21">
        <v>625300000</v>
      </c>
      <c r="P14" s="21">
        <f t="shared" si="4"/>
        <v>0</v>
      </c>
      <c r="Q14" s="54">
        <f t="shared" si="12"/>
        <v>1</v>
      </c>
      <c r="R14" s="21">
        <v>644100000</v>
      </c>
      <c r="S14" s="37">
        <v>0</v>
      </c>
      <c r="T14" s="21">
        <v>0</v>
      </c>
      <c r="U14" s="21">
        <f t="shared" si="0"/>
        <v>644100000</v>
      </c>
      <c r="V14" s="21">
        <v>644100000</v>
      </c>
      <c r="W14" s="21">
        <f t="shared" si="5"/>
        <v>0</v>
      </c>
      <c r="X14" s="54">
        <f t="shared" si="16"/>
        <v>1</v>
      </c>
      <c r="Y14" s="91" t="s">
        <v>44</v>
      </c>
      <c r="Z14" s="21">
        <v>2649000000</v>
      </c>
      <c r="AA14" s="37">
        <v>0</v>
      </c>
      <c r="AB14" s="21">
        <v>0</v>
      </c>
      <c r="AC14" s="21">
        <f t="shared" si="1"/>
        <v>2649000000</v>
      </c>
      <c r="AD14" s="21">
        <v>2649000000</v>
      </c>
      <c r="AE14" s="21">
        <f t="shared" si="6"/>
        <v>0</v>
      </c>
      <c r="AF14" s="54">
        <f t="shared" si="17"/>
        <v>1</v>
      </c>
      <c r="AG14" s="21">
        <v>3050000000</v>
      </c>
      <c r="AH14" s="37">
        <v>0</v>
      </c>
      <c r="AI14" s="21">
        <v>0</v>
      </c>
      <c r="AJ14" s="21">
        <f t="shared" si="9"/>
        <v>3050000000</v>
      </c>
      <c r="AK14" s="21">
        <v>3050000000</v>
      </c>
      <c r="AL14" s="21">
        <f t="shared" si="10"/>
        <v>0</v>
      </c>
      <c r="AM14" s="54">
        <f t="shared" si="18"/>
        <v>1</v>
      </c>
    </row>
    <row r="15" spans="2:40" ht="47.25" x14ac:dyDescent="0.25">
      <c r="B15" s="91" t="s">
        <v>44</v>
      </c>
      <c r="C15" s="110">
        <v>20</v>
      </c>
      <c r="D15" s="21"/>
      <c r="E15" s="37"/>
      <c r="F15" s="21"/>
      <c r="G15" s="21"/>
      <c r="H15" s="21"/>
      <c r="I15" s="21"/>
      <c r="J15" s="54"/>
      <c r="K15" s="21">
        <v>0</v>
      </c>
      <c r="L15" s="37">
        <v>957835000</v>
      </c>
      <c r="M15" s="21">
        <v>0</v>
      </c>
      <c r="N15" s="21">
        <v>957835000</v>
      </c>
      <c r="O15" s="21">
        <v>596301000</v>
      </c>
      <c r="P15" s="21">
        <f t="shared" ref="P15" si="20">+N15-O15</f>
        <v>361534000</v>
      </c>
      <c r="Q15" s="54">
        <f t="shared" ref="Q15:Q18" si="21">+O15/N15</f>
        <v>0.62255085688036038</v>
      </c>
      <c r="R15" s="21">
        <v>0</v>
      </c>
      <c r="S15" s="37">
        <v>0</v>
      </c>
      <c r="T15" s="21">
        <v>0</v>
      </c>
      <c r="U15" s="21">
        <f t="shared" si="0"/>
        <v>0</v>
      </c>
      <c r="V15" s="21">
        <v>0</v>
      </c>
      <c r="W15" s="21">
        <f t="shared" si="5"/>
        <v>0</v>
      </c>
      <c r="X15" s="54">
        <v>0</v>
      </c>
      <c r="Y15" s="91" t="s">
        <v>44</v>
      </c>
      <c r="Z15" s="21">
        <v>0</v>
      </c>
      <c r="AA15" s="37">
        <v>0</v>
      </c>
      <c r="AB15" s="21">
        <v>0</v>
      </c>
      <c r="AC15" s="21">
        <f t="shared" si="1"/>
        <v>0</v>
      </c>
      <c r="AD15" s="21">
        <v>0</v>
      </c>
      <c r="AE15" s="21">
        <f t="shared" si="6"/>
        <v>0</v>
      </c>
      <c r="AF15" s="54">
        <v>0</v>
      </c>
      <c r="AG15" s="21">
        <v>0</v>
      </c>
      <c r="AH15" s="37">
        <v>0</v>
      </c>
      <c r="AI15" s="21">
        <v>0</v>
      </c>
      <c r="AJ15" s="21">
        <f t="shared" si="9"/>
        <v>0</v>
      </c>
      <c r="AK15" s="21">
        <v>0</v>
      </c>
      <c r="AL15" s="21">
        <f t="shared" si="10"/>
        <v>0</v>
      </c>
      <c r="AM15" s="54">
        <v>0</v>
      </c>
    </row>
    <row r="16" spans="2:40" ht="15.75" x14ac:dyDescent="0.25">
      <c r="B16" s="63" t="s">
        <v>63</v>
      </c>
      <c r="C16" s="11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99"/>
      <c r="R16" s="23"/>
      <c r="S16" s="23"/>
      <c r="T16" s="100"/>
      <c r="U16" s="23"/>
      <c r="V16" s="23"/>
      <c r="W16" s="23"/>
      <c r="X16" s="99"/>
      <c r="Y16" s="63" t="s">
        <v>63</v>
      </c>
      <c r="Z16" s="23">
        <v>11264211624</v>
      </c>
      <c r="AA16" s="23">
        <v>0</v>
      </c>
      <c r="AB16" s="23">
        <v>0</v>
      </c>
      <c r="AC16" s="23">
        <f t="shared" si="1"/>
        <v>11264211624</v>
      </c>
      <c r="AD16" s="23">
        <v>11264211624</v>
      </c>
      <c r="AE16" s="23">
        <f t="shared" si="6"/>
        <v>0</v>
      </c>
      <c r="AF16" s="99">
        <f>+AD16/AC16</f>
        <v>1</v>
      </c>
      <c r="AG16" s="23">
        <v>8488568144</v>
      </c>
      <c r="AH16" s="23">
        <v>0</v>
      </c>
      <c r="AI16" s="23">
        <v>0</v>
      </c>
      <c r="AJ16" s="23">
        <f t="shared" si="9"/>
        <v>8488568144</v>
      </c>
      <c r="AK16" s="23">
        <v>8488568144</v>
      </c>
      <c r="AL16" s="23">
        <f t="shared" si="10"/>
        <v>0</v>
      </c>
      <c r="AM16" s="99">
        <f>+AK16/AJ16</f>
        <v>1</v>
      </c>
    </row>
    <row r="17" spans="2:39" ht="15.75" x14ac:dyDescent="0.25">
      <c r="B17" s="63" t="s">
        <v>7</v>
      </c>
      <c r="C17" s="112"/>
      <c r="D17" s="23">
        <f>SUM(D18:D20)</f>
        <v>1489241558</v>
      </c>
      <c r="E17" s="23">
        <f>SUM(E18:E20)</f>
        <v>1489241558</v>
      </c>
      <c r="F17" s="23">
        <f>SUM(F18:F20)</f>
        <v>1489241558</v>
      </c>
      <c r="G17" s="23">
        <f>SUM(G18:G20)</f>
        <v>1489241558</v>
      </c>
      <c r="H17" s="23">
        <f>SUM(H18:H20)</f>
        <v>1365117000</v>
      </c>
      <c r="I17" s="23">
        <f>SUM(I18:I20)</f>
        <v>124124558</v>
      </c>
      <c r="J17" s="23">
        <v>0</v>
      </c>
      <c r="K17" s="23">
        <f>SUM(K18:K22)</f>
        <v>6000000000</v>
      </c>
      <c r="L17" s="23">
        <f>SUM(L18:L22)</f>
        <v>0</v>
      </c>
      <c r="M17" s="23">
        <f>SUM(M18:M22)</f>
        <v>2034715800</v>
      </c>
      <c r="N17" s="23">
        <f>SUM(N18:N22)</f>
        <v>3965284200</v>
      </c>
      <c r="O17" s="23">
        <f>SUM(O18:O22)</f>
        <v>3965284199</v>
      </c>
      <c r="P17" s="23">
        <f>SUM(P18:P22)</f>
        <v>1</v>
      </c>
      <c r="Q17" s="99">
        <f>+O17/N17</f>
        <v>0.99999999974781129</v>
      </c>
      <c r="R17" s="23">
        <f>SUM(R18:R24)</f>
        <v>9000000000</v>
      </c>
      <c r="S17" s="23">
        <f t="shared" ref="S17:W17" si="22">SUM(S18:S24)</f>
        <v>12000000000</v>
      </c>
      <c r="T17" s="100">
        <f t="shared" si="22"/>
        <v>0</v>
      </c>
      <c r="U17" s="23">
        <f t="shared" si="22"/>
        <v>21000000000</v>
      </c>
      <c r="V17" s="23">
        <f t="shared" si="22"/>
        <v>6996079371</v>
      </c>
      <c r="W17" s="23">
        <f t="shared" si="22"/>
        <v>14003920629</v>
      </c>
      <c r="X17" s="99">
        <f>+V17/U17</f>
        <v>0.33314663671428574</v>
      </c>
      <c r="Y17" s="63" t="s">
        <v>7</v>
      </c>
      <c r="Z17" s="23">
        <f>SUM(Z18:Z26)</f>
        <v>9000000000</v>
      </c>
      <c r="AA17" s="23">
        <f t="shared" ref="AA17:AE17" si="23">SUM(AA18:AA26)</f>
        <v>0</v>
      </c>
      <c r="AB17" s="23">
        <f t="shared" si="23"/>
        <v>0</v>
      </c>
      <c r="AC17" s="23">
        <f t="shared" si="23"/>
        <v>9000000000</v>
      </c>
      <c r="AD17" s="23">
        <f t="shared" si="23"/>
        <v>6998132299</v>
      </c>
      <c r="AE17" s="23">
        <f t="shared" si="23"/>
        <v>2001867701</v>
      </c>
      <c r="AF17" s="99">
        <f>+AD17/AC17</f>
        <v>0.77757025544444447</v>
      </c>
      <c r="AG17" s="23">
        <f>SUM(AG18:AG26)</f>
        <v>5000000000</v>
      </c>
      <c r="AH17" s="23">
        <f t="shared" ref="AH17" si="24">SUM(AH18:AH26)</f>
        <v>0</v>
      </c>
      <c r="AI17" s="23">
        <f t="shared" ref="AI17" si="25">SUM(AI18:AI26)</f>
        <v>0</v>
      </c>
      <c r="AJ17" s="23">
        <f t="shared" ref="AJ17" si="26">SUM(AJ18:AJ26)</f>
        <v>5000000000</v>
      </c>
      <c r="AK17" s="23">
        <f t="shared" ref="AK17" si="27">SUM(AK18:AK26)</f>
        <v>4522012834</v>
      </c>
      <c r="AL17" s="23">
        <f t="shared" ref="AL17" si="28">SUM(AL18:AL26)</f>
        <v>477987166</v>
      </c>
      <c r="AM17" s="99">
        <f>+AK17/AJ17</f>
        <v>0.90440256679999997</v>
      </c>
    </row>
    <row r="18" spans="2:39" s="6" customFormat="1" ht="63" x14ac:dyDescent="0.25">
      <c r="B18" s="91" t="s">
        <v>45</v>
      </c>
      <c r="C18" s="110">
        <v>11</v>
      </c>
      <c r="D18" s="21">
        <v>1487241558</v>
      </c>
      <c r="E18" s="37">
        <v>1489241558</v>
      </c>
      <c r="F18" s="21">
        <v>1487241558</v>
      </c>
      <c r="G18" s="21">
        <f t="shared" si="8"/>
        <v>1489241558</v>
      </c>
      <c r="H18" s="21">
        <v>1365117000</v>
      </c>
      <c r="I18" s="21">
        <f t="shared" si="3"/>
        <v>124124558</v>
      </c>
      <c r="J18" s="54">
        <v>0</v>
      </c>
      <c r="K18" s="21">
        <v>825104132</v>
      </c>
      <c r="L18" s="37">
        <v>0</v>
      </c>
      <c r="M18" s="21">
        <v>0</v>
      </c>
      <c r="N18" s="21">
        <f t="shared" ref="N18:N20" si="29">+K18+L18-M18</f>
        <v>825104132</v>
      </c>
      <c r="O18" s="21">
        <v>825104131</v>
      </c>
      <c r="P18" s="21">
        <f t="shared" ref="P18:P20" si="30">+N18-O18</f>
        <v>1</v>
      </c>
      <c r="Q18" s="54">
        <f t="shared" si="21"/>
        <v>0.99999999878803181</v>
      </c>
      <c r="R18" s="21">
        <v>4000000000</v>
      </c>
      <c r="S18" s="37">
        <v>12000000000</v>
      </c>
      <c r="T18" s="21">
        <v>0</v>
      </c>
      <c r="U18" s="21">
        <f t="shared" ref="U18:U24" si="31">+R18+S18-T18</f>
        <v>16000000000</v>
      </c>
      <c r="V18" s="21">
        <v>4000000000</v>
      </c>
      <c r="W18" s="21">
        <f t="shared" ref="W18:W22" si="32">+U18-V18</f>
        <v>12000000000</v>
      </c>
      <c r="X18" s="54">
        <v>0</v>
      </c>
      <c r="Y18" s="91" t="s">
        <v>45</v>
      </c>
      <c r="Z18" s="21">
        <v>3625000000</v>
      </c>
      <c r="AA18" s="37">
        <v>0</v>
      </c>
      <c r="AB18" s="21">
        <v>0</v>
      </c>
      <c r="AC18" s="21">
        <f t="shared" si="1"/>
        <v>3625000000</v>
      </c>
      <c r="AD18" s="21">
        <v>3517114399</v>
      </c>
      <c r="AE18" s="21">
        <f t="shared" ref="AE18:AE24" si="33">+AC18-AD18</f>
        <v>107885601</v>
      </c>
      <c r="AF18" s="54">
        <v>0</v>
      </c>
      <c r="AG18" s="21">
        <v>1692500000</v>
      </c>
      <c r="AH18" s="37">
        <v>0</v>
      </c>
      <c r="AI18" s="21">
        <v>0</v>
      </c>
      <c r="AJ18" s="21">
        <f t="shared" ref="AJ18:AJ27" si="34">+AG18+AH18-AI18</f>
        <v>1692500000</v>
      </c>
      <c r="AK18" s="21">
        <v>1214512834</v>
      </c>
      <c r="AL18" s="21">
        <f t="shared" ref="AL18:AL26" si="35">+AJ18-AK18</f>
        <v>477987166</v>
      </c>
      <c r="AM18" s="54">
        <f t="shared" ref="AM18" si="36">+AK18/AJ18</f>
        <v>0.71758513087149189</v>
      </c>
    </row>
    <row r="19" spans="2:39" s="6" customFormat="1" ht="78.75" x14ac:dyDescent="0.25">
      <c r="B19" s="91" t="s">
        <v>46</v>
      </c>
      <c r="C19" s="110">
        <v>11</v>
      </c>
      <c r="D19" s="21">
        <v>1000000</v>
      </c>
      <c r="E19" s="37">
        <v>0</v>
      </c>
      <c r="F19" s="21">
        <v>1000000</v>
      </c>
      <c r="G19" s="21">
        <f t="shared" si="8"/>
        <v>0</v>
      </c>
      <c r="H19" s="21">
        <v>0</v>
      </c>
      <c r="I19" s="21">
        <f t="shared" si="3"/>
        <v>0</v>
      </c>
      <c r="J19" s="54">
        <v>0</v>
      </c>
      <c r="K19" s="21">
        <v>0</v>
      </c>
      <c r="L19" s="37">
        <v>0</v>
      </c>
      <c r="M19" s="21">
        <v>0</v>
      </c>
      <c r="N19" s="21">
        <f t="shared" si="29"/>
        <v>0</v>
      </c>
      <c r="O19" s="21">
        <v>0</v>
      </c>
      <c r="P19" s="21">
        <f t="shared" si="30"/>
        <v>0</v>
      </c>
      <c r="Q19" s="54">
        <v>0</v>
      </c>
      <c r="R19" s="21">
        <v>0</v>
      </c>
      <c r="S19" s="37">
        <v>0</v>
      </c>
      <c r="T19" s="21">
        <v>0</v>
      </c>
      <c r="U19" s="21">
        <f t="shared" si="31"/>
        <v>0</v>
      </c>
      <c r="V19" s="21">
        <v>0</v>
      </c>
      <c r="W19" s="21">
        <f t="shared" si="32"/>
        <v>0</v>
      </c>
      <c r="X19" s="54">
        <v>0</v>
      </c>
      <c r="Y19" s="91" t="s">
        <v>46</v>
      </c>
      <c r="Z19" s="21">
        <v>0</v>
      </c>
      <c r="AA19" s="37">
        <v>0</v>
      </c>
      <c r="AB19" s="21">
        <v>0</v>
      </c>
      <c r="AC19" s="21">
        <f t="shared" si="1"/>
        <v>0</v>
      </c>
      <c r="AD19" s="21">
        <v>0</v>
      </c>
      <c r="AE19" s="21">
        <f t="shared" si="33"/>
        <v>0</v>
      </c>
      <c r="AF19" s="54">
        <v>0</v>
      </c>
      <c r="AG19" s="21">
        <v>0</v>
      </c>
      <c r="AH19" s="37">
        <v>0</v>
      </c>
      <c r="AI19" s="21">
        <v>0</v>
      </c>
      <c r="AJ19" s="21">
        <f t="shared" si="34"/>
        <v>0</v>
      </c>
      <c r="AK19" s="21">
        <v>0</v>
      </c>
      <c r="AL19" s="21">
        <f t="shared" si="35"/>
        <v>0</v>
      </c>
      <c r="AM19" s="54">
        <v>0</v>
      </c>
    </row>
    <row r="20" spans="2:39" s="6" customFormat="1" ht="78.75" x14ac:dyDescent="0.25">
      <c r="B20" s="91" t="s">
        <v>47</v>
      </c>
      <c r="C20" s="110">
        <v>11</v>
      </c>
      <c r="D20" s="21">
        <v>1000000</v>
      </c>
      <c r="E20" s="37">
        <v>0</v>
      </c>
      <c r="F20" s="21">
        <v>1000000</v>
      </c>
      <c r="G20" s="21">
        <f t="shared" si="8"/>
        <v>0</v>
      </c>
      <c r="H20" s="21">
        <v>0</v>
      </c>
      <c r="I20" s="21">
        <f t="shared" si="3"/>
        <v>0</v>
      </c>
      <c r="J20" s="54">
        <v>0</v>
      </c>
      <c r="K20" s="21">
        <v>0</v>
      </c>
      <c r="L20" s="37">
        <v>0</v>
      </c>
      <c r="M20" s="21">
        <v>0</v>
      </c>
      <c r="N20" s="21">
        <f t="shared" si="29"/>
        <v>0</v>
      </c>
      <c r="O20" s="21">
        <v>0</v>
      </c>
      <c r="P20" s="21">
        <f t="shared" si="30"/>
        <v>0</v>
      </c>
      <c r="Q20" s="54">
        <v>0</v>
      </c>
      <c r="R20" s="21">
        <v>0</v>
      </c>
      <c r="S20" s="37">
        <v>0</v>
      </c>
      <c r="T20" s="21">
        <v>0</v>
      </c>
      <c r="U20" s="21">
        <f t="shared" si="31"/>
        <v>0</v>
      </c>
      <c r="V20" s="21">
        <v>0</v>
      </c>
      <c r="W20" s="21">
        <f t="shared" si="32"/>
        <v>0</v>
      </c>
      <c r="X20" s="54">
        <v>0</v>
      </c>
      <c r="Y20" s="91" t="s">
        <v>47</v>
      </c>
      <c r="Z20" s="21">
        <v>0</v>
      </c>
      <c r="AA20" s="37">
        <v>0</v>
      </c>
      <c r="AB20" s="21">
        <v>0</v>
      </c>
      <c r="AC20" s="21">
        <f t="shared" si="1"/>
        <v>0</v>
      </c>
      <c r="AD20" s="21">
        <v>0</v>
      </c>
      <c r="AE20" s="21">
        <f t="shared" si="33"/>
        <v>0</v>
      </c>
      <c r="AF20" s="54">
        <v>0</v>
      </c>
      <c r="AG20" s="21">
        <v>0</v>
      </c>
      <c r="AH20" s="37">
        <v>0</v>
      </c>
      <c r="AI20" s="21">
        <v>0</v>
      </c>
      <c r="AJ20" s="21">
        <f t="shared" si="34"/>
        <v>0</v>
      </c>
      <c r="AK20" s="21">
        <v>0</v>
      </c>
      <c r="AL20" s="21">
        <f t="shared" si="35"/>
        <v>0</v>
      </c>
      <c r="AM20" s="54">
        <v>0</v>
      </c>
    </row>
    <row r="21" spans="2:39" s="6" customFormat="1" ht="78.75" x14ac:dyDescent="0.25">
      <c r="B21" s="18" t="s">
        <v>52</v>
      </c>
      <c r="C21" s="110">
        <v>11</v>
      </c>
      <c r="D21" s="21">
        <v>0</v>
      </c>
      <c r="E21" s="37">
        <v>0</v>
      </c>
      <c r="F21" s="21">
        <v>0</v>
      </c>
      <c r="G21" s="21">
        <f t="shared" si="8"/>
        <v>0</v>
      </c>
      <c r="H21" s="21">
        <v>0</v>
      </c>
      <c r="I21" s="21">
        <v>0</v>
      </c>
      <c r="J21" s="54">
        <v>0</v>
      </c>
      <c r="K21" s="21">
        <v>1651894856</v>
      </c>
      <c r="L21" s="37">
        <v>0</v>
      </c>
      <c r="M21" s="21">
        <v>1651894856</v>
      </c>
      <c r="N21" s="21">
        <v>0</v>
      </c>
      <c r="O21" s="21">
        <v>0</v>
      </c>
      <c r="P21" s="21">
        <f t="shared" ref="P21:P22" si="37">+N21-O21</f>
        <v>0</v>
      </c>
      <c r="Q21" s="54">
        <v>0</v>
      </c>
      <c r="R21" s="21">
        <v>0</v>
      </c>
      <c r="S21" s="37">
        <v>0</v>
      </c>
      <c r="T21" s="21">
        <v>0</v>
      </c>
      <c r="U21" s="21">
        <f t="shared" si="31"/>
        <v>0</v>
      </c>
      <c r="V21" s="21">
        <v>0</v>
      </c>
      <c r="W21" s="21">
        <f t="shared" si="32"/>
        <v>0</v>
      </c>
      <c r="X21" s="54">
        <v>0</v>
      </c>
      <c r="Y21" s="98" t="s">
        <v>52</v>
      </c>
      <c r="Z21" s="21">
        <v>0</v>
      </c>
      <c r="AA21" s="37">
        <v>0</v>
      </c>
      <c r="AB21" s="21">
        <v>0</v>
      </c>
      <c r="AC21" s="21">
        <f t="shared" si="1"/>
        <v>0</v>
      </c>
      <c r="AD21" s="21">
        <v>0</v>
      </c>
      <c r="AE21" s="21">
        <f t="shared" si="33"/>
        <v>0</v>
      </c>
      <c r="AF21" s="54">
        <v>0</v>
      </c>
      <c r="AG21" s="21">
        <v>0</v>
      </c>
      <c r="AH21" s="37">
        <v>0</v>
      </c>
      <c r="AI21" s="21">
        <v>0</v>
      </c>
      <c r="AJ21" s="21">
        <f t="shared" si="34"/>
        <v>0</v>
      </c>
      <c r="AK21" s="21">
        <v>0</v>
      </c>
      <c r="AL21" s="21">
        <f t="shared" si="35"/>
        <v>0</v>
      </c>
      <c r="AM21" s="54">
        <v>0</v>
      </c>
    </row>
    <row r="22" spans="2:39" s="6" customFormat="1" ht="47.25" x14ac:dyDescent="0.25">
      <c r="B22" s="18" t="s">
        <v>53</v>
      </c>
      <c r="C22" s="110">
        <v>11</v>
      </c>
      <c r="D22" s="21">
        <v>0</v>
      </c>
      <c r="E22" s="37">
        <v>0</v>
      </c>
      <c r="F22" s="21">
        <v>0</v>
      </c>
      <c r="G22" s="21">
        <f t="shared" si="8"/>
        <v>0</v>
      </c>
      <c r="H22" s="21">
        <v>0</v>
      </c>
      <c r="I22" s="21">
        <v>0</v>
      </c>
      <c r="J22" s="54">
        <v>0</v>
      </c>
      <c r="K22" s="21">
        <v>3523001012</v>
      </c>
      <c r="L22" s="37">
        <v>0</v>
      </c>
      <c r="M22" s="21">
        <v>382820944</v>
      </c>
      <c r="N22" s="21">
        <v>3140180068</v>
      </c>
      <c r="O22" s="21">
        <v>3140180068</v>
      </c>
      <c r="P22" s="21">
        <f t="shared" si="37"/>
        <v>0</v>
      </c>
      <c r="Q22" s="54">
        <f t="shared" ref="Q22" si="38">+O22/N22</f>
        <v>1</v>
      </c>
      <c r="R22" s="21">
        <v>3000000000</v>
      </c>
      <c r="S22" s="37">
        <v>0</v>
      </c>
      <c r="T22" s="21">
        <v>0</v>
      </c>
      <c r="U22" s="21">
        <f t="shared" si="31"/>
        <v>3000000000</v>
      </c>
      <c r="V22" s="21">
        <v>2996079371</v>
      </c>
      <c r="W22" s="21">
        <f t="shared" si="32"/>
        <v>3920629</v>
      </c>
      <c r="X22" s="54">
        <f t="shared" ref="X22" si="39">+V22/U22</f>
        <v>0.99869312366666663</v>
      </c>
      <c r="Y22" s="91" t="s">
        <v>53</v>
      </c>
      <c r="Z22" s="21">
        <v>323656437</v>
      </c>
      <c r="AA22" s="37">
        <v>0</v>
      </c>
      <c r="AB22" s="21">
        <v>0</v>
      </c>
      <c r="AC22" s="21">
        <f t="shared" si="1"/>
        <v>323656437</v>
      </c>
      <c r="AD22" s="21">
        <v>323656437</v>
      </c>
      <c r="AE22" s="21">
        <f t="shared" si="33"/>
        <v>0</v>
      </c>
      <c r="AF22" s="54">
        <f t="shared" ref="AF22:AF24" si="40">+AD22/AC22</f>
        <v>1</v>
      </c>
      <c r="AG22" s="21">
        <v>3307500000</v>
      </c>
      <c r="AH22" s="37">
        <v>0</v>
      </c>
      <c r="AI22" s="21">
        <v>0</v>
      </c>
      <c r="AJ22" s="21">
        <f t="shared" si="34"/>
        <v>3307500000</v>
      </c>
      <c r="AK22" s="21">
        <v>3307500000</v>
      </c>
      <c r="AL22" s="21">
        <f t="shared" si="35"/>
        <v>0</v>
      </c>
      <c r="AM22" s="54">
        <f t="shared" ref="AM22:AM26" si="41">+AK22/AJ22</f>
        <v>1</v>
      </c>
    </row>
    <row r="23" spans="2:39" s="6" customFormat="1" ht="47.25" x14ac:dyDescent="0.25">
      <c r="B23" s="18" t="s">
        <v>53</v>
      </c>
      <c r="C23" s="110">
        <v>13</v>
      </c>
      <c r="D23" s="21"/>
      <c r="E23" s="37"/>
      <c r="F23" s="21"/>
      <c r="G23" s="21"/>
      <c r="H23" s="21"/>
      <c r="I23" s="21"/>
      <c r="J23" s="54"/>
      <c r="K23" s="21"/>
      <c r="L23" s="37"/>
      <c r="M23" s="21"/>
      <c r="N23" s="21"/>
      <c r="O23" s="21"/>
      <c r="P23" s="21"/>
      <c r="Q23" s="54"/>
      <c r="R23" s="21"/>
      <c r="S23" s="37"/>
      <c r="T23" s="21"/>
      <c r="U23" s="21"/>
      <c r="V23" s="21"/>
      <c r="W23" s="21"/>
      <c r="X23" s="54">
        <v>0</v>
      </c>
      <c r="Y23" s="91" t="s">
        <v>53</v>
      </c>
      <c r="Z23" s="21">
        <v>2826343563</v>
      </c>
      <c r="AA23" s="37">
        <v>0</v>
      </c>
      <c r="AB23" s="21">
        <v>0</v>
      </c>
      <c r="AC23" s="21">
        <f t="shared" si="1"/>
        <v>2826343563</v>
      </c>
      <c r="AD23" s="21">
        <v>2744969963</v>
      </c>
      <c r="AE23" s="21">
        <f t="shared" ref="AE23" si="42">+AC23-AD23</f>
        <v>81373600</v>
      </c>
      <c r="AF23" s="54">
        <f t="shared" ref="AF23" si="43">+AD23/AC23</f>
        <v>0.97120887882659723</v>
      </c>
      <c r="AG23" s="21">
        <v>0</v>
      </c>
      <c r="AH23" s="37">
        <v>0</v>
      </c>
      <c r="AI23" s="21">
        <v>0</v>
      </c>
      <c r="AJ23" s="21">
        <f t="shared" si="34"/>
        <v>0</v>
      </c>
      <c r="AK23" s="21">
        <v>0</v>
      </c>
      <c r="AL23" s="21">
        <f t="shared" si="35"/>
        <v>0</v>
      </c>
      <c r="AM23" s="54">
        <v>0</v>
      </c>
    </row>
    <row r="24" spans="2:39" s="6" customFormat="1" ht="63" x14ac:dyDescent="0.25">
      <c r="B24" s="91" t="s">
        <v>57</v>
      </c>
      <c r="C24" s="110">
        <v>11</v>
      </c>
      <c r="D24" s="21"/>
      <c r="E24" s="37"/>
      <c r="F24" s="21"/>
      <c r="G24" s="21"/>
      <c r="H24" s="21"/>
      <c r="I24" s="21"/>
      <c r="J24" s="54"/>
      <c r="K24" s="21"/>
      <c r="L24" s="37"/>
      <c r="M24" s="21"/>
      <c r="N24" s="21"/>
      <c r="O24" s="21"/>
      <c r="P24" s="21"/>
      <c r="Q24" s="54"/>
      <c r="R24" s="21">
        <v>2000000000</v>
      </c>
      <c r="S24" s="37">
        <v>0</v>
      </c>
      <c r="T24" s="21">
        <v>0</v>
      </c>
      <c r="U24" s="21">
        <f t="shared" si="31"/>
        <v>2000000000</v>
      </c>
      <c r="V24" s="21">
        <v>0</v>
      </c>
      <c r="W24" s="21">
        <f t="shared" ref="W24" si="44">+U24-V24</f>
        <v>2000000000</v>
      </c>
      <c r="X24" s="54">
        <f t="shared" ref="X24:X26" si="45">+V24/U24</f>
        <v>0</v>
      </c>
      <c r="Y24" s="91" t="s">
        <v>57</v>
      </c>
      <c r="Z24" s="21">
        <v>1725000000</v>
      </c>
      <c r="AA24" s="37">
        <v>0</v>
      </c>
      <c r="AB24" s="21">
        <v>0</v>
      </c>
      <c r="AC24" s="21">
        <f t="shared" si="1"/>
        <v>1725000000</v>
      </c>
      <c r="AD24" s="21">
        <v>0</v>
      </c>
      <c r="AE24" s="21">
        <f t="shared" si="33"/>
        <v>1725000000</v>
      </c>
      <c r="AF24" s="54">
        <f t="shared" si="40"/>
        <v>0</v>
      </c>
      <c r="AG24" s="21">
        <v>0</v>
      </c>
      <c r="AH24" s="37">
        <v>0</v>
      </c>
      <c r="AI24" s="21">
        <v>0</v>
      </c>
      <c r="AJ24" s="21">
        <f t="shared" si="34"/>
        <v>0</v>
      </c>
      <c r="AK24" s="21">
        <v>0</v>
      </c>
      <c r="AL24" s="21">
        <f t="shared" si="35"/>
        <v>0</v>
      </c>
      <c r="AM24" s="54">
        <v>0</v>
      </c>
    </row>
    <row r="25" spans="2:39" s="6" customFormat="1" ht="110.25" x14ac:dyDescent="0.25">
      <c r="B25" s="18" t="s">
        <v>64</v>
      </c>
      <c r="C25" s="110">
        <v>11</v>
      </c>
      <c r="D25" s="95"/>
      <c r="E25" s="96"/>
      <c r="F25" s="95"/>
      <c r="G25" s="95"/>
      <c r="H25" s="95"/>
      <c r="I25" s="95"/>
      <c r="J25" s="97"/>
      <c r="K25" s="95"/>
      <c r="L25" s="96"/>
      <c r="M25" s="95"/>
      <c r="N25" s="95"/>
      <c r="O25" s="95"/>
      <c r="P25" s="95"/>
      <c r="Q25" s="97"/>
      <c r="R25" s="95"/>
      <c r="S25" s="96"/>
      <c r="T25" s="95"/>
      <c r="U25" s="95"/>
      <c r="V25" s="95"/>
      <c r="W25" s="95"/>
      <c r="X25" s="54">
        <v>0</v>
      </c>
      <c r="Y25" s="91" t="s">
        <v>64</v>
      </c>
      <c r="Z25" s="21">
        <v>61907860</v>
      </c>
      <c r="AA25" s="37">
        <v>0</v>
      </c>
      <c r="AB25" s="21">
        <v>0</v>
      </c>
      <c r="AC25" s="21">
        <f t="shared" ref="AC19:AC26" si="46">+Z25+AA25-AB25</f>
        <v>61907860</v>
      </c>
      <c r="AD25" s="21">
        <v>61907860</v>
      </c>
      <c r="AE25" s="21">
        <f t="shared" ref="AE25:AE26" si="47">+AC25-AD25</f>
        <v>0</v>
      </c>
      <c r="AF25" s="54">
        <f t="shared" ref="AF25:AF26" si="48">+AD25/AC25</f>
        <v>1</v>
      </c>
      <c r="AG25" s="21">
        <v>0</v>
      </c>
      <c r="AH25" s="37">
        <v>0</v>
      </c>
      <c r="AI25" s="21">
        <v>0</v>
      </c>
      <c r="AJ25" s="21">
        <f t="shared" si="34"/>
        <v>0</v>
      </c>
      <c r="AK25" s="21">
        <v>0</v>
      </c>
      <c r="AL25" s="21">
        <f t="shared" si="35"/>
        <v>0</v>
      </c>
      <c r="AM25" s="54">
        <v>0</v>
      </c>
    </row>
    <row r="26" spans="2:39" s="6" customFormat="1" ht="111" thickBot="1" x14ac:dyDescent="0.3">
      <c r="B26" s="91" t="s">
        <v>64</v>
      </c>
      <c r="C26" s="110">
        <v>13</v>
      </c>
      <c r="D26" s="95"/>
      <c r="E26" s="96"/>
      <c r="F26" s="95"/>
      <c r="G26" s="95"/>
      <c r="H26" s="95"/>
      <c r="I26" s="95"/>
      <c r="J26" s="97"/>
      <c r="K26" s="95"/>
      <c r="L26" s="96"/>
      <c r="M26" s="95"/>
      <c r="N26" s="95"/>
      <c r="O26" s="95"/>
      <c r="P26" s="95"/>
      <c r="Q26" s="97"/>
      <c r="R26" s="95"/>
      <c r="S26" s="96"/>
      <c r="T26" s="95"/>
      <c r="U26" s="95"/>
      <c r="V26" s="95"/>
      <c r="W26" s="95"/>
      <c r="X26" s="54">
        <v>0</v>
      </c>
      <c r="Y26" s="91" t="s">
        <v>64</v>
      </c>
      <c r="Z26" s="21">
        <v>438092140</v>
      </c>
      <c r="AA26" s="37">
        <v>0</v>
      </c>
      <c r="AB26" s="21">
        <v>0</v>
      </c>
      <c r="AC26" s="21">
        <f t="shared" si="46"/>
        <v>438092140</v>
      </c>
      <c r="AD26" s="21">
        <v>350483640</v>
      </c>
      <c r="AE26" s="21">
        <f t="shared" si="47"/>
        <v>87608500</v>
      </c>
      <c r="AF26" s="54">
        <f t="shared" si="48"/>
        <v>0.80002266189938942</v>
      </c>
      <c r="AG26" s="21">
        <v>0</v>
      </c>
      <c r="AH26" s="37">
        <v>0</v>
      </c>
      <c r="AI26" s="21">
        <v>0</v>
      </c>
      <c r="AJ26" s="21">
        <f t="shared" si="34"/>
        <v>0</v>
      </c>
      <c r="AK26" s="21">
        <v>0</v>
      </c>
      <c r="AL26" s="21">
        <f t="shared" si="35"/>
        <v>0</v>
      </c>
      <c r="AM26" s="54">
        <v>0</v>
      </c>
    </row>
    <row r="27" spans="2:39" ht="18.75" thickBot="1" x14ac:dyDescent="0.3">
      <c r="B27" s="62" t="s">
        <v>8</v>
      </c>
      <c r="C27" s="35"/>
      <c r="D27" s="57">
        <f>D6+D7+D8+D10+D11+D12+D13+D14+D17</f>
        <v>688747241558</v>
      </c>
      <c r="E27" s="57">
        <f>E6+E7+E8+E10+E11+E12+E13+E14+E17</f>
        <v>387262085728</v>
      </c>
      <c r="F27" s="57">
        <f>F6+F7+F8+F10+F11+F12+F13+F14+F17</f>
        <v>100351725035</v>
      </c>
      <c r="G27" s="57">
        <f>G6+G7+G8+G10+G11+G12+G13+G14+G17</f>
        <v>975657602251</v>
      </c>
      <c r="H27" s="57">
        <f>H6+H7+H8+H10+H11+H12+H13+H14+H17</f>
        <v>974088360768.82007</v>
      </c>
      <c r="I27" s="57">
        <f>I6+I7+I8+I10+I11+I12+I13+I14+I17</f>
        <v>1569241482.1799607</v>
      </c>
      <c r="J27" s="60">
        <f>+H27/G27</f>
        <v>0.99839160636010071</v>
      </c>
      <c r="K27" s="57">
        <f>K6+K7+K8+K9+K10+K11+K12+K13+K14+K15+K17</f>
        <v>939365926632</v>
      </c>
      <c r="L27" s="57">
        <f>L6+L7+L8+L9+L10+L11+L12+L13+L14+L15+L17</f>
        <v>190701697490</v>
      </c>
      <c r="M27" s="57">
        <f>M6+M7+M8+M9+M10+M11+M12+M13+M14+M15+M17</f>
        <v>21253736305</v>
      </c>
      <c r="N27" s="57">
        <f>N6+N7+N8+N9+N10+N11+N12+N13+N14+N15+N17</f>
        <v>1108813887817</v>
      </c>
      <c r="O27" s="57">
        <f>O6+O7+O8+O9+O10+O11+O12+O13+O14+O15+O17</f>
        <v>1089916922886.61</v>
      </c>
      <c r="P27" s="57">
        <f>P6+P7+P8+P9+P10+P11+P12+P13+P14+P15+P17</f>
        <v>18896964930.389999</v>
      </c>
      <c r="Q27" s="60">
        <f>+O27/N27</f>
        <v>0.98295749616953865</v>
      </c>
      <c r="R27" s="57">
        <f>R6+R7+R8+R9+R10+R11+R12+R13+R14+R15+R17</f>
        <v>1000597500000</v>
      </c>
      <c r="S27" s="57">
        <f>S6+S7+S8+S9+S10+S11+S12+S13+S14+S15+S17</f>
        <v>321408427230</v>
      </c>
      <c r="T27" s="57">
        <f>T6+T7+T8+T9+T10+T11+T12+T13+T14+T15+T17</f>
        <v>36093080405</v>
      </c>
      <c r="U27" s="57">
        <f>U6+U7+U8+U9+U10+U11+U12+U13+U14+U15+U17</f>
        <v>1285912846825</v>
      </c>
      <c r="V27" s="57">
        <f>V6+V7+V8+V9+V10+V11+V12+V13+V14+V15+V17</f>
        <v>1254464788127.8901</v>
      </c>
      <c r="W27" s="57">
        <f>W6+W7+W8+W9+W10+W11+W12+W13+W14+W15+W17</f>
        <v>31448058697.110035</v>
      </c>
      <c r="X27" s="60">
        <f>+V27/U27</f>
        <v>0.9755441756610822</v>
      </c>
      <c r="Y27" s="62" t="s">
        <v>8</v>
      </c>
      <c r="Z27" s="57">
        <f>Z6+Z7+Z8+Z9+Z10+Z11+Z12+Z13+Z14+Z15+Z16+Z17</f>
        <v>1338615611624</v>
      </c>
      <c r="AA27" s="57">
        <f t="shared" ref="AA27:AE27" si="49">AA6+AA7+AA8+AA9+AA10+AA11+AA12+AA13+AA14+AA15+AA16+AA17</f>
        <v>340426312827</v>
      </c>
      <c r="AB27" s="57">
        <f t="shared" si="49"/>
        <v>33873639851</v>
      </c>
      <c r="AC27" s="57">
        <f t="shared" si="49"/>
        <v>1645168284600</v>
      </c>
      <c r="AD27" s="57">
        <f t="shared" si="49"/>
        <v>1597493982503.99</v>
      </c>
      <c r="AE27" s="57">
        <f t="shared" si="49"/>
        <v>47674302096.010086</v>
      </c>
      <c r="AF27" s="60">
        <f>+AD27/AC27</f>
        <v>0.97102162584686502</v>
      </c>
      <c r="AG27" s="57">
        <f>AG6+AG7+AG8+AG9+AG10+AG11+AG12+AG13+AG14+AG15+AG16+AG17</f>
        <v>1866441868144</v>
      </c>
      <c r="AH27" s="57">
        <f t="shared" ref="AH27:AL27" si="50">AH6+AH7+AH8+AH9+AH10+AH11+AH12+AH13+AH14+AH15+AH16+AH17</f>
        <v>588160749141</v>
      </c>
      <c r="AI27" s="57">
        <f t="shared" si="50"/>
        <v>248135561568</v>
      </c>
      <c r="AJ27" s="57">
        <f t="shared" si="50"/>
        <v>2206467055717</v>
      </c>
      <c r="AK27" s="57">
        <f t="shared" si="50"/>
        <v>2154071353099.2</v>
      </c>
      <c r="AL27" s="57">
        <f t="shared" si="50"/>
        <v>52395702617.800095</v>
      </c>
      <c r="AM27" s="60">
        <f>+AK27/AJ27</f>
        <v>0.97625357583198813</v>
      </c>
    </row>
    <row r="28" spans="2:39" x14ac:dyDescent="0.25">
      <c r="B28" t="s">
        <v>9</v>
      </c>
    </row>
    <row r="29" spans="2:39" x14ac:dyDescent="0.25">
      <c r="G29" s="3"/>
      <c r="I29" s="48"/>
      <c r="N29" s="3"/>
      <c r="O29" s="3"/>
      <c r="P29" s="48"/>
      <c r="R29" s="3"/>
      <c r="AG29" s="3"/>
      <c r="AH29" s="3"/>
      <c r="AI29" s="3"/>
      <c r="AJ29" s="3"/>
      <c r="AK29" s="3"/>
    </row>
    <row r="30" spans="2:39" x14ac:dyDescent="0.25">
      <c r="E30" s="1"/>
      <c r="F30" s="1"/>
      <c r="H30" s="3"/>
      <c r="I30" s="3"/>
      <c r="L30" s="1"/>
      <c r="M30" s="1"/>
      <c r="O30" s="3"/>
      <c r="P30" s="3"/>
    </row>
    <row r="31" spans="2:39" x14ac:dyDescent="0.25">
      <c r="I31" s="49"/>
      <c r="P31" s="49"/>
    </row>
    <row r="32" spans="2:39" x14ac:dyDescent="0.25">
      <c r="D32" s="1"/>
      <c r="I32" s="3"/>
      <c r="K32" s="1"/>
      <c r="P32" s="3"/>
    </row>
  </sheetData>
  <mergeCells count="20">
    <mergeCell ref="AG4:AM4"/>
    <mergeCell ref="AG7:AG8"/>
    <mergeCell ref="AH7:AH8"/>
    <mergeCell ref="AI7:AI8"/>
    <mergeCell ref="AJ7:AJ8"/>
    <mergeCell ref="AK7:AK8"/>
    <mergeCell ref="AL7:AL8"/>
    <mergeCell ref="AM7:AM8"/>
    <mergeCell ref="C4:J4"/>
    <mergeCell ref="K4:Q4"/>
    <mergeCell ref="R4:X4"/>
    <mergeCell ref="Z4:AF4"/>
    <mergeCell ref="Y7:Y8"/>
    <mergeCell ref="Z7:Z8"/>
    <mergeCell ref="AA7:AA8"/>
    <mergeCell ref="AB7:AB8"/>
    <mergeCell ref="AC7:AC8"/>
    <mergeCell ref="AD7:AD8"/>
    <mergeCell ref="AE7:AE8"/>
    <mergeCell ref="AF7:AF8"/>
  </mergeCells>
  <pageMargins left="0.31496062992125984" right="0.51181102362204722" top="0.74803149606299213" bottom="0.74803149606299213" header="0.31496062992125984" footer="0.31496062992125984"/>
  <pageSetup scale="60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282863AD5FA4B944A0B7CCB4BCC4F" ma:contentTypeVersion="17" ma:contentTypeDescription="Crear nuevo documento." ma:contentTypeScope="" ma:versionID="4fa45575aae247082829b6f916e62c34">
  <xsd:schema xmlns:xsd="http://www.w3.org/2001/XMLSchema" xmlns:xs="http://www.w3.org/2001/XMLSchema" xmlns:p="http://schemas.microsoft.com/office/2006/metadata/properties" xmlns:ns3="e7d67ca6-5e4b-4565-be0d-71b2f378a3d9" xmlns:ns4="22a5bf8d-3af8-4cdb-85e9-f12e8cd8bb8b" targetNamespace="http://schemas.microsoft.com/office/2006/metadata/properties" ma:root="true" ma:fieldsID="f11e6bfb120a49010f43c29a962092b0" ns3:_="" ns4:_="">
    <xsd:import namespace="e7d67ca6-5e4b-4565-be0d-71b2f378a3d9"/>
    <xsd:import namespace="22a5bf8d-3af8-4cdb-85e9-f12e8cd8b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67ca6-5e4b-4565-be0d-71b2f378a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f8d-3af8-4cdb-85e9-f12e8cd8b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67ca6-5e4b-4565-be0d-71b2f378a3d9" xsi:nil="true"/>
  </documentManagement>
</p:properties>
</file>

<file path=customXml/itemProps1.xml><?xml version="1.0" encoding="utf-8"?>
<ds:datastoreItem xmlns:ds="http://schemas.openxmlformats.org/officeDocument/2006/customXml" ds:itemID="{F512FD43-18DC-4C63-B2C1-17F50CBD4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67ca6-5e4b-4565-be0d-71b2f378a3d9"/>
    <ds:schemaRef ds:uri="22a5bf8d-3af8-4cdb-85e9-f12e8cd8b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5F861-9F9A-4744-AF27-5C691B8AF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4CF77C-B2FF-47A2-A6DD-A73658FD1673}">
  <ds:schemaRefs>
    <ds:schemaRef ds:uri="http://www.w3.org/XML/1998/namespace"/>
    <ds:schemaRef ds:uri="http://purl.org/dc/dcmitype/"/>
    <ds:schemaRef ds:uri="22a5bf8d-3af8-4cdb-85e9-f12e8cd8bb8b"/>
    <ds:schemaRef ds:uri="http://purl.org/dc/elements/1.1/"/>
    <ds:schemaRef ds:uri="e7d67ca6-5e4b-4565-be0d-71b2f378a3d9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2012 A 2018</vt:lpstr>
      <vt:lpstr>2019 A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Maria Peñata Arenas</dc:creator>
  <cp:lastModifiedBy>Vanessa Andrea Pinzon Arredondo</cp:lastModifiedBy>
  <cp:lastPrinted>2020-07-03T22:19:17Z</cp:lastPrinted>
  <dcterms:created xsi:type="dcterms:W3CDTF">2014-05-14T21:39:58Z</dcterms:created>
  <dcterms:modified xsi:type="dcterms:W3CDTF">2024-04-08T12:49:14Z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0x0101007EE282863AD5FA4B944A0B7CCB4BCC4F</vt:lpwstr>
  </property>
</Properties>
</file>