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defaultThemeVersion="124226"/>
  <mc:AlternateContent xmlns:mc="http://schemas.openxmlformats.org/markup-compatibility/2006">
    <mc:Choice Requires="x15">
      <x15ac:absPath xmlns:x15ac="http://schemas.microsoft.com/office/spreadsheetml/2010/11/ac" url="C:\Users\karol.suarez\Desktop\MAPA DE RIESGOS TECNOLOGICOS\MAPA DE RIESGOS TECNOLÓGICOS REPOSITORIO\"/>
    </mc:Choice>
  </mc:AlternateContent>
  <xr:revisionPtr revIDLastSave="0" documentId="13_ncr:1_{933CF31A-ADB3-4355-BDDD-A3F0A5F46110}" xr6:coauthVersionLast="47" xr6:coauthVersionMax="47" xr10:uidLastSave="{00000000-0000-0000-0000-000000000000}"/>
  <bookViews>
    <workbookView xWindow="-120" yWindow="-120" windowWidth="29040" windowHeight="15720"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_xlnm._FilterDatabase" localSheetId="4" hidden="1">' SOA'!$B$5:$AL$114</definedName>
    <definedName name="ACEPTABLE">#REF!</definedName>
    <definedName name="AGENTE">#REF!</definedName>
    <definedName name="_xlnm.Print_Area" localSheetId="0">'Matriz de Riesgos'!$A$1:$AV$65</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 i="1" l="1"/>
  <c r="N21" i="1"/>
  <c r="AA16" i="1"/>
  <c r="X16" i="1"/>
  <c r="X14" i="1"/>
  <c r="X15"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12" i="1"/>
  <c r="AA15" i="1" l="1"/>
  <c r="AA17" i="1"/>
  <c r="AE18" i="1"/>
  <c r="AA18" i="1"/>
  <c r="AE20" i="1"/>
  <c r="AA19" i="1"/>
  <c r="AA20" i="1"/>
  <c r="AA21" i="1"/>
  <c r="AA22" i="1"/>
  <c r="AA23" i="1"/>
  <c r="AA24" i="1"/>
  <c r="AA25" i="1"/>
  <c r="AA26" i="1"/>
  <c r="AA27" i="1"/>
  <c r="AE27" i="1"/>
  <c r="AI27" i="1"/>
  <c r="AH27" i="1" s="1"/>
  <c r="AA28" i="1"/>
  <c r="AE28" i="1"/>
  <c r="AG28" i="1" s="1"/>
  <c r="AI28" i="1"/>
  <c r="AH28" i="1" s="1"/>
  <c r="AA29" i="1"/>
  <c r="AE29" i="1"/>
  <c r="AF29" i="1" s="1"/>
  <c r="AI29" i="1"/>
  <c r="AH29" i="1" s="1"/>
  <c r="AA30" i="1"/>
  <c r="AA31" i="1"/>
  <c r="AA32" i="1"/>
  <c r="AA33" i="1"/>
  <c r="AE33" i="1"/>
  <c r="AF33" i="1" s="1"/>
  <c r="AI33" i="1"/>
  <c r="AH33" i="1" s="1"/>
  <c r="AA34" i="1"/>
  <c r="AE34" i="1"/>
  <c r="AI34" i="1"/>
  <c r="AH34" i="1" s="1"/>
  <c r="AA35" i="1"/>
  <c r="AE35" i="1"/>
  <c r="AG35" i="1" s="1"/>
  <c r="AI35" i="1"/>
  <c r="AH35" i="1" s="1"/>
  <c r="AE36" i="1"/>
  <c r="AG36" i="1" s="1"/>
  <c r="AA36" i="1"/>
  <c r="AE38" i="1"/>
  <c r="AG38" i="1" s="1"/>
  <c r="AA37" i="1"/>
  <c r="AI37" i="1"/>
  <c r="AH37" i="1" s="1"/>
  <c r="AI38" i="1"/>
  <c r="AH38" i="1" s="1"/>
  <c r="AA38" i="1"/>
  <c r="AA39" i="1"/>
  <c r="AE39" i="1"/>
  <c r="AG39" i="1" s="1"/>
  <c r="AI39" i="1"/>
  <c r="AH39" i="1" s="1"/>
  <c r="AA40" i="1"/>
  <c r="AE40" i="1"/>
  <c r="AF40" i="1" s="1"/>
  <c r="AI40" i="1"/>
  <c r="AH40" i="1" s="1"/>
  <c r="AA41" i="1"/>
  <c r="AE41" i="1"/>
  <c r="AI41" i="1"/>
  <c r="AH41" i="1" s="1"/>
  <c r="AE42" i="1"/>
  <c r="AA42" i="1"/>
  <c r="AE44" i="1"/>
  <c r="AA43" i="1"/>
  <c r="AA44" i="1"/>
  <c r="AA45" i="1"/>
  <c r="AE45" i="1"/>
  <c r="AG45" i="1" s="1"/>
  <c r="AI45" i="1"/>
  <c r="AH45" i="1" s="1"/>
  <c r="AA46" i="1"/>
  <c r="AE46" i="1"/>
  <c r="AF46" i="1" s="1"/>
  <c r="AI46" i="1"/>
  <c r="AH46" i="1" s="1"/>
  <c r="AA47" i="1"/>
  <c r="AE47" i="1"/>
  <c r="AF47" i="1" s="1"/>
  <c r="AI47" i="1"/>
  <c r="AH47" i="1" s="1"/>
  <c r="AA48" i="1"/>
  <c r="AA49" i="1"/>
  <c r="AA50" i="1"/>
  <c r="AA51" i="1"/>
  <c r="AE51" i="1"/>
  <c r="AI51" i="1"/>
  <c r="AH51" i="1" s="1"/>
  <c r="AA52" i="1"/>
  <c r="AE52" i="1"/>
  <c r="AG52" i="1" s="1"/>
  <c r="AI52" i="1"/>
  <c r="AH52" i="1" s="1"/>
  <c r="AA53" i="1"/>
  <c r="AE53" i="1"/>
  <c r="AF53" i="1" s="1"/>
  <c r="AI53" i="1"/>
  <c r="AH53" i="1" s="1"/>
  <c r="AA54" i="1"/>
  <c r="AA55" i="1"/>
  <c r="AA56" i="1"/>
  <c r="N15" i="1"/>
  <c r="O15" i="1" s="1"/>
  <c r="Q15" i="1"/>
  <c r="R15" i="1" s="1"/>
  <c r="S15" i="1" s="1"/>
  <c r="AI15" i="1" s="1"/>
  <c r="AH15" i="1" s="1"/>
  <c r="Q16" i="1"/>
  <c r="Q17" i="1"/>
  <c r="Q18" i="1"/>
  <c r="Q19" i="1"/>
  <c r="Q20" i="1"/>
  <c r="O21" i="1"/>
  <c r="Q21" i="1"/>
  <c r="R21" i="1" s="1"/>
  <c r="Q22" i="1"/>
  <c r="Q23" i="1"/>
  <c r="Q24" i="1"/>
  <c r="Q25" i="1"/>
  <c r="Q26" i="1"/>
  <c r="N27" i="1"/>
  <c r="O27" i="1" s="1"/>
  <c r="Q27" i="1"/>
  <c r="R27" i="1" s="1"/>
  <c r="S27" i="1" s="1"/>
  <c r="Q28" i="1"/>
  <c r="Q29" i="1"/>
  <c r="Q30" i="1"/>
  <c r="Q31" i="1"/>
  <c r="Q32" i="1"/>
  <c r="N33" i="1"/>
  <c r="O33" i="1" s="1"/>
  <c r="Q33" i="1"/>
  <c r="R33" i="1" s="1"/>
  <c r="Q34" i="1"/>
  <c r="Q35" i="1"/>
  <c r="Q36" i="1"/>
  <c r="Q37" i="1"/>
  <c r="Q38" i="1"/>
  <c r="N39" i="1"/>
  <c r="O39" i="1" s="1"/>
  <c r="Q39" i="1"/>
  <c r="R39" i="1" s="1"/>
  <c r="S39" i="1" s="1"/>
  <c r="Q40" i="1"/>
  <c r="Q41" i="1"/>
  <c r="Q42" i="1"/>
  <c r="Q43" i="1"/>
  <c r="Q44" i="1"/>
  <c r="N45" i="1"/>
  <c r="O45" i="1" s="1"/>
  <c r="Q45" i="1"/>
  <c r="R45" i="1" s="1"/>
  <c r="S45" i="1" s="1"/>
  <c r="Q46" i="1"/>
  <c r="Q47" i="1"/>
  <c r="Q48" i="1"/>
  <c r="Q49" i="1"/>
  <c r="Q50" i="1"/>
  <c r="N51" i="1"/>
  <c r="O51" i="1" s="1"/>
  <c r="Q51" i="1"/>
  <c r="R51" i="1" s="1"/>
  <c r="Q52" i="1"/>
  <c r="Q53" i="1"/>
  <c r="Q54" i="1"/>
  <c r="Q55" i="1"/>
  <c r="Q56" i="1"/>
  <c r="AE15" i="1" l="1"/>
  <c r="AF15" i="1" s="1"/>
  <c r="AJ15" i="1" s="1"/>
  <c r="AG46" i="1"/>
  <c r="AI16" i="1"/>
  <c r="AH16" i="1" s="1"/>
  <c r="S21" i="1"/>
  <c r="AI21" i="1" s="1"/>
  <c r="AH21" i="1" s="1"/>
  <c r="AG47" i="1"/>
  <c r="AG29" i="1"/>
  <c r="AE21" i="1"/>
  <c r="AG21" i="1" s="1"/>
  <c r="AE22" i="1" s="1"/>
  <c r="AI23" i="1"/>
  <c r="AH23" i="1" s="1"/>
  <c r="AJ29" i="1"/>
  <c r="AJ53" i="1"/>
  <c r="AJ47" i="1"/>
  <c r="AG53" i="1"/>
  <c r="AJ46" i="1"/>
  <c r="AI43" i="1"/>
  <c r="AH43" i="1" s="1"/>
  <c r="AF39" i="1"/>
  <c r="AJ39" i="1" s="1"/>
  <c r="AI36" i="1"/>
  <c r="AH36" i="1" s="1"/>
  <c r="AF28" i="1"/>
  <c r="AJ28" i="1" s="1"/>
  <c r="AI18" i="1"/>
  <c r="AH18" i="1" s="1"/>
  <c r="AI44" i="1"/>
  <c r="AH44" i="1" s="1"/>
  <c r="AE37" i="1"/>
  <c r="AF35" i="1"/>
  <c r="AJ35" i="1" s="1"/>
  <c r="AG33" i="1"/>
  <c r="AJ40" i="1"/>
  <c r="S51" i="1"/>
  <c r="T51" i="1"/>
  <c r="AI42" i="1"/>
  <c r="AH42" i="1" s="1"/>
  <c r="AI20" i="1"/>
  <c r="AH20" i="1" s="1"/>
  <c r="AI19" i="1"/>
  <c r="AH19" i="1" s="1"/>
  <c r="T27" i="1"/>
  <c r="AF52" i="1"/>
  <c r="AJ52" i="1" s="1"/>
  <c r="AE43" i="1"/>
  <c r="AF43" i="1" s="1"/>
  <c r="AG40" i="1"/>
  <c r="AE19" i="1"/>
  <c r="AF19" i="1" s="1"/>
  <c r="AE50" i="1"/>
  <c r="AI50" i="1"/>
  <c r="AH50" i="1" s="1"/>
  <c r="AE48" i="1"/>
  <c r="AI48" i="1"/>
  <c r="AH48" i="1" s="1"/>
  <c r="AE49" i="1"/>
  <c r="AI49" i="1"/>
  <c r="AH49" i="1" s="1"/>
  <c r="AE30" i="1"/>
  <c r="AI30" i="1"/>
  <c r="AH30" i="1" s="1"/>
  <c r="AE31" i="1"/>
  <c r="AI31" i="1"/>
  <c r="AH31" i="1" s="1"/>
  <c r="AE56" i="1"/>
  <c r="AI56" i="1"/>
  <c r="AH56" i="1" s="1"/>
  <c r="AF44" i="1"/>
  <c r="AG44" i="1"/>
  <c r="AE54" i="1"/>
  <c r="AI54" i="1"/>
  <c r="AH54" i="1" s="1"/>
  <c r="AE55" i="1"/>
  <c r="AI55" i="1"/>
  <c r="AH55" i="1" s="1"/>
  <c r="AF18" i="1"/>
  <c r="AG18" i="1"/>
  <c r="AF42" i="1"/>
  <c r="AG42" i="1"/>
  <c r="AF34" i="1"/>
  <c r="AJ34" i="1" s="1"/>
  <c r="AG34" i="1"/>
  <c r="AF27" i="1"/>
  <c r="AJ27" i="1" s="1"/>
  <c r="AG27" i="1"/>
  <c r="AF51" i="1"/>
  <c r="AJ51" i="1" s="1"/>
  <c r="AG51" i="1"/>
  <c r="AF45" i="1"/>
  <c r="AJ45" i="1" s="1"/>
  <c r="AF41" i="1"/>
  <c r="AJ41" i="1" s="1"/>
  <c r="AG41" i="1"/>
  <c r="AF38" i="1"/>
  <c r="AJ38" i="1" s="1"/>
  <c r="AF36" i="1"/>
  <c r="AJ33" i="1"/>
  <c r="AE32" i="1"/>
  <c r="AI32" i="1"/>
  <c r="AH32" i="1" s="1"/>
  <c r="AE26" i="1"/>
  <c r="AI26" i="1"/>
  <c r="AH26" i="1" s="1"/>
  <c r="AE24" i="1"/>
  <c r="AI24" i="1"/>
  <c r="AH24" i="1" s="1"/>
  <c r="AE25" i="1"/>
  <c r="AI25" i="1"/>
  <c r="AH25" i="1" s="1"/>
  <c r="AF20" i="1"/>
  <c r="AG20" i="1"/>
  <c r="S33" i="1"/>
  <c r="T33" i="1"/>
  <c r="T39" i="1"/>
  <c r="T15" i="1"/>
  <c r="T45" i="1"/>
  <c r="AG15" i="1" l="1"/>
  <c r="AE16" i="1" s="1"/>
  <c r="AF16" i="1" s="1"/>
  <c r="AJ16" i="1" s="1"/>
  <c r="T21" i="1"/>
  <c r="AI22" i="1"/>
  <c r="AH22" i="1" s="1"/>
  <c r="AF21" i="1"/>
  <c r="AJ21" i="1" s="1"/>
  <c r="AG22" i="1"/>
  <c r="AE23" i="1" s="1"/>
  <c r="AF22" i="1"/>
  <c r="AE17" i="1"/>
  <c r="AJ43" i="1"/>
  <c r="AI17" i="1"/>
  <c r="AH17" i="1" s="1"/>
  <c r="AJ19" i="1"/>
  <c r="AG43" i="1"/>
  <c r="AJ20" i="1"/>
  <c r="AG19" i="1"/>
  <c r="AJ42" i="1"/>
  <c r="AJ44" i="1"/>
  <c r="AJ36" i="1"/>
  <c r="AJ18" i="1"/>
  <c r="AG37" i="1"/>
  <c r="AF37" i="1"/>
  <c r="AJ37" i="1" s="1"/>
  <c r="AF25" i="1"/>
  <c r="AJ25" i="1" s="1"/>
  <c r="AG25" i="1"/>
  <c r="AF26" i="1"/>
  <c r="AJ26" i="1" s="1"/>
  <c r="AG26" i="1"/>
  <c r="AF55" i="1"/>
  <c r="AJ55" i="1" s="1"/>
  <c r="AG55" i="1"/>
  <c r="AF56" i="1"/>
  <c r="AJ56" i="1" s="1"/>
  <c r="AG56" i="1"/>
  <c r="AF30" i="1"/>
  <c r="AJ30" i="1" s="1"/>
  <c r="AG30" i="1"/>
  <c r="AF48" i="1"/>
  <c r="AJ48" i="1" s="1"/>
  <c r="AG48" i="1"/>
  <c r="AF24" i="1"/>
  <c r="AJ24" i="1" s="1"/>
  <c r="AG24" i="1"/>
  <c r="AG32" i="1"/>
  <c r="AF32" i="1"/>
  <c r="AJ32" i="1" s="1"/>
  <c r="AF54" i="1"/>
  <c r="AJ54" i="1" s="1"/>
  <c r="AG54" i="1"/>
  <c r="AF31" i="1"/>
  <c r="AJ31" i="1" s="1"/>
  <c r="AG31" i="1"/>
  <c r="AF49" i="1"/>
  <c r="AJ49" i="1" s="1"/>
  <c r="AG49" i="1"/>
  <c r="AF50" i="1"/>
  <c r="AJ50" i="1" s="1"/>
  <c r="AG50" i="1"/>
  <c r="AG16" i="1" l="1"/>
  <c r="AJ22" i="1"/>
  <c r="AG23" i="1"/>
  <c r="AF23" i="1"/>
  <c r="AJ23" i="1" s="1"/>
  <c r="AF17" i="1"/>
  <c r="AJ17" i="1" s="1"/>
  <c r="AG17" i="1"/>
  <c r="AA12" i="1"/>
  <c r="N12" i="1" l="1"/>
  <c r="O12" i="1" s="1"/>
  <c r="F221" i="13" l="1"/>
  <c r="F211" i="13"/>
  <c r="F212" i="13"/>
  <c r="F213" i="13"/>
  <c r="F214" i="13"/>
  <c r="F215" i="13"/>
  <c r="F216" i="13"/>
  <c r="F217" i="13"/>
  <c r="F218" i="13"/>
  <c r="F219" i="13"/>
  <c r="F220" i="13"/>
  <c r="F210" i="13"/>
  <c r="Q14" i="1"/>
  <c r="Q13" i="1"/>
  <c r="B221" i="13" a="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A13" i="1"/>
  <c r="AA14" i="1"/>
  <c r="AE12" i="1" l="1"/>
  <c r="AF12" i="1" s="1"/>
  <c r="AG12" i="1" l="1"/>
  <c r="AE13" i="1" s="1"/>
  <c r="AF13" i="1" l="1"/>
  <c r="AG13" i="1" l="1"/>
  <c r="AE14" i="1" s="1"/>
  <c r="AG14" i="1" l="1"/>
  <c r="AF14" i="1"/>
  <c r="J40" i="19"/>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S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AI12" i="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AI13" i="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H13" i="1" l="1"/>
  <c r="AI14" i="1"/>
  <c r="AH14" i="1" s="1"/>
  <c r="AH36" i="19"/>
  <c r="AB16" i="19"/>
  <c r="J46" i="19"/>
  <c r="AB6" i="19"/>
  <c r="AB46" i="19"/>
  <c r="AJ12" i="1"/>
  <c r="P6" i="19"/>
  <c r="P16" i="19"/>
  <c r="J26" i="19"/>
  <c r="V26" i="19"/>
  <c r="AH46" i="19"/>
  <c r="J36" i="19"/>
  <c r="V6" i="19"/>
  <c r="V16" i="19"/>
  <c r="J16" i="19"/>
  <c r="P46" i="19"/>
  <c r="V46" i="19"/>
  <c r="AB36" i="19"/>
  <c r="V36" i="19"/>
  <c r="AB26" i="19"/>
  <c r="P36" i="19"/>
  <c r="AH16" i="19"/>
  <c r="P26" i="19"/>
  <c r="AH26" i="19"/>
  <c r="J6" i="19"/>
  <c r="AJ13" i="1"/>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AJ14" i="1" l="1"/>
  <c r="AG6" i="19"/>
  <c r="AA46" i="19"/>
  <c r="AM6" i="19"/>
  <c r="AG26" i="19"/>
  <c r="AG16" i="19"/>
  <c r="AA36" i="19"/>
  <c r="U26" i="19"/>
  <c r="O16" i="19"/>
  <c r="AM26" i="19"/>
  <c r="U16" i="19"/>
  <c r="O46" i="19"/>
  <c r="AM46" i="19"/>
  <c r="U36" i="19"/>
  <c r="U6" i="19"/>
  <c r="AG46" i="19"/>
  <c r="AA16" i="19"/>
  <c r="O6" i="19"/>
  <c r="AM16" i="19"/>
  <c r="AA6" i="19"/>
  <c r="O36" i="19"/>
  <c r="AA26" i="19"/>
  <c r="U46" i="19"/>
  <c r="AG36" i="19"/>
  <c r="O26" i="19"/>
  <c r="AM36" i="19"/>
  <c r="M36" i="19"/>
  <c r="AE16" i="19"/>
  <c r="S46" i="19"/>
  <c r="AK26" i="19"/>
  <c r="S26" i="19"/>
  <c r="AK6" i="19"/>
  <c r="AK16" i="19"/>
  <c r="M16" i="19"/>
  <c r="Y6" i="19"/>
  <c r="S6" i="19"/>
  <c r="AE46" i="19"/>
  <c r="M26" i="19"/>
  <c r="AK36" i="19"/>
  <c r="AE36" i="19"/>
  <c r="Y16" i="19"/>
  <c r="M6" i="19"/>
  <c r="AE26" i="19"/>
  <c r="S16" i="19"/>
  <c r="AE6" i="19"/>
  <c r="Y36" i="19"/>
  <c r="M46" i="19"/>
  <c r="S36" i="19"/>
  <c r="Y46" i="19"/>
  <c r="Y26" i="19"/>
  <c r="AK46" i="19"/>
  <c r="AJ46" i="19"/>
  <c r="AJ26" i="19"/>
  <c r="X36" i="19"/>
  <c r="R46" i="19"/>
  <c r="R26" i="19"/>
  <c r="R16" i="19"/>
  <c r="L36" i="19"/>
  <c r="AJ6" i="19"/>
  <c r="L16" i="19"/>
  <c r="L6" i="19"/>
  <c r="R36" i="19"/>
  <c r="AD36" i="19"/>
  <c r="AJ36" i="19"/>
  <c r="L26" i="19"/>
  <c r="AD46" i="19"/>
  <c r="L46" i="19"/>
  <c r="R6" i="19"/>
  <c r="AD26" i="19"/>
  <c r="X46" i="19"/>
  <c r="AD6" i="19"/>
  <c r="AJ16" i="19"/>
  <c r="X6" i="19"/>
  <c r="X26" i="19"/>
  <c r="X16" i="19"/>
  <c r="AD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andres el procedimiento de mejora para agregar una fuente de accion nueva</t>
      </text>
    </comment>
    <comment ref="H54" authorId="2" shapeId="0" xr:uid="{0FB5362A-CDC7-4F0F-A42D-1510459C6650}">
      <text>
        <t>[Comentario encadenado]
Su versión de Excel le permite leer este comentario encadenado; sin embargo, las ediciones que se apliquen se quitarán si el archivo se abre en una versión más reciente de Excel. Más información: https://go.microsoft.com/fwlink/?linkid=870924
Comentario:
    Revisar con el proceso y validar la parte de SI para actualizar</t>
      </text>
    </comment>
    <comment ref="G61" authorId="3" shapeId="0" xr:uid="{34043613-66DA-4F0E-A0D9-08E255C57737}">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text>
    </comment>
    <comment ref="G62" authorId="4" shapeId="0" xr:uid="{E742DF35-1EB8-4A5D-9C90-D211DDD2C093}">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text>
    </comment>
    <comment ref="G65" authorId="5" shapeId="0" xr:uid="{43DC9ECD-C088-441B-8DE9-6C87A8F0686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Falta complementar con administrativa de acuerdo con el correo enviado y alinear </t>
      </text>
    </comment>
    <comment ref="G68" authorId="6" shapeId="0" xr:uid="{392367C1-8A10-4E13-B8C3-476797407199}">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text>
    </comment>
    <comment ref="H70" authorId="7" shapeId="0" xr:uid="{9A1F3FD6-4448-4438-8704-6250C0C7BCA5}">
      <text>
        <t>[Comentario encadenado]
Su versión de Excel le permite leer este comentario encadenado; sin embargo, las ediciones que se apliquen se quitarán si el archivo se abre en una versión más reciente de Excel. Más información: https://go.microsoft.com/fwlink/?linkid=870924
Comentario:
    Complementar con lo que nos responda adminitrativa</t>
      </text>
    </comment>
    <comment ref="H73" authorId="8" shapeId="0" xr:uid="{A09C0E4A-B05B-401F-BC88-7B1BE595022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Definir como se realiza actualmente en la entidad el borrado seguro, </t>
      </text>
    </comment>
    <comment ref="G75" authorId="9" shapeId="0" xr:uid="{883A4F46-32FB-44F8-98CC-6616DC6CA455}">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que se tiene con este control en la unidad 
Sistemas de back end o end point protection</t>
      </text>
    </comment>
    <comment ref="H75" authorId="10" shapeId="0" xr:uid="{B788DE5A-C088-405A-A17D-02B824506B32}">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raul o richard</t>
      </text>
    </comment>
    <comment ref="G76" authorId="11" shapeId="0" xr:uid="{2476BB7A-71B7-4A76-BD6E-7D5D9940E107}">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richard</t>
      </text>
    </comment>
    <comment ref="H81" authorId="12" shapeId="0" xr:uid="{E2C5AAD3-03C8-498E-88CC-6B94BE73F075}">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t>
      </text>
    </comment>
    <comment ref="G88" authorId="13" shapeId="0" xr:uid="{8305D206-CDA6-44E0-9C59-CC926F3B76EF}">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andres soto o norberto para complementar la redundancia con linea vida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<sst xmlns="http://schemas.openxmlformats.org/spreadsheetml/2006/main" count="2239" uniqueCount="1100">
  <si>
    <t>IDENTIFICACIÓN VALORACIÓN Y TRATAMIENTO DE RIESGOS DE SEGURIDAD Y PRIVACIDAD DE LA INFORMACIÓN</t>
  </si>
  <si>
    <t>GESTIÓN TECNOLÓGICA</t>
  </si>
  <si>
    <t>UNIDAD NACIONAL DE PROTECCIÓN</t>
  </si>
  <si>
    <t>Proceso:</t>
  </si>
  <si>
    <t>GESTIÓN DE EVALUACIÓN DEL RIESGO</t>
  </si>
  <si>
    <t>Objetivo:</t>
  </si>
  <si>
    <t>Realizar las Evaluaciones de Riesgo tanto individual como colectivas a la Población Objeto del Programa de Prevención y Protección y el Programa Especial de Protección Integral para Dirigentes, Miembros y Sobrevivientes de la Unión Patriótica y el Partido Comunista Colombiano, liderados y coordinados por la Unidad Nacional de Protección – UN</t>
  </si>
  <si>
    <t>Alcance:</t>
  </si>
  <si>
    <t xml:space="preserve">Comprende la planificación, desarrollo, evaluación y mejoramiento continuo de las actividades definidas para coadyuvar a garantizar la vida, integridad, libertad y seguridad de las personas, grupos o comunidades, de acuerdo al nivel de riesgo que se presente mediante el análisis efectuado, en razón al ejercicio de un cargo público u otras actividades que pueden generar riesgo extraordinario o extremo. </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</si>
  <si>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</si>
  <si>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</si>
  <si>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</si>
  <si>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</si>
  <si>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</si>
  <si>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</si>
  <si>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</si>
  <si>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</si>
  <si>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</si>
  <si>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</si>
  <si>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</si>
  <si>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</si>
  <si>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</si>
  <si>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</si>
  <si>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</si>
  <si>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</si>
  <si>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</si>
  <si>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</si>
  <si>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</si>
  <si>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</si>
  <si>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</si>
  <si>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</si>
  <si>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</si>
  <si>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</si>
  <si>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</si>
  <si>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</si>
  <si>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</si>
  <si>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</si>
  <si>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</si>
  <si>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</si>
  <si>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</si>
  <si>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</si>
  <si>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</si>
  <si>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</si>
  <si>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</si>
  <si>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</si>
  <si>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</si>
  <si>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</si>
  <si>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</si>
  <si>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</si>
  <si>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</si>
  <si>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</si>
  <si>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</si>
  <si>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</si>
  <si>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</si>
  <si>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</si>
  <si>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</si>
  <si>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</si>
  <si>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</si>
  <si>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</si>
  <si>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</si>
  <si>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</si>
  <si>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</si>
  <si>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Gestión Evaluación del Riesgo</t>
  </si>
  <si>
    <t>SUBDIRECCIÓN DE EVALUACIÓN DEL RIESGO</t>
  </si>
  <si>
    <t>Plataforma - SER</t>
  </si>
  <si>
    <t>3.10 Exposición de información confidencial y de uso interno por errores de configuración.
3.12 Denegación de servicios.
3.16 Uso no autorizado de la información
4.3 Ausencia o debilidades de mecanismos de identificación y autenticación de usuario.
4.32 Inadecuada protección de la información de registro.
4.5 Ausencia de un proceso formal para la revisión periódica de los permisos de acceso de los usuarios
4.7 Acceso a información confidencial y de uso interno desde componentes tecnológicos reciclados o desechados.</t>
  </si>
  <si>
    <t xml:space="preserve">
4.6 Notificación inoportuna de novedades de usuario a TI.
4.10 Uso de software desactualizado o con vulnerabilidades.
4.31 Falta de pruebas de verificación de las copias de respaldo.
5.1 Mantenimiento insuficiente o inoportuno de los componentes de hardware.
5.11 Uso inadecuado de los componentes tecnológicos (equipos de cómputo, dispositivos de red, servidores, etc.).
</t>
  </si>
  <si>
    <t xml:space="preserve">Reputacional </t>
  </si>
  <si>
    <t>Posible afectación reputacional debido a la pérdida, alteración o vulneración de la integridad, confidencialidad o disponibilidad de la información, como consecuencia de errores o fallas en el software, lo que podría generar retrasos en la gestión del proceso.</t>
  </si>
  <si>
    <t>Alto</t>
  </si>
  <si>
    <t>Medio</t>
  </si>
  <si>
    <t xml:space="preserve">     El riesgo afecta la imagen de alguna área de la organización</t>
  </si>
  <si>
    <t>Preventivo</t>
  </si>
  <si>
    <t>Manual</t>
  </si>
  <si>
    <t>Sin Documentar</t>
  </si>
  <si>
    <t>Continua</t>
  </si>
  <si>
    <t>Sin Registro</t>
  </si>
  <si>
    <t>Aceptar</t>
  </si>
  <si>
    <t>NO</t>
  </si>
  <si>
    <t>Consolidado en excel de la SER</t>
  </si>
  <si>
    <t>1.7 Entrega indebida de la información.
3.13 Alteración de la información</t>
  </si>
  <si>
    <t>La pérdida,  de la confidencialidad, integridad y disponibilidad  la información, debido a errores humanos  por desconocimiento o no aplicación de políticas, normas, o procedimientos de Seguridad de la Información .</t>
  </si>
  <si>
    <t>Posible afectación reputacional por pérdida, alteración o compromiso de la integridad y confidencialidad de la información, debido a errores humanos derivados del desconocimiento o la no aplicación de políticas, normas o procedimientos de Seguridad de la Información.</t>
  </si>
  <si>
    <t xml:space="preserve">     El riesgo afecta la imagen de la entidad con algunos usuarios de relevancia frente al logro de los objetivos</t>
  </si>
  <si>
    <t>Aleatoria</t>
  </si>
  <si>
    <t>Reducir (compartir)</t>
  </si>
  <si>
    <t>Actas</t>
  </si>
  <si>
    <r>
      <t>Pérdida de la confidencialidad e integridad de la información debido a la divulgación no autorizada de datos sensibles o confidenciales</t>
    </r>
    <r>
      <rPr>
        <sz val="10"/>
        <color rgb="FFFF0000"/>
        <rFont val="Arial"/>
        <family val="2"/>
      </rPr>
      <t xml:space="preserve">
</t>
    </r>
  </si>
  <si>
    <t xml:space="preserve">Posible afectación reputacional debido a la pérdida de integridad y confidencialidad de la información como consecuencia de la divulgación no autorizada de datos sensibles o confidenciales. Esta situación podría derivar en investigaciones y sanciones, y puede ser causada tanto por errores humanos relacionados con el desconocimiento o la no aplicación de políticas, normas o procedimientos de seguridad de la información, como por fallas en el funcionamiento del sistema que comprometan la seguridad de los datos.
</t>
  </si>
  <si>
    <t>Evitar</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</si>
  <si>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</si>
  <si>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</si>
  <si>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</si>
  <si>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</si>
  <si>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</si>
  <si>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</si>
  <si>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</si>
  <si>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</si>
  <si>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</si>
  <si>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</si>
  <si>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</si>
  <si>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</si>
  <si>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</si>
  <si>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</si>
  <si>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</si>
  <si>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</si>
  <si>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</si>
  <si>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</si>
  <si>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</si>
  <si>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</si>
  <si>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</si>
  <si>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</si>
  <si>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</si>
  <si>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</si>
  <si>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</si>
  <si>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</si>
  <si>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</si>
  <si>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</si>
  <si>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</si>
  <si>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</si>
  <si>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</si>
  <si>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</si>
  <si>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</si>
  <si>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</si>
  <si>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</si>
  <si>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</si>
  <si>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</si>
  <si>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</si>
  <si>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</si>
  <si>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</si>
  <si>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</si>
  <si>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</si>
  <si>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</si>
  <si>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</si>
  <si>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</si>
  <si>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</si>
  <si>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</si>
  <si>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</si>
  <si>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</si>
  <si>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</si>
  <si>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</si>
  <si>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</si>
  <si>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</si>
  <si>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</si>
  <si>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</si>
  <si>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</si>
  <si>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</si>
  <si>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</si>
  <si>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</si>
  <si>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</si>
  <si>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</si>
  <si>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</si>
  <si>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</si>
  <si>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</si>
  <si>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</si>
  <si>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</si>
  <si>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</si>
  <si>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</si>
  <si>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</si>
  <si>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</si>
  <si>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</si>
  <si>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</si>
  <si>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</si>
  <si>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</si>
  <si>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</si>
  <si>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</si>
  <si>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</si>
  <si>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</si>
  <si>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</si>
  <si>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</si>
  <si>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</si>
  <si>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</si>
  <si>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</si>
  <si>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</si>
  <si>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</si>
  <si>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</si>
  <si>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</si>
  <si>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</si>
  <si>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</si>
  <si>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</si>
  <si>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</si>
  <si>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</si>
  <si>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</si>
  <si>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</si>
  <si>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</si>
  <si>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</si>
  <si>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</si>
  <si>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</si>
  <si>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</si>
  <si>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</si>
  <si>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</si>
  <si>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</si>
  <si>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</si>
  <si>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</si>
  <si>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</si>
  <si>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</si>
  <si>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</si>
  <si>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</si>
  <si>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</si>
  <si>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</si>
  <si>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</si>
  <si>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</si>
  <si>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</si>
  <si>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</si>
  <si>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</si>
  <si>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</si>
  <si>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</si>
  <si>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</si>
  <si>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</si>
  <si>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</si>
  <si>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</si>
  <si>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</si>
  <si>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</si>
  <si>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</si>
  <si>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</si>
  <si>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</si>
  <si>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</si>
  <si>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</si>
  <si>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</si>
  <si>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</si>
  <si>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</si>
  <si>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</si>
  <si>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</si>
  <si>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</si>
  <si>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</si>
  <si>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</si>
  <si>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</si>
  <si>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</si>
  <si>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</si>
  <si>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</si>
  <si>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</si>
  <si>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</si>
  <si>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</si>
  <si>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</si>
  <si>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</si>
  <si>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</si>
  <si>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</si>
  <si>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</si>
  <si>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</si>
  <si>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</si>
  <si>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</si>
  <si>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</si>
  <si>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</si>
  <si>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</si>
  <si>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</si>
  <si>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</si>
  <si>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</si>
  <si>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</si>
  <si>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</si>
  <si>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</si>
  <si>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</si>
  <si>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</si>
  <si>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</si>
  <si>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</si>
  <si>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</si>
  <si>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</si>
  <si>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</si>
  <si>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</si>
  <si>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</si>
  <si>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</si>
  <si>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</si>
  <si>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</si>
  <si>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</si>
  <si>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</si>
  <si>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</si>
  <si>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</si>
  <si>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</si>
  <si>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</si>
  <si>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</si>
  <si>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</si>
  <si>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</si>
  <si>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</si>
  <si>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</si>
  <si>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</si>
  <si>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</si>
  <si>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</si>
  <si>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</si>
  <si>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</si>
  <si>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</si>
  <si>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</si>
  <si>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</si>
  <si>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</si>
  <si>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</si>
  <si>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Inadecuada gestión de incidentes y debilidades de seguridad de la información.</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</si>
  <si>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</si>
  <si>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</si>
  <si>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</si>
  <si>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</si>
  <si>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</si>
  <si>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</si>
  <si>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</si>
  <si>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</si>
  <si>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</si>
  <si>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</si>
  <si>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</si>
  <si>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</si>
  <si>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</si>
  <si>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</si>
  <si>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</si>
  <si>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</si>
  <si>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</si>
  <si>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</si>
  <si>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</si>
  <si>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</si>
  <si>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</si>
  <si>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</si>
  <si>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</si>
  <si>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</si>
  <si>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</si>
  <si>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</si>
  <si>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</si>
  <si>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</si>
  <si>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</si>
  <si>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</si>
  <si>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</si>
  <si>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</si>
  <si>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</si>
  <si>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</si>
  <si>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</si>
  <si>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</si>
  <si>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</si>
  <si>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</si>
  <si>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</si>
  <si>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</si>
  <si>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</si>
  <si>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</si>
  <si>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</si>
  <si>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</si>
  <si>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</si>
  <si>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</si>
  <si>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</si>
  <si>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</si>
  <si>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</si>
  <si>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</si>
  <si>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</si>
  <si>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</si>
  <si>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</si>
  <si>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</si>
  <si>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</si>
  <si>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</si>
  <si>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</si>
  <si>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</si>
  <si>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</si>
  <si>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</si>
  <si>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</si>
  <si>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</si>
  <si>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</si>
  <si>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</si>
  <si>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</si>
  <si>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</si>
  <si>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</si>
  <si>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</si>
  <si>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</si>
  <si>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</si>
  <si>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</si>
  <si>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</si>
  <si>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</si>
  <si>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</si>
  <si>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</si>
  <si>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</si>
  <si>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</si>
  <si>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</si>
  <si>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</si>
  <si>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</si>
  <si>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</si>
  <si>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</si>
  <si>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</si>
  <si>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</si>
  <si>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</si>
  <si>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</si>
  <si>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</si>
  <si>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</si>
  <si>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</si>
  <si>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</si>
  <si>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</si>
  <si>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</si>
  <si>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</si>
  <si>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</si>
  <si>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</si>
  <si>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</si>
  <si>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</si>
  <si>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</si>
  <si>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</si>
  <si>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</si>
  <si>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</si>
  <si>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</si>
  <si>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</si>
  <si>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</si>
  <si>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</si>
  <si>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</si>
  <si>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</si>
  <si>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</si>
  <si>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</si>
  <si>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</si>
  <si>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</si>
  <si>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</si>
  <si>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</si>
  <si>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</si>
  <si>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</si>
  <si>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</si>
  <si>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</si>
  <si>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</si>
  <si>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</si>
  <si>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</si>
  <si>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</si>
  <si>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</si>
  <si>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</si>
  <si>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</si>
  <si>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</si>
  <si>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</si>
  <si>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</si>
  <si>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</si>
  <si>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</si>
  <si>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</si>
  <si>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</si>
  <si>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</si>
  <si>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</si>
  <si>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</si>
  <si>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</si>
  <si>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</si>
  <si>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</si>
  <si>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</si>
  <si>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</si>
  <si>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</si>
  <si>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</si>
  <si>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</si>
  <si>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</si>
  <si>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</si>
  <si>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</si>
  <si>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</si>
  <si>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</si>
  <si>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</si>
  <si>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</si>
  <si>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</si>
  <si>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</si>
  <si>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</si>
  <si>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</si>
  <si>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</si>
  <si>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</si>
  <si>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</si>
  <si>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</si>
  <si>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</si>
  <si>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</si>
  <si>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</si>
  <si>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</si>
  <si>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</si>
  <si>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</si>
  <si>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</si>
  <si>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</si>
  <si>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</si>
  <si>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</si>
  <si>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</si>
  <si>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</si>
  <si>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</si>
  <si>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</si>
  <si>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</si>
  <si>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</si>
  <si>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</si>
  <si>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</si>
  <si>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</si>
  <si>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</si>
  <si>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</si>
  <si>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</si>
  <si>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</si>
  <si>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</si>
  <si>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</si>
  <si>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</si>
  <si>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</si>
  <si>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</si>
  <si>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</si>
  <si>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</si>
  <si>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</si>
  <si>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</si>
  <si>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</si>
  <si>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</si>
  <si>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</si>
  <si>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</si>
  <si>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</si>
  <si>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</si>
  <si>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</si>
  <si>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</si>
  <si>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</si>
  <si>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</si>
  <si>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</si>
  <si>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</si>
  <si>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</si>
  <si>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</si>
  <si>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</si>
  <si>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</si>
  <si>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</si>
  <si>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</si>
  <si>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</si>
  <si>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</si>
  <si>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</si>
  <si>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</si>
  <si>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</si>
  <si>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</si>
  <si>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</si>
  <si>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</si>
  <si>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</si>
  <si>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</si>
  <si>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</si>
  <si>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</si>
  <si>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</si>
  <si>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</si>
  <si>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</si>
  <si>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</si>
  <si>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</si>
  <si>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</si>
  <si>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</si>
  <si>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</si>
  <si>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</si>
  <si>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</si>
  <si>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</si>
  <si>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</si>
  <si>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</si>
  <si>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</si>
  <si>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</si>
  <si>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</si>
  <si>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</si>
  <si>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</si>
  <si>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</si>
  <si>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</si>
  <si>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</si>
  <si>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</si>
  <si>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</si>
  <si>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</si>
  <si>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</si>
  <si>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</si>
  <si>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</si>
  <si>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</si>
  <si>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</si>
  <si>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family val="2"/>
      </rPr>
      <t>Control:</t>
    </r>
    <r>
      <rPr>
        <b/>
        <sz val="12"/>
        <color rgb="FF231F20"/>
        <rFont val="Arial"/>
        <family val="2"/>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family val="2"/>
      </rPr>
      <t>Objetivo:</t>
    </r>
    <r>
      <rPr>
        <b/>
        <sz val="12"/>
        <color rgb="FF231F20"/>
        <rFont val="Arial"/>
        <family val="2"/>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</si>
  <si>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</si>
  <si>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</si>
  <si>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</si>
  <si>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</si>
  <si>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</si>
  <si>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</si>
  <si>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</si>
  <si>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</si>
  <si>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</si>
  <si>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</si>
  <si>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</si>
  <si>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</si>
  <si>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</si>
  <si>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</si>
  <si>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</si>
  <si>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</si>
  <si>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</si>
  <si>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</si>
  <si>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</si>
  <si>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</si>
  <si>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</si>
  <si>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</si>
  <si>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</si>
  <si>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</si>
  <si>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</si>
  <si>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</si>
  <si>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</si>
  <si>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</si>
  <si>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</si>
  <si>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</si>
  <si>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</si>
  <si>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</si>
  <si>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</si>
  <si>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</si>
  <si>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</si>
  <si>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</si>
  <si>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</si>
  <si>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</si>
  <si>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</si>
  <si>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</si>
  <si>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</si>
  <si>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</si>
  <si>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</si>
  <si>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</si>
  <si>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</si>
  <si>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</si>
  <si>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</si>
  <si>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</si>
  <si>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</si>
  <si>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</si>
  <si>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</si>
  <si>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</si>
  <si>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</si>
  <si>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</si>
  <si>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</si>
  <si>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</si>
  <si>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</si>
  <si>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</si>
  <si>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</si>
  <si>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</si>
  <si>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</si>
  <si>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</si>
  <si>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</si>
  <si>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</si>
  <si>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</si>
  <si>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</si>
  <si>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</si>
  <si>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</si>
  <si>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</si>
  <si>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</si>
  <si>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</si>
  <si>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</si>
  <si>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</si>
  <si>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</si>
  <si>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</si>
  <si>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</si>
  <si>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</si>
  <si>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</si>
  <si>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</si>
  <si>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</si>
  <si>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</si>
  <si>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</si>
  <si>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</si>
  <si>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</si>
  <si>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</si>
  <si>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</si>
  <si>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</si>
  <si>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</si>
  <si>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</si>
  <si>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</si>
  <si>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</si>
  <si>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</si>
  <si>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</si>
  <si>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</si>
  <si>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</si>
  <si>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</si>
  <si>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</si>
  <si>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</si>
  <si>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</si>
  <si>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</si>
  <si>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</si>
  <si>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</si>
  <si>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</si>
  <si>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</si>
  <si>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</si>
  <si>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</si>
  <si>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</si>
  <si>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</si>
  <si>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</si>
  <si>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</si>
  <si>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</si>
  <si>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</si>
  <si>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</si>
  <si>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</si>
  <si>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</si>
  <si>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</si>
  <si>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</si>
  <si>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</si>
  <si>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</si>
  <si>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</si>
  <si>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</si>
  <si>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</si>
  <si>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</si>
  <si>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</si>
  <si>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</si>
  <si>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</si>
  <si>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</si>
  <si>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</si>
  <si>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</si>
  <si>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</si>
  <si>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</si>
  <si>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</si>
  <si>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</si>
  <si>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</si>
  <si>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</si>
  <si>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</si>
  <si>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</si>
  <si>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</si>
  <si>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</si>
  <si>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</si>
  <si>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</si>
  <si>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</si>
  <si>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</si>
  <si>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</si>
  <si>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</si>
  <si>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</si>
  <si>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</si>
  <si>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</si>
  <si>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</si>
  <si>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</si>
  <si>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</si>
  <si>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</si>
  <si>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</si>
  <si>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</si>
  <si>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</si>
  <si>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</si>
  <si>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</si>
  <si>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</si>
  <si>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</si>
  <si>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</si>
  <si>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</si>
  <si>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</si>
  <si>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</si>
  <si>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</si>
  <si>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</si>
  <si>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</si>
  <si>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</si>
  <si>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</si>
  <si>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</si>
  <si>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</si>
  <si>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</si>
  <si>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</si>
  <si>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</si>
  <si>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</si>
  <si>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</si>
  <si>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</si>
  <si>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</si>
  <si>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</si>
  <si>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</si>
  <si>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</si>
  <si>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</si>
  <si>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</si>
  <si>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</si>
  <si>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t>
    </r>
    <r>
      <rPr>
        <b/>
        <sz val="12"/>
        <rFont val="Arial"/>
        <family val="2"/>
      </rPr>
      <t>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</si>
  <si>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</si>
  <si>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</si>
  <si>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</si>
  <si>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</si>
  <si>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</si>
  <si>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</si>
  <si>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</si>
  <si>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</si>
  <si>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</si>
  <si>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</si>
  <si>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</si>
  <si>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</si>
  <si>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</si>
  <si>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</si>
  <si>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</si>
  <si>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</si>
  <si>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</si>
  <si>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</si>
  <si>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</si>
  <si>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</si>
  <si>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</si>
  <si>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</si>
  <si>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</si>
  <si>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</si>
  <si>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</si>
  <si>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</si>
  <si>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</si>
  <si>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</si>
  <si>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</si>
  <si>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</si>
  <si>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</si>
  <si>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</si>
  <si>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</si>
  <si>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</si>
  <si>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</si>
  <si>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</si>
  <si>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</si>
  <si>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</si>
  <si>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</si>
  <si>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</si>
  <si>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</si>
  <si>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</si>
  <si>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</si>
  <si>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</si>
  <si>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</si>
  <si>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</si>
  <si>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</si>
  <si>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</si>
  <si>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</si>
  <si>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</si>
  <si>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</si>
  <si>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</si>
  <si>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</si>
  <si>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</si>
  <si>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</si>
  <si>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</si>
  <si>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</si>
  <si>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</si>
  <si>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</si>
  <si>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</si>
  <si>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</si>
  <si>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</si>
  <si>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</si>
  <si>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</si>
  <si>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</si>
  <si>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</si>
  <si>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</si>
  <si>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</si>
  <si>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</si>
  <si>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</si>
  <si>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</si>
  <si>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</si>
  <si>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</si>
  <si>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</si>
  <si>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</si>
  <si>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</si>
  <si>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</si>
  <si>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</si>
  <si>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</si>
  <si>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</si>
  <si>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</si>
  <si>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</si>
  <si>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</si>
  <si>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</si>
  <si>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</si>
  <si>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</si>
  <si>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</si>
  <si>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</si>
  <si>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</si>
  <si>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</si>
  <si>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</si>
  <si>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</si>
  <si>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</si>
  <si>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</si>
  <si>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</si>
  <si>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</si>
  <si>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</si>
  <si>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</si>
  <si>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</si>
  <si>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</si>
  <si>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</si>
  <si>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</si>
  <si>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</si>
  <si>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</si>
  <si>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</si>
  <si>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</si>
  <si>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</si>
  <si>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</si>
  <si>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</si>
  <si>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</si>
  <si>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</si>
  <si>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</si>
  <si>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</si>
  <si>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</si>
  <si>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</si>
  <si>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</si>
  <si>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</si>
  <si>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</si>
  <si>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</si>
  <si>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</si>
  <si>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</si>
  <si>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</si>
  <si>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</si>
  <si>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</si>
  <si>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</si>
  <si>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</si>
  <si>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</si>
  <si>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</si>
  <si>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</si>
  <si>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</si>
  <si>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</si>
  <si>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</si>
  <si>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</si>
  <si>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</si>
  <si>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</si>
  <si>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</si>
  <si>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</si>
  <si>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</si>
  <si>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</si>
  <si>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</si>
  <si>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</si>
  <si>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</si>
  <si>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</si>
  <si>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</si>
  <si>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</si>
  <si>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</si>
  <si>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</si>
  <si>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</si>
  <si>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</si>
  <si>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</si>
  <si>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</si>
  <si>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</si>
  <si>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</si>
  <si>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</si>
  <si>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</si>
  <si>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</si>
  <si>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</si>
  <si>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</si>
  <si>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</si>
  <si>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</si>
  <si>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</si>
  <si>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</si>
  <si>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</si>
  <si>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</si>
  <si>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</si>
  <si>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</si>
  <si>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</si>
  <si>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</si>
  <si>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</si>
  <si>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</si>
  <si>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</si>
  <si>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</si>
  <si>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</si>
  <si>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</si>
  <si>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</si>
  <si>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</si>
  <si>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</si>
  <si>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</si>
  <si>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</si>
  <si>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</si>
  <si>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</si>
  <si>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</si>
  <si>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</si>
  <si>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</si>
  <si>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</si>
  <si>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</si>
  <si>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</si>
  <si>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</si>
  <si>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</si>
  <si>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</si>
  <si>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</si>
  <si>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</si>
  <si>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</si>
  <si>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</si>
  <si>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</si>
  <si>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</si>
  <si>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</si>
  <si>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</si>
  <si>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</si>
  <si>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</si>
  <si>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</si>
  <si>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</si>
  <si>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</si>
  <si>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</si>
  <si>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</si>
  <si>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</si>
  <si>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</si>
  <si>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</si>
  <si>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</si>
  <si>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</si>
  <si>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</si>
  <si>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</si>
  <si>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</si>
  <si>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</si>
  <si>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</si>
  <si>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</si>
  <si>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</si>
  <si>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</si>
  <si>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</si>
  <si>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</si>
  <si>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</si>
  <si>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</si>
  <si>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</si>
  <si>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</si>
  <si>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</si>
  <si>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</si>
  <si>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</si>
  <si>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</si>
  <si>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</si>
  <si>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</si>
  <si>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</si>
  <si>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</si>
  <si>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</si>
  <si>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</si>
  <si>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</si>
  <si>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</si>
  <si>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</si>
  <si>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</si>
  <si>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</si>
  <si>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</si>
  <si>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</si>
  <si>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</si>
  <si>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</si>
  <si>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</si>
  <si>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</si>
  <si>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</si>
  <si>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</si>
  <si>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</si>
  <si>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</si>
  <si>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</si>
  <si>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</si>
  <si>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</si>
  <si>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</si>
  <si>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</si>
  <si>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</si>
  <si>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</si>
  <si>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</si>
  <si>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</si>
  <si>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</si>
  <si>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</si>
  <si>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</si>
  <si>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</si>
  <si>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</si>
  <si>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</si>
  <si>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</si>
  <si>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</si>
  <si>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</si>
  <si>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</si>
  <si>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</si>
  <si>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</si>
  <si>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</si>
  <si>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</si>
  <si>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</si>
  <si>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</si>
  <si>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</si>
  <si>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</si>
  <si>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</si>
  <si>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</si>
  <si>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</si>
  <si>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</si>
  <si>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</si>
  <si>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</si>
  <si>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</si>
  <si>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</si>
  <si>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</si>
  <si>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</si>
  <si>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</si>
  <si>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</si>
  <si>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</si>
  <si>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</si>
  <si>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</si>
  <si>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</si>
  <si>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</si>
  <si>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</si>
  <si>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</si>
  <si>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</si>
  <si>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</si>
  <si>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</si>
  <si>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</si>
  <si>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</si>
  <si>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</si>
  <si>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</si>
  <si>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</si>
  <si>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</si>
  <si>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</si>
  <si>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Documentado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</si>
  <si>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</si>
  <si>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</si>
  <si>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</si>
  <si>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</si>
  <si>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</si>
  <si>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</si>
  <si>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</si>
  <si>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</si>
  <si>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</si>
  <si>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</si>
  <si>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Direccionamiento Estratégico y Planeacion</t>
  </si>
  <si>
    <t>DIRECCIÓN GENERAL</t>
  </si>
  <si>
    <t>SI - (IDENTIFIQUE PLAN DE TRATAMIENTO DE RIESGOS)</t>
  </si>
  <si>
    <t>Coordinación y Cooperacion Institucional</t>
  </si>
  <si>
    <t>OFICINA ASESORA JURÍDICA</t>
  </si>
  <si>
    <t>Economico</t>
  </si>
  <si>
    <t>Gestión Integrada MIPG-SIG</t>
  </si>
  <si>
    <t>OFICINA ASESORA DE PLANEACIÓN E INFORMACIÓN</t>
  </si>
  <si>
    <t xml:space="preserve">Bajo </t>
  </si>
  <si>
    <t>Gestión de las Comunicaciones Estrategicas</t>
  </si>
  <si>
    <t>OFICINA DE CONTROL INTERNO</t>
  </si>
  <si>
    <t>Gestión Estratégica del Talento Humano</t>
  </si>
  <si>
    <t>SECRETARIA GENERAL</t>
  </si>
  <si>
    <t>Gestion Integral de Medidas de Emergencia</t>
  </si>
  <si>
    <t>SUBDIRECCIÓN DE PROTECCIÓN</t>
  </si>
  <si>
    <t>Gestión Medidas de Protección</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</si>
  <si>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</si>
  <si>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</si>
  <si>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</si>
  <si>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</si>
  <si>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</si>
  <si>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</si>
  <si>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</si>
  <si>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Jurídica</t>
  </si>
  <si>
    <t>Gestión Documental</t>
  </si>
  <si>
    <t>Gestión Tecnológica</t>
  </si>
  <si>
    <t>Gestión de evaluación independiente</t>
  </si>
  <si>
    <t>Gestión Control Disciplinario Interno</t>
  </si>
  <si>
    <t>Económico</t>
  </si>
  <si>
    <t>Atributos controles riesgos fiscales</t>
  </si>
  <si>
    <t>Reputacional</t>
  </si>
  <si>
    <t>Procedimientos</t>
  </si>
  <si>
    <t>Económico y Reputacional</t>
  </si>
  <si>
    <t>Otros esquemas</t>
  </si>
  <si>
    <t>Reducir (mitigar)</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</si>
  <si>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</si>
  <si>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</si>
  <si>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</si>
  <si>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</si>
  <si>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</si>
  <si>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</si>
  <si>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</si>
  <si>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</si>
  <si>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</si>
  <si>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</si>
  <si>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</si>
  <si>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</si>
  <si>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</si>
  <si>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</si>
  <si>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</si>
  <si>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</si>
  <si>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</si>
  <si>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</si>
  <si>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</si>
  <si>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</si>
  <si>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</si>
  <si>
    <t xml:space="preserve">
1.4. Sabotaje
1.5. Errores humanos en el cumplimiento de las labores
3.13 Alteración de la información
2.15 Uso indebido de la información
2.2. Niveles de temperatura o humedad por fuera de los rangos aceptables.
2.10. Incendio
2.11 Inundación
4.5. Hurto de equipos, medios magnéticos o documentos</t>
  </si>
  <si>
    <r>
      <t>Los Servidores Públicos  o contratistas que utilicen la plataforma SER deberán reportar en la mesa de servicio cualquier evento o incidente que afecte su funcionamiento, cuando sea necesario. Esta gestión queda evidenciada en los reportes generados por el Grupo de Tecnología, los cuales registran los soportes técnicos realizados a través de la mesa de servicio. (SOA 5.7,</t>
    </r>
    <r>
      <rPr>
        <sz val="10"/>
        <color rgb="FFFF0000"/>
        <rFont val="Arial"/>
        <family val="2"/>
      </rPr>
      <t xml:space="preserve"> </t>
    </r>
    <r>
      <rPr>
        <sz val="10"/>
        <rFont val="Arial"/>
        <family val="2"/>
      </rPr>
      <t>6,8</t>
    </r>
    <r>
      <rPr>
        <b/>
        <sz val="10"/>
        <rFont val="Arial"/>
        <family val="2"/>
      </rPr>
      <t>)</t>
    </r>
    <r>
      <rPr>
        <b/>
        <sz val="10"/>
        <color rgb="FFFF0000"/>
        <rFont val="Arial"/>
        <family val="2"/>
      </rPr>
      <t xml:space="preserve">
</t>
    </r>
    <r>
      <rPr>
        <sz val="10"/>
        <color rgb="FF000000"/>
        <rFont val="Arial"/>
        <family val="2"/>
      </rPr>
      <t xml:space="preserve">
</t>
    </r>
    <r>
      <rPr>
        <b/>
        <sz val="10"/>
        <color rgb="FF000000"/>
        <rFont val="Arial"/>
        <family val="2"/>
      </rPr>
      <t xml:space="preserve">Evidencia: Correo electrónico con los archivos adjuntos en formato Excel
</t>
    </r>
    <r>
      <rPr>
        <sz val="10"/>
        <color rgb="FF000000"/>
        <rFont val="Arial"/>
        <family val="2"/>
      </rPr>
      <t xml:space="preserve">
</t>
    </r>
    <r>
      <rPr>
        <b/>
        <sz val="10"/>
        <color rgb="FF000000"/>
        <rFont val="Arial"/>
        <family val="2"/>
      </rPr>
      <t>Periodicidad: Semestral o cuando se presente
Ataca: 4.6, 4.10, 5.1 y 5.11</t>
    </r>
  </si>
  <si>
    <r>
      <t xml:space="preserve">El Servidor Público o contratista designado por la Subdirección de Evaluación del Riesgo llevará a cabo actividades de sensibilización sobre las políticas de seguridad de la información de la Unidad Nacional de Protección (UNP), contenidas en el Manual de Políticas Específicas de Seguridad y Privacidad de la Información (GTE-MA-02). Estas actividades tienen como objetivo promover la adopción e interiorización de buenas prácticas en los servidores públicos y/o contratistas que participan en el proceso. (SOA 5,1 6.2, 6.4, 6.5, 6.6, 6.7 y 6.8)
</t>
    </r>
    <r>
      <rPr>
        <b/>
        <sz val="10"/>
        <color rgb="FF000000"/>
        <rFont val="Arial"/>
        <family val="2"/>
      </rPr>
      <t xml:space="preserve">
Evidencia: Actas de socialización
Periodicidad: Anual 
Ataca la 1.3, 1.5, 1.6</t>
    </r>
  </si>
  <si>
    <r>
      <t xml:space="preserve">El Servidor Público o contratista delegado ante la Secretaría Técnica del CERREM deberá solicitar al Grupo de Gestión de Tecnologías el control de acceso y la restricción a la información y demás activos asociados, de acuerdo con la política establecida sobre control de acceso, relacionada con las actas del CERREM. (SOA 8.2, 8.3 y 8,13)
</t>
    </r>
    <r>
      <rPr>
        <b/>
        <sz val="10"/>
        <color theme="1"/>
        <rFont val="Arial"/>
        <family val="2"/>
      </rPr>
      <t>Evidencia:</t>
    </r>
    <r>
      <rPr>
        <sz val="10"/>
        <color theme="1"/>
        <rFont val="Arial"/>
        <family val="2"/>
      </rPr>
      <t xml:space="preserve"> </t>
    </r>
    <r>
      <rPr>
        <b/>
        <sz val="10"/>
        <color theme="1"/>
        <rFont val="Arial"/>
        <family val="2"/>
      </rPr>
      <t>Comunicación oficial y/o correo electrónico.
Peridicidad: Cuando se presente
Ataca: 4.2, 4.4, 2.3</t>
    </r>
  </si>
  <si>
    <t>Pérdida, afectación de la integridad, confidencialidad o disponibilidad de la información, debido a errores o fallas en el funcionamiento del sistema,</t>
  </si>
  <si>
    <r>
      <t xml:space="preserve">El servidor público y/o contratista designado será responsable de otorgar el acceso a la plataforma, el cual deberá realizarse con los permisos estrictamente necesarios para el cumplimiento de sus funciones, garantizando el acceso autorizado y evitar el acceso no autorizado a la información. De este modo, se fortalece la seguridad y confidencialidad de la información de la Plataforma SER. (SOA 5.2, 5.15, 5.17, 6,6)
</t>
    </r>
    <r>
      <rPr>
        <b/>
        <sz val="10"/>
        <color rgb="FF000000"/>
        <rFont val="Arial"/>
        <family val="2"/>
      </rPr>
      <t xml:space="preserve">Evidencia: Usuarios con los permisos asignados según el Rol
Periodicidad: a demanda cuando se presente nuevos analistas
</t>
    </r>
    <r>
      <rPr>
        <sz val="10"/>
        <color rgb="FF000000"/>
        <rFont val="Arial"/>
        <family val="2"/>
      </rPr>
      <t xml:space="preserve">
</t>
    </r>
    <r>
      <rPr>
        <b/>
        <sz val="10"/>
        <color rgb="FF000000"/>
        <rFont val="Arial"/>
        <family val="2"/>
      </rPr>
      <t>Ataca: 4.6, 5.11</t>
    </r>
  </si>
  <si>
    <r>
      <t xml:space="preserve">El servidor público y/o contratista designado, solicitara a gestión tecnología  por medio de mesa de servicios la realización de copias de segurida de la plataforma del SER. (SOA 8.13)   
</t>
    </r>
    <r>
      <rPr>
        <b/>
        <sz val="10"/>
        <rFont val="Arial"/>
        <family val="2"/>
      </rPr>
      <t xml:space="preserve">Evidencia: solicitud a mesa de Servicios o reunión con responsable de Backup 
Periodicidad:  Mensual
Ataca: 4.31
</t>
    </r>
    <r>
      <rPr>
        <sz val="10"/>
        <rFont val="Arial"/>
        <family val="2"/>
      </rPr>
      <t xml:space="preserve">
</t>
    </r>
  </si>
  <si>
    <r>
      <t xml:space="preserve">El Servidor Público contratista de la Secretaría Técnica del CERREM en cada sesión hara la lectura de la reserva de la información ante los delegados y demás asistentes, asi mismo enviará reportes en los meses de agosto y diciembre, donde se informe la cantidad de sesiones realizadas en la cual se realizó la lectura de la reserva de la información.  (SOA 6.2, 6.4, 6.5, 6.6, 6.7 y 6.8)
</t>
    </r>
    <r>
      <rPr>
        <b/>
        <sz val="10"/>
        <color theme="1"/>
        <rFont val="Arial"/>
        <family val="2"/>
      </rPr>
      <t>Evidencia: Reportes de la lectura de la reserva de la información.
Periodicidad: Semestral o cuando aplique
Ataca: 3.9</t>
    </r>
  </si>
  <si>
    <r>
      <t xml:space="preserve">El Servidor Público o contratista designado por la Subdirección de Evaluación del Riesgo solicita a los coordinadores, grupos y equipos de trabajo el diligenciamiento y la actualización de los formatos GTE-FT-23 (Formato de Creación o Modificación de Usuario) y GTE-FT-34 (Formato de Acuerdo de Confidencialidad para Servidores Públicos, Contratistas y/o Terceros), cada vez que se vincule un nuevo integrante al equipo SER. (SOA, 5,15 6.2, 6.4, 6.5, 6.6, 6.7 y 6.8)
</t>
    </r>
    <r>
      <rPr>
        <b/>
        <sz val="10"/>
        <color rgb="FF000000"/>
        <rFont val="Arial"/>
        <family val="2"/>
      </rPr>
      <t xml:space="preserve">
Evidencia: Formatos diligenciados GTE-FT-23 y GTE-FT-34 de las personas que integran el equipo SER</t>
    </r>
    <r>
      <rPr>
        <sz val="10"/>
        <color rgb="FF000000"/>
        <rFont val="Arial"/>
        <family val="2"/>
      </rPr>
      <t xml:space="preserve">.
</t>
    </r>
    <r>
      <rPr>
        <b/>
        <sz val="10"/>
        <color rgb="FF000000"/>
        <rFont val="Arial"/>
        <family val="2"/>
      </rPr>
      <t xml:space="preserve">Periodicidad:  Anual o cuando se presente.
Ataca la 1.9, 1.11
</t>
    </r>
    <r>
      <rPr>
        <sz val="10"/>
        <color rgb="FF000000"/>
        <rFont val="Arial"/>
        <family val="2"/>
      </rPr>
      <t xml:space="preserve">
</t>
    </r>
  </si>
  <si>
    <t>1.3 Desconocimiento de políticas, normas, o procedimientos de Seguridad de la Información.
1.5 Ausencia o carencia de conocimiento para el manejo de herramientas de seguridad informática.
1.6 Falta de conciencia en Seguridad de la Información.
1.9 Desconocimiento de los controles de seguridad informática aplicados a los activos de información que son de su responsabilidad.
1.11 Falta de conciencia en Protección de Datos Personales.</t>
  </si>
  <si>
    <t xml:space="preserve">4.2 Asignación errada de privilegios o derechos de acceso.
4.4 Inadecuada segregación de funciones, roles y perfiles de usuario.
3.9 Almacenamiento de documentos impresos sin medidas de protección.
2.3 Ausencia de procedimientos para la clasificación, etiquetado y manejo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</si>
</sst>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3" x14ac:knownFonts="1">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u/>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
      <sz val="10"/>
      <color rgb="FFFF0000"/>
      <name val="Arial"/>
      <family val="2"/>
    </font>
    <font>
      <b/>
      <sz val="10"/>
      <color rgb="FFFF0000"/>
      <name val="Arial"/>
      <family val="2"/>
    </font>
  </fonts>
  <fills count="28">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5DBE6"/>
        <bgColor indexed="64"/>
      </patternFill>
    </fill>
  </fills>
  <borders count="93">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59">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5" fillId="24" borderId="62" xfId="8" applyFont="1" applyFill="1" applyBorder="1" applyAlignment="1">
      <alignment horizontal="center" vertical="center" wrapText="1"/>
    </xf>
    <xf numFmtId="0" fontId="76"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7" fillId="24" borderId="19" xfId="8" applyFont="1" applyFill="1" applyBorder="1" applyAlignment="1">
      <alignment horizontal="justify" vertical="center" wrapText="1"/>
    </xf>
    <xf numFmtId="0" fontId="75"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72" fillId="0" borderId="19" xfId="8" applyFont="1" applyBorder="1" applyAlignment="1">
      <alignment horizontal="justify" vertical="center" wrapText="1"/>
    </xf>
    <xf numFmtId="0" fontId="54" fillId="0" borderId="19" xfId="8" applyFont="1" applyBorder="1" applyAlignment="1">
      <alignment horizontal="left" vertical="center" wrapText="1"/>
    </xf>
    <xf numFmtId="0" fontId="54" fillId="0" borderId="24" xfId="8" applyFont="1" applyBorder="1" applyAlignment="1">
      <alignment horizontal="center" vertical="center" wrapText="1"/>
    </xf>
    <xf numFmtId="0" fontId="54" fillId="12" borderId="19" xfId="8" applyFont="1" applyFill="1" applyBorder="1" applyAlignment="1">
      <alignment horizontal="center" vertical="center" wrapText="1"/>
    </xf>
    <xf numFmtId="0" fontId="54" fillId="12" borderId="24" xfId="8" applyFont="1" applyFill="1" applyBorder="1" applyAlignment="1">
      <alignment horizontal="center" vertical="center" wrapText="1"/>
    </xf>
    <xf numFmtId="0" fontId="53" fillId="12" borderId="19" xfId="7" applyFont="1" applyFill="1" applyBorder="1" applyAlignment="1">
      <alignment horizontal="center" vertical="center" wrapText="1"/>
    </xf>
    <xf numFmtId="0" fontId="51" fillId="12" borderId="24" xfId="7" applyFont="1" applyFill="1" applyBorder="1" applyAlignment="1">
      <alignment horizontal="justify" vertical="center" wrapText="1"/>
    </xf>
    <xf numFmtId="0" fontId="53" fillId="12" borderId="62" xfId="7" applyFont="1" applyFill="1" applyBorder="1" applyAlignment="1">
      <alignment horizontal="center" vertical="center" wrapText="1"/>
    </xf>
    <xf numFmtId="0" fontId="53" fillId="26" borderId="62" xfId="7" applyFont="1" applyFill="1" applyBorder="1" applyAlignment="1">
      <alignment horizontal="center" vertical="center" wrapText="1"/>
    </xf>
    <xf numFmtId="0" fontId="51" fillId="26" borderId="24" xfId="7" applyFont="1" applyFill="1" applyBorder="1" applyAlignment="1">
      <alignment horizontal="justify" vertical="center" wrapText="1"/>
    </xf>
    <xf numFmtId="0" fontId="53" fillId="26" borderId="19" xfId="7" applyFont="1" applyFill="1" applyBorder="1" applyAlignment="1">
      <alignment horizontal="center" vertical="center" wrapText="1"/>
    </xf>
    <xf numFmtId="0" fontId="56" fillId="12" borderId="29" xfId="7" applyFont="1" applyFill="1" applyBorder="1" applyAlignment="1">
      <alignment horizontal="justify" vertical="center" wrapText="1"/>
    </xf>
    <xf numFmtId="0" fontId="56" fillId="12" borderId="24" xfId="7" applyFont="1" applyFill="1" applyBorder="1" applyAlignment="1">
      <alignment horizontal="justify" vertical="center" wrapText="1"/>
    </xf>
    <xf numFmtId="0" fontId="56" fillId="2" borderId="53" xfId="7" applyFont="1" applyFill="1" applyBorder="1" applyAlignment="1">
      <alignment horizontal="justify" vertical="center" wrapText="1"/>
    </xf>
    <xf numFmtId="0" fontId="56" fillId="26" borderId="24" xfId="7" applyFont="1" applyFill="1" applyBorder="1" applyAlignment="1">
      <alignment horizontal="justify" vertical="center" wrapText="1"/>
    </xf>
    <xf numFmtId="0" fontId="51" fillId="0" borderId="19" xfId="0" applyFont="1" applyBorder="1" applyAlignment="1" applyProtection="1">
      <alignment horizontal="justify" vertical="center" wrapText="1"/>
      <protection locked="0"/>
    </xf>
    <xf numFmtId="0" fontId="51" fillId="0" borderId="19" xfId="0" applyFont="1" applyBorder="1" applyAlignment="1" applyProtection="1">
      <alignment horizontal="center" vertical="center"/>
      <protection hidden="1"/>
    </xf>
    <xf numFmtId="0" fontId="51" fillId="0" borderId="19" xfId="0" applyFont="1" applyBorder="1" applyAlignment="1" applyProtection="1">
      <alignment horizontal="center" vertical="center" textRotation="90"/>
      <protection locked="0"/>
    </xf>
    <xf numFmtId="9" fontId="51" fillId="0" borderId="19" xfId="0" applyNumberFormat="1" applyFont="1" applyBorder="1" applyAlignment="1" applyProtection="1">
      <alignment horizontal="center" vertical="center"/>
      <protection hidden="1"/>
    </xf>
    <xf numFmtId="164" fontId="51" fillId="0" borderId="19" xfId="1" applyNumberFormat="1" applyFont="1" applyBorder="1" applyAlignment="1">
      <alignment horizontal="center" vertical="center"/>
    </xf>
    <xf numFmtId="0" fontId="53" fillId="0" borderId="19" xfId="0" applyFont="1" applyBorder="1" applyAlignment="1" applyProtection="1">
      <alignment horizontal="center" vertical="center" textRotation="90" wrapText="1"/>
      <protection hidden="1"/>
    </xf>
    <xf numFmtId="0" fontId="53" fillId="0" borderId="19" xfId="0" applyFont="1" applyBorder="1" applyAlignment="1" applyProtection="1">
      <alignment horizontal="center" vertical="center" textRotation="90"/>
      <protection hidden="1"/>
    </xf>
    <xf numFmtId="0" fontId="81" fillId="0" borderId="19" xfId="0" applyFont="1" applyBorder="1" applyAlignment="1" applyProtection="1">
      <alignment horizontal="justify" vertical="top" wrapText="1"/>
      <protection locked="0"/>
    </xf>
    <xf numFmtId="0" fontId="55" fillId="27" borderId="19" xfId="7" applyFont="1" applyFill="1" applyBorder="1" applyAlignment="1">
      <alignment horizontal="center" vertical="center"/>
    </xf>
    <xf numFmtId="0" fontId="56" fillId="0" borderId="19" xfId="0" applyFont="1" applyBorder="1" applyAlignment="1" applyProtection="1">
      <alignment horizontal="justify" vertical="center" wrapText="1"/>
      <protection locked="0"/>
    </xf>
    <xf numFmtId="0" fontId="42" fillId="0" borderId="19" xfId="0" applyFont="1" applyBorder="1" applyAlignment="1" applyProtection="1">
      <alignment horizontal="justify" vertical="top" wrapText="1"/>
      <protection locked="0"/>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0" fontId="62" fillId="18" borderId="19" xfId="0" applyFont="1" applyFill="1" applyBorder="1" applyAlignment="1">
      <alignment horizontal="center" vertical="center" wrapText="1"/>
    </xf>
    <xf numFmtId="14" fontId="42" fillId="0" borderId="19" xfId="0" applyNumberFormat="1" applyFont="1" applyBorder="1" applyAlignment="1">
      <alignment horizontal="center" vertical="center" wrapText="1"/>
    </xf>
    <xf numFmtId="0" fontId="51" fillId="0" borderId="19" xfId="0" applyFont="1" applyBorder="1" applyAlignment="1" applyProtection="1">
      <alignment horizontal="center" vertical="center" wrapText="1"/>
      <protection locked="0"/>
    </xf>
    <xf numFmtId="0" fontId="51" fillId="0" borderId="19" xfId="0" applyFont="1" applyBorder="1" applyAlignment="1" applyProtection="1">
      <alignment horizontal="center" vertical="top" wrapText="1"/>
      <protection locked="0"/>
    </xf>
    <xf numFmtId="0" fontId="64" fillId="18" borderId="19" xfId="0" applyFont="1" applyFill="1" applyBorder="1" applyAlignment="1">
      <alignment horizontal="center" vertical="center" wrapText="1"/>
    </xf>
    <xf numFmtId="0" fontId="64" fillId="17" borderId="19" xfId="0" applyFont="1" applyFill="1" applyBorder="1" applyAlignment="1">
      <alignment horizontal="center" vertical="center"/>
    </xf>
    <xf numFmtId="0" fontId="64" fillId="18" borderId="19" xfId="0" applyFont="1" applyFill="1" applyBorder="1" applyAlignment="1">
      <alignment horizontal="center" vertical="center"/>
    </xf>
    <xf numFmtId="0" fontId="53" fillId="0" borderId="19" xfId="0" applyFont="1" applyBorder="1" applyAlignment="1" applyProtection="1">
      <alignment horizontal="center" vertical="center"/>
      <protection hidden="1"/>
    </xf>
    <xf numFmtId="9" fontId="51" fillId="0" borderId="19" xfId="0" applyNumberFormat="1" applyFont="1" applyBorder="1" applyAlignment="1" applyProtection="1">
      <alignment horizontal="center" vertical="center" wrapText="1"/>
      <protection hidden="1"/>
    </xf>
    <xf numFmtId="9" fontId="51" fillId="0" borderId="19" xfId="0" applyNumberFormat="1" applyFont="1" applyBorder="1" applyAlignment="1" applyProtection="1">
      <alignment horizontal="center" vertical="center" wrapText="1"/>
      <protection locked="0"/>
    </xf>
    <xf numFmtId="0" fontId="64" fillId="17" borderId="19" xfId="0" applyFont="1" applyFill="1" applyBorder="1" applyAlignment="1">
      <alignment horizontal="center" vertical="center" wrapText="1"/>
    </xf>
    <xf numFmtId="9" fontId="51" fillId="0" borderId="19" xfId="0" applyNumberFormat="1" applyFont="1" applyBorder="1" applyAlignment="1" applyProtection="1">
      <alignment horizontal="center" vertical="top" wrapText="1"/>
      <protection hidden="1"/>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locked="0"/>
    </xf>
    <xf numFmtId="0" fontId="42" fillId="0" borderId="19" xfId="0" applyFont="1" applyBorder="1" applyAlignment="1" applyProtection="1">
      <alignment horizontal="center" vertical="center" wrapText="1"/>
      <protection locked="0"/>
    </xf>
    <xf numFmtId="0" fontId="51" fillId="0" borderId="19" xfId="0" applyFont="1" applyBorder="1" applyAlignment="1" applyProtection="1">
      <alignment horizontal="center" vertical="top"/>
      <protection locked="0"/>
    </xf>
    <xf numFmtId="0" fontId="53" fillId="0" borderId="19" xfId="0" applyFont="1" applyBorder="1" applyAlignment="1" applyProtection="1">
      <alignment horizontal="center" vertical="top" wrapText="1"/>
      <protection hidden="1"/>
    </xf>
    <xf numFmtId="0" fontId="51" fillId="0" borderId="19" xfId="0" applyFont="1" applyBorder="1" applyAlignment="1">
      <alignment horizontal="center" vertical="top"/>
    </xf>
    <xf numFmtId="0" fontId="42" fillId="0" borderId="19" xfId="0" applyFont="1" applyBorder="1" applyAlignment="1" applyProtection="1">
      <alignment horizontal="center" vertical="top" wrapText="1"/>
      <protection locked="0"/>
    </xf>
    <xf numFmtId="0" fontId="53" fillId="0" borderId="19" xfId="0" applyFont="1" applyBorder="1" applyAlignment="1" applyProtection="1">
      <alignment horizontal="center" vertical="center" wrapText="1"/>
      <protection hidden="1"/>
    </xf>
    <xf numFmtId="0" fontId="51" fillId="0" borderId="19" xfId="0" applyFont="1" applyBorder="1" applyAlignment="1" applyProtection="1">
      <alignment horizontal="center" vertical="center"/>
      <protection locked="0"/>
    </xf>
    <xf numFmtId="0" fontId="53" fillId="0" borderId="73" xfId="0" applyFont="1" applyBorder="1" applyAlignment="1" applyProtection="1">
      <alignment horizontal="center" vertical="center" wrapText="1"/>
      <protection hidden="1"/>
    </xf>
    <xf numFmtId="0" fontId="53" fillId="0" borderId="92" xfId="0" applyFont="1" applyBorder="1" applyAlignment="1" applyProtection="1">
      <alignment horizontal="center" vertical="center" wrapText="1"/>
      <protection hidden="1"/>
    </xf>
    <xf numFmtId="0" fontId="53" fillId="0" borderId="20" xfId="0" applyFont="1" applyBorder="1" applyAlignment="1" applyProtection="1">
      <alignment horizontal="center" vertical="center" wrapText="1"/>
      <protection hidden="1"/>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textRotation="90" wrapText="1"/>
    </xf>
    <xf numFmtId="0" fontId="64" fillId="17" borderId="19" xfId="0" applyFont="1" applyFill="1" applyBorder="1" applyAlignment="1">
      <alignment horizontal="center" vertical="center" textRotation="90" wrapText="1"/>
    </xf>
    <xf numFmtId="0" fontId="63" fillId="18" borderId="19" xfId="0" applyFont="1" applyFill="1" applyBorder="1" applyAlignment="1">
      <alignment horizontal="center" vertical="center"/>
    </xf>
    <xf numFmtId="0" fontId="48" fillId="0" borderId="19" xfId="0" applyFont="1" applyBorder="1" applyAlignment="1">
      <alignment horizontal="left" vertical="center" wrapText="1"/>
    </xf>
    <xf numFmtId="0" fontId="51" fillId="2" borderId="19" xfId="0" applyFont="1" applyFill="1" applyBorder="1" applyAlignment="1" applyProtection="1">
      <alignment horizontal="center" vertical="center"/>
      <protection locked="0"/>
    </xf>
    <xf numFmtId="0" fontId="51" fillId="2" borderId="74" xfId="0" applyFont="1" applyFill="1" applyBorder="1" applyAlignment="1" applyProtection="1">
      <alignment horizontal="left" vertical="center"/>
      <protection locked="0"/>
    </xf>
    <xf numFmtId="0" fontId="51" fillId="2" borderId="75" xfId="0" applyFont="1" applyFill="1" applyBorder="1" applyAlignment="1" applyProtection="1">
      <alignment horizontal="left" vertical="center"/>
      <protection locked="0"/>
    </xf>
    <xf numFmtId="0" fontId="51" fillId="2" borderId="62" xfId="0" applyFont="1" applyFill="1" applyBorder="1" applyAlignment="1" applyProtection="1">
      <alignment horizontal="left" vertical="center"/>
      <protection locked="0"/>
    </xf>
    <xf numFmtId="0" fontId="51" fillId="2" borderId="74" xfId="0" applyFont="1" applyFill="1" applyBorder="1" applyAlignment="1" applyProtection="1">
      <alignment horizontal="left" vertical="center" wrapText="1"/>
      <protection locked="0"/>
    </xf>
    <xf numFmtId="0" fontId="51" fillId="2" borderId="75" xfId="0" applyFont="1" applyFill="1" applyBorder="1" applyAlignment="1" applyProtection="1">
      <alignment horizontal="left" vertical="center" wrapText="1"/>
      <protection locked="0"/>
    </xf>
    <xf numFmtId="0" fontId="51" fillId="2" borderId="62" xfId="0" applyFont="1" applyFill="1" applyBorder="1" applyAlignment="1" applyProtection="1">
      <alignment horizontal="left" vertical="center" wrapText="1"/>
      <protection locked="0"/>
    </xf>
    <xf numFmtId="0" fontId="45" fillId="0" borderId="19" xfId="0" applyFont="1" applyBorder="1" applyAlignment="1">
      <alignment horizontal="left" vertical="center" wrapText="1"/>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51" fillId="0" borderId="19" xfId="0" applyFont="1" applyBorder="1" applyAlignment="1">
      <alignment horizontal="left" vertical="center"/>
    </xf>
    <xf numFmtId="0" fontId="51" fillId="0" borderId="19" xfId="0" applyFont="1" applyBorder="1" applyAlignment="1">
      <alignment horizontal="right"/>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61" fillId="2" borderId="19" xfId="0" applyFont="1" applyFill="1" applyBorder="1" applyAlignment="1">
      <alignment horizontal="left"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61" fillId="2" borderId="71" xfId="0" applyFont="1" applyFill="1" applyBorder="1" applyAlignment="1">
      <alignment horizontal="left" vertical="center" wrapText="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78" fillId="0" borderId="89" xfId="8" applyFont="1" applyBorder="1" applyAlignment="1">
      <alignment horizontal="left" vertical="center"/>
    </xf>
    <xf numFmtId="0" fontId="78" fillId="0" borderId="41" xfId="8" applyFont="1" applyBorder="1" applyAlignment="1">
      <alignment horizontal="left" vertical="center"/>
    </xf>
    <xf numFmtId="0" fontId="78"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10" xfId="0" applyFont="1" applyBorder="1" applyAlignment="1">
      <alignment horizontal="center" vertical="center" wrapText="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5"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21" fillId="0" borderId="0" xfId="0" applyFont="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5" xfId="0" applyFont="1" applyBorder="1" applyAlignment="1">
      <alignment horizontal="center" vertical="center" wrapText="1"/>
    </xf>
    <xf numFmtId="0" fontId="38" fillId="0" borderId="0" xfId="0" applyFont="1" applyAlignment="1">
      <alignment horizontal="center" vertical="center"/>
    </xf>
    <xf numFmtId="0" fontId="38" fillId="0" borderId="5"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8" xfId="0" applyFont="1" applyBorder="1" applyAlignment="1">
      <alignment horizontal="center" vertical="center"/>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38" fillId="0" borderId="10" xfId="0" applyFont="1" applyBorder="1" applyAlignment="1">
      <alignment horizontal="center" vertical="center" wrapText="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56" fillId="0" borderId="19" xfId="0" applyFont="1" applyBorder="1" applyAlignment="1" applyProtection="1">
      <alignment horizontal="justify" vertical="top" wrapText="1"/>
      <protection locked="0"/>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23">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FF0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1" defaultTableStyle="TableStyleMedium2" defaultPivotStyle="PivotStyleLight16">
    <tableStyle name="Invisible" pivot="0" table="0" count="0" xr9:uid="{B255A4AB-405F-4EFF-BCC9-2262BA93FFAA}"/>
  </tableStyles>
  <colors>
    <mruColors>
      <color rgb="FF660033"/>
      <color rgb="FFF5DBE6"/>
      <color rgb="FFF1CBDB"/>
      <color rgb="FF993366"/>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4</xdr:col>
      <xdr:colOff>523875</xdr:colOff>
      <xdr:row>2</xdr:row>
      <xdr:rowOff>31415</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339889</xdr:colOff>
      <xdr:row>1</xdr:row>
      <xdr:rowOff>564903</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0</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22" dataDxfId="21">
  <autoFilter ref="B209:C219" xr:uid="{00000000-0009-0000-0100-000001000000}"/>
  <tableColumns count="2">
    <tableColumn id="1" xr3:uid="{00000000-0010-0000-0000-000001000000}" name="Criterios" dataDxfId="20"/>
    <tableColumn id="2" xr3:uid="{00000000-0010-0000-0000-000002000000}" name="Subcriterios" dataDxfId="1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69"/>
  <sheetViews>
    <sheetView tabSelected="1" view="pageBreakPreview" topLeftCell="A8" zoomScaleNormal="70" zoomScaleSheetLayoutView="100" workbookViewId="0">
      <pane xSplit="6" ySplit="4" topLeftCell="N16" activePane="bottomRight" state="frozen"/>
      <selection activeCell="A8" sqref="A8"/>
      <selection pane="topRight" activeCell="G8" sqref="G8"/>
      <selection pane="bottomLeft" activeCell="A12" sqref="A12"/>
      <selection pane="bottomRight" activeCell="P21" sqref="P21:P26"/>
    </sheetView>
  </sheetViews>
  <sheetFormatPr baseColWidth="10" defaultColWidth="0" defaultRowHeight="0" customHeight="1" zeroHeight="1" outlineLevelRow="1" x14ac:dyDescent="0.2"/>
  <cols>
    <col min="1" max="1" width="4" style="147" bestFit="1" customWidth="1"/>
    <col min="2" max="2" width="10.42578125" style="147" customWidth="1"/>
    <col min="3" max="3" width="13.28515625" style="147" customWidth="1"/>
    <col min="4" max="4" width="10.85546875" style="147" customWidth="1"/>
    <col min="5" max="5" width="21.5703125" style="145" customWidth="1"/>
    <col min="6" max="6" width="40.85546875" style="145" customWidth="1"/>
    <col min="7" max="7" width="33.7109375" style="149" customWidth="1"/>
    <col min="8" max="8" width="15" style="149" customWidth="1"/>
    <col min="9" max="9" width="32.28515625" style="149" customWidth="1"/>
    <col min="10" max="12" width="9.85546875" style="149" customWidth="1"/>
    <col min="13" max="16" width="9.85546875" style="145" customWidth="1"/>
    <col min="17" max="17" width="30.5703125" style="145" hidden="1" customWidth="1"/>
    <col min="18" max="18" width="10.7109375" style="145" customWidth="1"/>
    <col min="19" max="19" width="6.28515625" style="145" bestFit="1" customWidth="1"/>
    <col min="20" max="20" width="14.5703125" style="145" customWidth="1"/>
    <col min="21" max="21" width="5.85546875" style="145" customWidth="1"/>
    <col min="22" max="22" width="60.7109375" style="145" customWidth="1"/>
    <col min="23" max="23" width="31" style="145" customWidth="1"/>
    <col min="24" max="24" width="15.140625" style="145" bestFit="1" customWidth="1"/>
    <col min="25" max="25" width="6.85546875" style="145" customWidth="1"/>
    <col min="26" max="26" width="5" style="145" customWidth="1"/>
    <col min="27" max="27" width="5.5703125" style="145" customWidth="1"/>
    <col min="28" max="28" width="7.140625" style="145" customWidth="1"/>
    <col min="29" max="30" width="6.7109375" style="145" customWidth="1"/>
    <col min="31" max="31" width="9.7109375" style="145" customWidth="1"/>
    <col min="32" max="32" width="8.7109375" style="145" customWidth="1"/>
    <col min="33" max="33" width="10.42578125" style="145" customWidth="1"/>
    <col min="34" max="34" width="9.28515625" style="145" customWidth="1"/>
    <col min="35" max="35" width="9.140625" style="145" customWidth="1"/>
    <col min="36" max="36" width="8.42578125" style="145" customWidth="1"/>
    <col min="37" max="37" width="7.28515625" style="145" customWidth="1"/>
    <col min="38" max="38" width="34" style="148" customWidth="1"/>
    <col min="39" max="39" width="23" style="145" customWidth="1"/>
    <col min="40" max="40" width="18.85546875" style="145" customWidth="1"/>
    <col min="41" max="41" width="21.140625" style="145" customWidth="1"/>
    <col min="42" max="42" width="15.140625" style="145" customWidth="1"/>
    <col min="43" max="43" width="17.140625" style="145" customWidth="1"/>
    <col min="44" max="45" width="19.5703125" style="145" customWidth="1"/>
    <col min="46" max="46" width="33.28515625" style="145" customWidth="1"/>
    <col min="47" max="47" width="28.5703125" style="145" customWidth="1"/>
    <col min="48" max="48" width="26.140625" style="145" customWidth="1"/>
    <col min="49" max="49" width="11.42578125" style="144" customWidth="1"/>
    <col min="50" max="73" width="0" style="144" hidden="1" customWidth="1"/>
    <col min="74" max="16384" width="11.42578125" style="144" hidden="1"/>
  </cols>
  <sheetData>
    <row r="1" spans="1:48" s="1" customFormat="1" ht="45.75" customHeight="1" x14ac:dyDescent="0.2">
      <c r="A1" s="289"/>
      <c r="B1" s="289"/>
      <c r="C1" s="289"/>
      <c r="D1" s="289"/>
      <c r="E1" s="289"/>
      <c r="F1" s="290" t="s">
        <v>0</v>
      </c>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88"/>
      <c r="AS1" s="288"/>
      <c r="AT1" s="288"/>
      <c r="AU1" s="288"/>
      <c r="AV1" s="288"/>
    </row>
    <row r="2" spans="1:48" s="1" customFormat="1" ht="45.75" customHeight="1" x14ac:dyDescent="0.2">
      <c r="A2" s="289"/>
      <c r="B2" s="289"/>
      <c r="C2" s="289"/>
      <c r="D2" s="289"/>
      <c r="E2" s="289"/>
      <c r="F2" s="290" t="s">
        <v>1</v>
      </c>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290"/>
      <c r="AL2" s="290"/>
      <c r="AM2" s="290"/>
      <c r="AN2" s="290"/>
      <c r="AO2" s="290"/>
      <c r="AP2" s="290"/>
      <c r="AQ2" s="290"/>
      <c r="AR2" s="288"/>
      <c r="AS2" s="288"/>
      <c r="AT2" s="288"/>
      <c r="AU2" s="288"/>
      <c r="AV2" s="288"/>
    </row>
    <row r="3" spans="1:48" s="1" customFormat="1" ht="45.75" customHeight="1" x14ac:dyDescent="0.2">
      <c r="A3" s="289"/>
      <c r="B3" s="289"/>
      <c r="C3" s="289"/>
      <c r="D3" s="289"/>
      <c r="E3" s="289"/>
      <c r="F3" s="290" t="s">
        <v>2</v>
      </c>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88"/>
      <c r="AS3" s="288"/>
      <c r="AT3" s="288"/>
      <c r="AU3" s="288"/>
      <c r="AV3" s="288"/>
    </row>
    <row r="4" spans="1:48" ht="45.75" customHeight="1" x14ac:dyDescent="0.2">
      <c r="A4" s="331"/>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row>
    <row r="5" spans="1:48" ht="45.75" customHeight="1" x14ac:dyDescent="0.2">
      <c r="A5" s="317" t="s">
        <v>3</v>
      </c>
      <c r="B5" s="317"/>
      <c r="C5" s="324" t="s">
        <v>4</v>
      </c>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6"/>
    </row>
    <row r="6" spans="1:48" ht="45.75" customHeight="1" x14ac:dyDescent="0.2">
      <c r="A6" s="317" t="s">
        <v>5</v>
      </c>
      <c r="B6" s="317"/>
      <c r="C6" s="324" t="s">
        <v>6</v>
      </c>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6"/>
    </row>
    <row r="7" spans="1:48" ht="45.75" customHeight="1" x14ac:dyDescent="0.2">
      <c r="A7" s="317" t="s">
        <v>7</v>
      </c>
      <c r="B7" s="317"/>
      <c r="C7" s="327" t="s">
        <v>8</v>
      </c>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9"/>
    </row>
    <row r="8" spans="1:48" ht="45.75" customHeight="1" x14ac:dyDescent="0.2">
      <c r="A8" s="298" t="s">
        <v>9</v>
      </c>
      <c r="B8" s="298"/>
      <c r="C8" s="298"/>
      <c r="D8" s="298"/>
      <c r="E8" s="298"/>
      <c r="F8" s="298"/>
      <c r="G8" s="298"/>
      <c r="H8" s="298"/>
      <c r="I8" s="298"/>
      <c r="J8" s="298" t="s">
        <v>10</v>
      </c>
      <c r="K8" s="298"/>
      <c r="L8" s="298"/>
      <c r="M8" s="298" t="s">
        <v>11</v>
      </c>
      <c r="N8" s="298"/>
      <c r="O8" s="298"/>
      <c r="P8" s="298"/>
      <c r="Q8" s="298"/>
      <c r="R8" s="298"/>
      <c r="S8" s="298"/>
      <c r="T8" s="298"/>
      <c r="U8" s="298" t="s">
        <v>12</v>
      </c>
      <c r="V8" s="298"/>
      <c r="W8" s="298"/>
      <c r="X8" s="298"/>
      <c r="Y8" s="298"/>
      <c r="Z8" s="298"/>
      <c r="AA8" s="298"/>
      <c r="AB8" s="298"/>
      <c r="AC8" s="298"/>
      <c r="AD8" s="298"/>
      <c r="AE8" s="298" t="s">
        <v>13</v>
      </c>
      <c r="AF8" s="298"/>
      <c r="AG8" s="298"/>
      <c r="AH8" s="298"/>
      <c r="AI8" s="298"/>
      <c r="AJ8" s="298"/>
      <c r="AK8" s="298"/>
      <c r="AL8" s="298"/>
      <c r="AM8" s="298" t="s">
        <v>14</v>
      </c>
      <c r="AN8" s="298"/>
      <c r="AO8" s="298"/>
      <c r="AP8" s="298" t="s">
        <v>15</v>
      </c>
      <c r="AQ8" s="298"/>
      <c r="AR8" s="298"/>
      <c r="AS8" s="298"/>
      <c r="AT8" s="298"/>
      <c r="AU8" s="298"/>
      <c r="AV8" s="298"/>
    </row>
    <row r="9" spans="1:48" ht="36" customHeight="1" x14ac:dyDescent="0.2">
      <c r="A9" s="318" t="s">
        <v>16</v>
      </c>
      <c r="B9" s="297" t="s">
        <v>17</v>
      </c>
      <c r="C9" s="297" t="s">
        <v>18</v>
      </c>
      <c r="D9" s="297" t="s">
        <v>19</v>
      </c>
      <c r="E9" s="299" t="s">
        <v>20</v>
      </c>
      <c r="F9" s="297" t="s">
        <v>21</v>
      </c>
      <c r="G9" s="297" t="s">
        <v>22</v>
      </c>
      <c r="H9" s="297" t="s">
        <v>23</v>
      </c>
      <c r="I9" s="297" t="s">
        <v>24</v>
      </c>
      <c r="J9" s="297" t="s">
        <v>25</v>
      </c>
      <c r="K9" s="297" t="s">
        <v>26</v>
      </c>
      <c r="L9" s="297" t="s">
        <v>27</v>
      </c>
      <c r="M9" s="297" t="s">
        <v>28</v>
      </c>
      <c r="N9" s="297" t="s">
        <v>29</v>
      </c>
      <c r="O9" s="299" t="s">
        <v>30</v>
      </c>
      <c r="P9" s="297" t="s">
        <v>31</v>
      </c>
      <c r="Q9" s="297" t="s">
        <v>32</v>
      </c>
      <c r="R9" s="297" t="s">
        <v>33</v>
      </c>
      <c r="S9" s="299" t="s">
        <v>30</v>
      </c>
      <c r="T9" s="297" t="s">
        <v>34</v>
      </c>
      <c r="U9" s="320" t="s">
        <v>35</v>
      </c>
      <c r="V9" s="303" t="s">
        <v>36</v>
      </c>
      <c r="W9" s="297" t="s">
        <v>37</v>
      </c>
      <c r="X9" s="297" t="s">
        <v>38</v>
      </c>
      <c r="Y9" s="303" t="s">
        <v>39</v>
      </c>
      <c r="Z9" s="303"/>
      <c r="AA9" s="303"/>
      <c r="AB9" s="303"/>
      <c r="AC9" s="303"/>
      <c r="AD9" s="303"/>
      <c r="AE9" s="319" t="s">
        <v>40</v>
      </c>
      <c r="AF9" s="319" t="s">
        <v>41</v>
      </c>
      <c r="AG9" s="319" t="s">
        <v>30</v>
      </c>
      <c r="AH9" s="319" t="s">
        <v>42</v>
      </c>
      <c r="AI9" s="319" t="s">
        <v>30</v>
      </c>
      <c r="AJ9" s="319" t="s">
        <v>43</v>
      </c>
      <c r="AK9" s="319" t="s">
        <v>44</v>
      </c>
      <c r="AL9" s="297" t="s">
        <v>45</v>
      </c>
      <c r="AM9" s="297" t="s">
        <v>46</v>
      </c>
      <c r="AN9" s="297" t="s">
        <v>47</v>
      </c>
      <c r="AO9" s="297" t="s">
        <v>48</v>
      </c>
      <c r="AP9" s="297" t="s">
        <v>49</v>
      </c>
      <c r="AQ9" s="297" t="s">
        <v>50</v>
      </c>
      <c r="AR9" s="297" t="s">
        <v>51</v>
      </c>
      <c r="AS9" s="297" t="s">
        <v>52</v>
      </c>
      <c r="AT9" s="297" t="s">
        <v>53</v>
      </c>
      <c r="AU9" s="297"/>
      <c r="AV9" s="297"/>
    </row>
    <row r="10" spans="1:48" ht="15.75" customHeight="1" x14ac:dyDescent="0.2">
      <c r="A10" s="318"/>
      <c r="B10" s="297"/>
      <c r="C10" s="297"/>
      <c r="D10" s="297"/>
      <c r="E10" s="299"/>
      <c r="F10" s="297"/>
      <c r="G10" s="297"/>
      <c r="H10" s="297"/>
      <c r="I10" s="297"/>
      <c r="J10" s="297"/>
      <c r="K10" s="297"/>
      <c r="L10" s="297"/>
      <c r="M10" s="297"/>
      <c r="N10" s="297"/>
      <c r="O10" s="299"/>
      <c r="P10" s="297"/>
      <c r="Q10" s="297"/>
      <c r="R10" s="297"/>
      <c r="S10" s="299"/>
      <c r="T10" s="297"/>
      <c r="U10" s="320"/>
      <c r="V10" s="303"/>
      <c r="W10" s="297"/>
      <c r="X10" s="297"/>
      <c r="Y10" s="303" t="s">
        <v>54</v>
      </c>
      <c r="Z10" s="303"/>
      <c r="AA10" s="303"/>
      <c r="AB10" s="303" t="s">
        <v>55</v>
      </c>
      <c r="AC10" s="303"/>
      <c r="AD10" s="303"/>
      <c r="AE10" s="319"/>
      <c r="AF10" s="319"/>
      <c r="AG10" s="319"/>
      <c r="AH10" s="319"/>
      <c r="AI10" s="319"/>
      <c r="AJ10" s="319"/>
      <c r="AK10" s="319"/>
      <c r="AL10" s="297"/>
      <c r="AM10" s="297"/>
      <c r="AN10" s="297"/>
      <c r="AO10" s="297"/>
      <c r="AP10" s="297"/>
      <c r="AQ10" s="297"/>
      <c r="AR10" s="297"/>
      <c r="AS10" s="297"/>
      <c r="AT10" s="297"/>
      <c r="AU10" s="297"/>
      <c r="AV10" s="297"/>
    </row>
    <row r="11" spans="1:48" s="150" customFormat="1" ht="38.25" customHeight="1" x14ac:dyDescent="0.25">
      <c r="A11" s="318"/>
      <c r="B11" s="297"/>
      <c r="C11" s="297"/>
      <c r="D11" s="297"/>
      <c r="E11" s="299"/>
      <c r="F11" s="297"/>
      <c r="G11" s="297"/>
      <c r="H11" s="297"/>
      <c r="I11" s="297"/>
      <c r="J11" s="297"/>
      <c r="K11" s="297"/>
      <c r="L11" s="297"/>
      <c r="M11" s="297"/>
      <c r="N11" s="297"/>
      <c r="O11" s="299"/>
      <c r="P11" s="297"/>
      <c r="Q11" s="297"/>
      <c r="R11" s="299"/>
      <c r="S11" s="299"/>
      <c r="T11" s="297"/>
      <c r="U11" s="320"/>
      <c r="V11" s="303"/>
      <c r="W11" s="297"/>
      <c r="X11" s="297"/>
      <c r="Y11" s="244" t="s">
        <v>56</v>
      </c>
      <c r="Z11" s="244" t="s">
        <v>57</v>
      </c>
      <c r="AA11" s="244" t="s">
        <v>58</v>
      </c>
      <c r="AB11" s="244" t="s">
        <v>59</v>
      </c>
      <c r="AC11" s="244" t="s">
        <v>60</v>
      </c>
      <c r="AD11" s="244" t="s">
        <v>61</v>
      </c>
      <c r="AE11" s="319"/>
      <c r="AF11" s="319"/>
      <c r="AG11" s="319"/>
      <c r="AH11" s="319"/>
      <c r="AI11" s="319"/>
      <c r="AJ11" s="319"/>
      <c r="AK11" s="319"/>
      <c r="AL11" s="297"/>
      <c r="AM11" s="297"/>
      <c r="AN11" s="297"/>
      <c r="AO11" s="297"/>
      <c r="AP11" s="297"/>
      <c r="AQ11" s="297"/>
      <c r="AR11" s="297"/>
      <c r="AS11" s="297"/>
      <c r="AT11" s="297"/>
      <c r="AU11" s="297"/>
      <c r="AV11" s="297"/>
    </row>
    <row r="12" spans="1:48" s="146" customFormat="1" ht="204.75" customHeight="1" x14ac:dyDescent="0.25">
      <c r="A12" s="310"/>
      <c r="B12" s="295" t="s">
        <v>62</v>
      </c>
      <c r="C12" s="295" t="s">
        <v>63</v>
      </c>
      <c r="D12" s="295" t="s">
        <v>64</v>
      </c>
      <c r="E12" s="307" t="s">
        <v>65</v>
      </c>
      <c r="F12" s="295" t="s">
        <v>66</v>
      </c>
      <c r="G12" s="295" t="s">
        <v>1093</v>
      </c>
      <c r="H12" s="295" t="s">
        <v>67</v>
      </c>
      <c r="I12" s="295" t="s">
        <v>68</v>
      </c>
      <c r="J12" s="295" t="s">
        <v>69</v>
      </c>
      <c r="K12" s="295" t="s">
        <v>70</v>
      </c>
      <c r="L12" s="295" t="s">
        <v>70</v>
      </c>
      <c r="M12" s="323">
        <v>12000</v>
      </c>
      <c r="N12" s="312" t="str">
        <f>IF(M12&lt;=0,"",IF(M12&lt;=2,"Muy Baja",IF(M12&lt;=24,"Baja",IF(M12&lt;=500,"Media",IF(M12&lt;=5000,"Alta","Muy Alta")))))</f>
        <v>Muy Alta</v>
      </c>
      <c r="O12" s="301">
        <f>IF(N12="","",IF(N12="Muy Baja",0.2,IF(N12="Baja",0.4,IF(N12="Media",0.6,IF(N12="Alta",0.8,IF(N12="Muy Alta",1,))))))</f>
        <v>1</v>
      </c>
      <c r="P12" s="302" t="s">
        <v>71</v>
      </c>
      <c r="Q12" s="301" t="str">
        <f>IF(NOT(ISERROR(MATCH(P12,'Tabla Impacto'!$B$221:$B$223,0))),'Tabla Impacto'!$F$223&amp;"Por favor no seleccionar los criterios de impacto(Afectación Económica o presupuestal y Pérdida Reputacional)",P12)</f>
        <v xml:space="preserve">     El riesgo afecta la imagen de alguna área de la organización</v>
      </c>
      <c r="R12" s="312" t="str">
        <f>IF(OR(Q12='Tabla Impacto'!$C$11,Q12='Tabla Impacto'!$D$11),"Leve",IF(OR(Q12='Tabla Impacto'!$C$12,Q12='Tabla Impacto'!$D$12),"Menor",IF(OR(Q12='Tabla Impacto'!$C$13,Q12='Tabla Impacto'!$D$13),"Moderado",IF(OR(Q12='Tabla Impacto'!$C$14,Q12='Tabla Impacto'!$D$14),"Mayor",IF(OR(Q12='Tabla Impacto'!$C$15,Q12='Tabla Impacto'!$D$15),"Catastrófico","")))))</f>
        <v>Leve</v>
      </c>
      <c r="S12" s="301">
        <f>IF(R12="","",IF(R12="Leve",0.2,IF(R12="Menor",0.4,IF(R12="Moderado",0.6,IF(R12="Mayor",0.8,IF(R12="Catastrófico",1,))))))</f>
        <v>0.2</v>
      </c>
      <c r="T12" s="300"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245">
        <v>1</v>
      </c>
      <c r="V12" s="283" t="s">
        <v>1090</v>
      </c>
      <c r="W12" s="247"/>
      <c r="X12" s="275" t="str">
        <f>IF(OR(Y12="Preventivo",Y12="Detectivo"),"Probabilidad",IF(Y12="Correctivo","Impacto",""))</f>
        <v>Probabilidad</v>
      </c>
      <c r="Y12" s="276" t="s">
        <v>72</v>
      </c>
      <c r="Z12" s="276" t="s">
        <v>73</v>
      </c>
      <c r="AA12" s="277" t="str">
        <f t="shared" ref="AA12:AA14" si="0">IF(AND(Y12="Preventivo",Z12="Automático"),"50%",IF(AND(Y12="Preventivo",Z12="Manual"),"40%",IF(AND(Y12="Detectivo",Z12="Automático"),"40%",IF(AND(Y12="Detectivo",Z12="Manual"),"30%",IF(AND(Y12="Correctivo",Z12="Automático"),"35%",IF(AND(Y12="Correctivo",Z12="Manual"),"25%",""))))))</f>
        <v>40%</v>
      </c>
      <c r="AB12" s="276" t="s">
        <v>74</v>
      </c>
      <c r="AC12" s="276" t="s">
        <v>75</v>
      </c>
      <c r="AD12" s="276" t="s">
        <v>76</v>
      </c>
      <c r="AE12" s="278">
        <f>IFERROR(IF(X12="Probabilidad",(O12-(+O12*AA12)),IF(X12="Impacto",O12,"")),"")</f>
        <v>0.6</v>
      </c>
      <c r="AF12" s="279" t="str">
        <f>IFERROR(IF(AE12="","",IF(AE12&lt;=0.2,"Muy Baja",IF(AE12&lt;=0.4,"Baja",IF(AE12&lt;=0.6,"Media",IF(AE12&lt;=0.8,"Alta","Muy Alta"))))),"")</f>
        <v>Media</v>
      </c>
      <c r="AG12" s="277">
        <f>+AE12</f>
        <v>0.6</v>
      </c>
      <c r="AH12" s="279" t="str">
        <f>IFERROR(IF(AI12="","",IF(AI12&lt;=0.2,"Leve",IF(AI12&lt;=0.4,"Menor",IF(AI12&lt;=0.6,"Moderado",IF(AI12&lt;=0.8,"Mayor","Catastrófico"))))),"")</f>
        <v>Leve</v>
      </c>
      <c r="AI12" s="277">
        <f>IFERROR(IF(X12="Impacto",(S12-(+S12*AA12)),IF(X12="Probabilidad",S12,"")),"")</f>
        <v>0.2</v>
      </c>
      <c r="AJ12" s="280" t="str">
        <f t="shared" ref="AJ12:AJ13" si="1">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Moderado</v>
      </c>
      <c r="AK12" s="276" t="s">
        <v>77</v>
      </c>
      <c r="AL12" s="295" t="s">
        <v>78</v>
      </c>
      <c r="AM12" s="254"/>
      <c r="AN12" s="255"/>
      <c r="AO12" s="256"/>
      <c r="AP12" s="257"/>
      <c r="AQ12" s="257"/>
      <c r="AR12" s="257"/>
      <c r="AS12" s="257"/>
      <c r="AT12" s="285"/>
      <c r="AU12" s="286"/>
      <c r="AV12" s="287"/>
    </row>
    <row r="13" spans="1:48" ht="176.25" customHeight="1" x14ac:dyDescent="0.2">
      <c r="A13" s="310"/>
      <c r="B13" s="295"/>
      <c r="C13" s="295"/>
      <c r="D13" s="295"/>
      <c r="E13" s="307"/>
      <c r="F13" s="295"/>
      <c r="G13" s="295"/>
      <c r="H13" s="295"/>
      <c r="I13" s="295"/>
      <c r="J13" s="295"/>
      <c r="K13" s="295"/>
      <c r="L13" s="295"/>
      <c r="M13" s="323"/>
      <c r="N13" s="312"/>
      <c r="O13" s="301"/>
      <c r="P13" s="302"/>
      <c r="Q13" s="301">
        <f>IF(NOT(ISERROR(MATCH(P13,_xlfn.ANCHORARRAY(E21),0))),O23&amp;"Por favor no seleccionar los criterios de impacto",P13)</f>
        <v>0</v>
      </c>
      <c r="R13" s="312"/>
      <c r="S13" s="301"/>
      <c r="T13" s="300"/>
      <c r="U13" s="245">
        <v>2</v>
      </c>
      <c r="V13" s="658" t="s">
        <v>1094</v>
      </c>
      <c r="W13" s="246"/>
      <c r="X13" s="275" t="str">
        <f>IF(OR(Y13="Preventivo",Y13="Detectivo"),"Probabilidad",IF(Y13="Correctivo","Impacto",""))</f>
        <v>Probabilidad</v>
      </c>
      <c r="Y13" s="276" t="s">
        <v>72</v>
      </c>
      <c r="Z13" s="276" t="s">
        <v>73</v>
      </c>
      <c r="AA13" s="277" t="str">
        <f t="shared" si="0"/>
        <v>40%</v>
      </c>
      <c r="AB13" s="276" t="s">
        <v>74</v>
      </c>
      <c r="AC13" s="276" t="s">
        <v>75</v>
      </c>
      <c r="AD13" s="276" t="s">
        <v>76</v>
      </c>
      <c r="AE13" s="278">
        <f>IFERROR(IF(AND(X12="Probabilidad",X13="Probabilidad"),(AG12-(+AG12*AA13)),IF(X13="Probabilidad",(O12-(+O12*AA13)),IF(X13="Impacto",AG12,""))),"")</f>
        <v>0.36</v>
      </c>
      <c r="AF13" s="279" t="str">
        <f t="shared" ref="AF13:AF16" si="2">IFERROR(IF(AE13="","",IF(AE13&lt;=0.2,"Muy Baja",IF(AE13&lt;=0.4,"Baja",IF(AE13&lt;=0.6,"Media",IF(AE13&lt;=0.8,"Alta","Muy Alta"))))),"")</f>
        <v>Baja</v>
      </c>
      <c r="AG13" s="277">
        <f t="shared" ref="AG13:AG16" si="3">+AE13</f>
        <v>0.36</v>
      </c>
      <c r="AH13" s="279" t="str">
        <f t="shared" ref="AH13:AH16" si="4">IFERROR(IF(AI13="","",IF(AI13&lt;=0.2,"Leve",IF(AI13&lt;=0.4,"Menor",IF(AI13&lt;=0.6,"Moderado",IF(AI13&lt;=0.8,"Mayor","Catastrófico"))))),"")</f>
        <v>Leve</v>
      </c>
      <c r="AI13" s="277">
        <f>IFERROR(IF(AND(X12="Impacto",X13="Impacto"),(AI12-(+AI12*AA13)),IF(X13="Impacto",(S12-(+S12*AA13)),IF(X13="Probabilidad",AI12,""))),"")</f>
        <v>0.2</v>
      </c>
      <c r="AJ13" s="280" t="str">
        <f t="shared" si="1"/>
        <v>Bajo</v>
      </c>
      <c r="AK13" s="276" t="s">
        <v>77</v>
      </c>
      <c r="AL13" s="295"/>
      <c r="AM13" s="254"/>
      <c r="AN13" s="255"/>
      <c r="AO13" s="256"/>
      <c r="AP13" s="257"/>
      <c r="AQ13" s="257"/>
      <c r="AR13" s="257"/>
      <c r="AS13" s="257"/>
      <c r="AT13" s="285"/>
      <c r="AU13" s="286"/>
      <c r="AV13" s="287"/>
    </row>
    <row r="14" spans="1:48" ht="142.5" customHeight="1" x14ac:dyDescent="0.2">
      <c r="A14" s="310"/>
      <c r="B14" s="295"/>
      <c r="C14" s="295"/>
      <c r="D14" s="295"/>
      <c r="E14" s="307"/>
      <c r="F14" s="295"/>
      <c r="G14" s="295"/>
      <c r="H14" s="295"/>
      <c r="I14" s="295"/>
      <c r="J14" s="295"/>
      <c r="K14" s="295"/>
      <c r="L14" s="295"/>
      <c r="M14" s="323"/>
      <c r="N14" s="312"/>
      <c r="O14" s="301"/>
      <c r="P14" s="302"/>
      <c r="Q14" s="301">
        <f>IF(NOT(ISERROR(MATCH(P14,_xlfn.ANCHORARRAY(E25),0))),O27&amp;"Por favor no seleccionar los criterios de impacto",P14)</f>
        <v>0</v>
      </c>
      <c r="R14" s="312"/>
      <c r="S14" s="301"/>
      <c r="T14" s="300"/>
      <c r="U14" s="245">
        <v>3</v>
      </c>
      <c r="V14" s="284" t="s">
        <v>1095</v>
      </c>
      <c r="W14" s="246"/>
      <c r="X14" s="275" t="str">
        <f t="shared" ref="X14:X56" si="5">IF(OR(Y14="Preventivo",Y14="Detectivo"),"Probabilidad",IF(Y14="Correctivo","Impacto",""))</f>
        <v>Probabilidad</v>
      </c>
      <c r="Y14" s="276" t="s">
        <v>72</v>
      </c>
      <c r="Z14" s="276" t="s">
        <v>73</v>
      </c>
      <c r="AA14" s="277" t="str">
        <f t="shared" si="0"/>
        <v>40%</v>
      </c>
      <c r="AB14" s="276" t="s">
        <v>74</v>
      </c>
      <c r="AC14" s="276" t="s">
        <v>75</v>
      </c>
      <c r="AD14" s="276" t="s">
        <v>76</v>
      </c>
      <c r="AE14" s="278">
        <f>IFERROR(IF(AND(X13="Probabilidad",X14="Probabilidad"),(AG13-(+AG13*AA14)),IF(X14="Probabilidad",(O13-(+O13*AA14)),IF(X14="Impacto",AG13,""))),"")</f>
        <v>0.216</v>
      </c>
      <c r="AF14" s="279" t="str">
        <f t="shared" ref="AF14" si="6">IFERROR(IF(AE14="","",IF(AE14&lt;=0.2,"Muy Baja",IF(AE14&lt;=0.4,"Baja",IF(AE14&lt;=0.6,"Media",IF(AE14&lt;=0.8,"Alta","Muy Alta"))))),"")</f>
        <v>Baja</v>
      </c>
      <c r="AG14" s="277">
        <f t="shared" ref="AG14" si="7">+AE14</f>
        <v>0.216</v>
      </c>
      <c r="AH14" s="279" t="str">
        <f t="shared" ref="AH14" si="8">IFERROR(IF(AI14="","",IF(AI14&lt;=0.2,"Leve",IF(AI14&lt;=0.4,"Menor",IF(AI14&lt;=0.6,"Moderado",IF(AI14&lt;=0.8,"Mayor","Catastrófico"))))),"")</f>
        <v>Leve</v>
      </c>
      <c r="AI14" s="277">
        <f>IFERROR(IF(AND(X13="Impacto",X14="Impacto"),(AI13-(+AI13*AA14)),IF(X14="Impacto",(S13-(+S13*AA14)),IF(X14="Probabilidad",AI13,""))),"")</f>
        <v>0.2</v>
      </c>
      <c r="AJ14" s="280" t="str">
        <f t="shared" ref="AJ14" si="9">IFERROR(IF(OR(AND(AF14="Muy Baja",AH14="Leve"),AND(AF14="Muy Baja",AH14="Menor"),AND(AF14="Baja",AH14="Leve")),"Bajo",IF(OR(AND(AF14="Muy baja",AH14="Moderado"),AND(AF14="Baja",AH14="Menor"),AND(AF14="Baja",AH14="Moderado"),AND(AF14="Media",AH14="Leve"),AND(AF14="Media",AH14="Menor"),AND(AF14="Media",AH14="Moderado"),AND(AF14="Alta",AH14="Leve"),AND(AF14="Alta",AH14="Menor")),"Moderado",IF(OR(AND(AF14="Muy Baja",AH14="Mayor"),AND(AF14="Baja",AH14="Mayor"),AND(AF14="Media",AH14="Mayor"),AND(AF14="Alta",AH14="Moderado"),AND(AF14="Alta",AH14="Mayor"),AND(AF14="Muy Alta",AH14="Leve"),AND(AF14="Muy Alta",AH14="Menor"),AND(AF14="Muy Alta",AH14="Moderado"),AND(AF14="Muy Alta",AH14="Mayor")),"Alto",IF(OR(AND(AF14="Muy Baja",AH14="Catastrófico"),AND(AF14="Baja",AH14="Catastrófico"),AND(AF14="Media",AH14="Catastrófico"),AND(AF14="Alta",AH14="Catastrófico"),AND(AF14="Muy Alta",AH14="Catastrófico")),"Extremo","")))),"")</f>
        <v>Bajo</v>
      </c>
      <c r="AK14" s="276" t="s">
        <v>77</v>
      </c>
      <c r="AL14" s="295"/>
      <c r="AM14" s="254"/>
      <c r="AN14" s="255"/>
      <c r="AO14" s="256"/>
      <c r="AP14" s="257"/>
      <c r="AQ14" s="257"/>
      <c r="AR14" s="257"/>
      <c r="AS14" s="257"/>
      <c r="AT14" s="285"/>
      <c r="AU14" s="286"/>
      <c r="AV14" s="287"/>
    </row>
    <row r="15" spans="1:48" ht="225" customHeight="1" x14ac:dyDescent="0.2">
      <c r="A15" s="310"/>
      <c r="B15" s="295" t="s">
        <v>62</v>
      </c>
      <c r="C15" s="295" t="s">
        <v>63</v>
      </c>
      <c r="D15" s="295" t="s">
        <v>79</v>
      </c>
      <c r="E15" s="307" t="s">
        <v>80</v>
      </c>
      <c r="F15" s="307" t="s">
        <v>1098</v>
      </c>
      <c r="G15" s="295" t="s">
        <v>81</v>
      </c>
      <c r="H15" s="295" t="s">
        <v>67</v>
      </c>
      <c r="I15" s="295" t="s">
        <v>82</v>
      </c>
      <c r="J15" s="295" t="s">
        <v>69</v>
      </c>
      <c r="K15" s="295" t="s">
        <v>70</v>
      </c>
      <c r="L15" s="295" t="s">
        <v>70</v>
      </c>
      <c r="M15" s="313">
        <v>293</v>
      </c>
      <c r="N15" s="312" t="str">
        <f t="shared" ref="N15" si="10">IF(M15&lt;=0,"",IF(M15&lt;=2,"Muy Baja",IF(M15&lt;=24,"Baja",IF(M15&lt;=500,"Media",IF(M15&lt;=5000,"Alta","Muy Alta")))))</f>
        <v>Media</v>
      </c>
      <c r="O15" s="301">
        <f t="shared" ref="O15" si="11">IF(N15="","",IF(N15="Muy Baja",0.2,IF(N15="Baja",0.4,IF(N15="Media",0.6,IF(N15="Alta",0.8,IF(N15="Muy Alta",1,))))))</f>
        <v>0.6</v>
      </c>
      <c r="P15" s="302" t="s">
        <v>83</v>
      </c>
      <c r="Q15" s="301" t="str">
        <f>IF(NOT(ISERROR(MATCH(P15,'Tabla Impacto'!$B$221:$B$223,0))),'Tabla Impacto'!$F$223&amp;"Por favor no seleccionar los criterios de impacto(Afectación Económica o presupuestal y Pérdida Reputacional)",P15)</f>
        <v xml:space="preserve">     El riesgo afecta la imagen de la entidad con algunos usuarios de relevancia frente al logro de los objetivos</v>
      </c>
      <c r="R15" s="312" t="str">
        <f>IF(OR(Q15='Tabla Impacto'!$C$11,Q15='Tabla Impacto'!$D$11),"Leve",IF(OR(Q15='Tabla Impacto'!$C$12,Q15='Tabla Impacto'!$D$12),"Menor",IF(OR(Q15='Tabla Impacto'!$C$13,Q15='Tabla Impacto'!$D$13),"Moderado",IF(OR(Q15='Tabla Impacto'!$C$14,Q15='Tabla Impacto'!$D$14),"Mayor",IF(OR(Q15='Tabla Impacto'!$C$15,Q15='Tabla Impacto'!$D$15),"Catastrófico","")))))</f>
        <v>Moderado</v>
      </c>
      <c r="S15" s="301">
        <f t="shared" ref="S15" si="12">IF(R15="","",IF(R15="Leve",0.2,IF(R15="Menor",0.4,IF(R15="Moderado",0.6,IF(R15="Mayor",0.8,IF(R15="Catastrófico",1,))))))</f>
        <v>0.6</v>
      </c>
      <c r="T15" s="300" t="str">
        <f t="shared" ref="T15" si="13">IF(OR(AND(N15="Muy Baja",R15="Leve"),AND(N15="Muy Baja",R15="Menor"),AND(N15="Baja",R15="Leve")),"Bajo",IF(OR(AND(N15="Muy baja",R15="Moderado"),AND(N15="Baja",R15="Menor"),AND(N15="Baja",R15="Moderado"),AND(N15="Media",R15="Leve"),AND(N15="Media",R15="Menor"),AND(N15="Media",R15="Moderado"),AND(N15="Alta",R15="Leve"),AND(N15="Alta",R15="Menor")),"Moderado",IF(OR(AND(N15="Muy Baja",R15="Mayor"),AND(N15="Baja",R15="Mayor"),AND(N15="Media",R15="Mayor"),AND(N15="Alta",R15="Moderado"),AND(N15="Alta",R15="Mayor"),AND(N15="Muy Alta",R15="Leve"),AND(N15="Muy Alta",R15="Menor"),AND(N15="Muy Alta",R15="Moderado"),AND(N15="Muy Alta",R15="Mayor")),"Alto",IF(OR(AND(N15="Muy Baja",R15="Catastrófico"),AND(N15="Baja",R15="Catastrófico"),AND(N15="Media",R15="Catastrófico"),AND(N15="Alta",R15="Catastrófico"),AND(N15="Muy Alta",R15="Catastrófico")),"Extremo",""))))</f>
        <v>Moderado</v>
      </c>
      <c r="U15" s="245">
        <v>1</v>
      </c>
      <c r="V15" s="283" t="s">
        <v>1097</v>
      </c>
      <c r="W15" s="247"/>
      <c r="X15" s="275" t="str">
        <f t="shared" si="5"/>
        <v>Probabilidad</v>
      </c>
      <c r="Y15" s="276" t="s">
        <v>72</v>
      </c>
      <c r="Z15" s="276" t="s">
        <v>73</v>
      </c>
      <c r="AA15" s="277" t="str">
        <f t="shared" ref="AA15:AA56" si="14">IF(AND(Y15="Preventivo",Z15="Automático"),"50%",IF(AND(Y15="Preventivo",Z15="Manual"),"40%",IF(AND(Y15="Detectivo",Z15="Automático"),"40%",IF(AND(Y15="Detectivo",Z15="Manual"),"30%",IF(AND(Y15="Correctivo",Z15="Automático"),"35%",IF(AND(Y15="Correctivo",Z15="Manual"),"25%",""))))))</f>
        <v>40%</v>
      </c>
      <c r="AB15" s="276" t="s">
        <v>74</v>
      </c>
      <c r="AC15" s="276" t="s">
        <v>84</v>
      </c>
      <c r="AD15" s="276" t="s">
        <v>76</v>
      </c>
      <c r="AE15" s="278">
        <f t="shared" ref="AE15" si="15">IFERROR(IF(X15="Probabilidad",(O15-(+O15*AA15)),IF(X15="Impacto",O15,"")),"")</f>
        <v>0.36</v>
      </c>
      <c r="AF15" s="279" t="str">
        <f t="shared" si="2"/>
        <v>Baja</v>
      </c>
      <c r="AG15" s="277">
        <f t="shared" si="3"/>
        <v>0.36</v>
      </c>
      <c r="AH15" s="279" t="str">
        <f t="shared" si="4"/>
        <v>Moderado</v>
      </c>
      <c r="AI15" s="277">
        <f t="shared" ref="AI15" si="16">IFERROR(IF(X15="Impacto",(S15-(+S15*AA15)),IF(X15="Probabilidad",S15,"")),"")</f>
        <v>0.6</v>
      </c>
      <c r="AJ15" s="280" t="str">
        <f t="shared" ref="AJ15:AJ56" si="17">IFERROR(IF(OR(AND(AF15="Muy Baja",AH15="Leve"),AND(AF15="Muy Baja",AH15="Menor"),AND(AF15="Baja",AH15="Leve")),"Bajo",IF(OR(AND(AF15="Muy baja",AH15="Moderado"),AND(AF15="Baja",AH15="Menor"),AND(AF15="Baja",AH15="Moderado"),AND(AF15="Media",AH15="Leve"),AND(AF15="Media",AH15="Menor"),AND(AF15="Media",AH15="Moderado"),AND(AF15="Alta",AH15="Leve"),AND(AF15="Alta",AH15="Menor")),"Moderado",IF(OR(AND(AF15="Muy Baja",AH15="Mayor"),AND(AF15="Baja",AH15="Mayor"),AND(AF15="Media",AH15="Mayor"),AND(AF15="Alta",AH15="Moderado"),AND(AF15="Alta",AH15="Mayor"),AND(AF15="Muy Alta",AH15="Leve"),AND(AF15="Muy Alta",AH15="Menor"),AND(AF15="Muy Alta",AH15="Moderado"),AND(AF15="Muy Alta",AH15="Mayor")),"Alto",IF(OR(AND(AF15="Muy Baja",AH15="Catastrófico"),AND(AF15="Baja",AH15="Catastrófico"),AND(AF15="Media",AH15="Catastrófico"),AND(AF15="Alta",AH15="Catastrófico"),AND(AF15="Muy Alta",AH15="Catastrófico")),"Extremo","")))),"")</f>
        <v>Moderado</v>
      </c>
      <c r="AK15" s="276" t="s">
        <v>77</v>
      </c>
      <c r="AL15" s="295" t="s">
        <v>78</v>
      </c>
      <c r="AM15" s="254"/>
      <c r="AN15" s="255"/>
      <c r="AO15" s="256"/>
      <c r="AP15" s="257"/>
      <c r="AQ15" s="257"/>
      <c r="AR15" s="257"/>
      <c r="AS15" s="257"/>
      <c r="AT15" s="285"/>
      <c r="AU15" s="286"/>
      <c r="AV15" s="287"/>
    </row>
    <row r="16" spans="1:48" ht="205.5" customHeight="1" x14ac:dyDescent="0.2">
      <c r="A16" s="310"/>
      <c r="B16" s="295"/>
      <c r="C16" s="295"/>
      <c r="D16" s="295"/>
      <c r="E16" s="307"/>
      <c r="F16" s="307"/>
      <c r="G16" s="295"/>
      <c r="H16" s="295"/>
      <c r="I16" s="295"/>
      <c r="J16" s="295"/>
      <c r="K16" s="295"/>
      <c r="L16" s="295"/>
      <c r="M16" s="313"/>
      <c r="N16" s="312"/>
      <c r="O16" s="301"/>
      <c r="P16" s="302"/>
      <c r="Q16" s="301">
        <f>IF(NOT(ISERROR(MATCH(P16,_xlfn.ANCHORARRAY(E27),0))),O29&amp;"Por favor no seleccionar los criterios de impacto",P16)</f>
        <v>0</v>
      </c>
      <c r="R16" s="312"/>
      <c r="S16" s="301"/>
      <c r="T16" s="300"/>
      <c r="U16" s="245">
        <v>2</v>
      </c>
      <c r="V16" s="283" t="s">
        <v>1091</v>
      </c>
      <c r="W16" s="246"/>
      <c r="X16" s="275" t="str">
        <f t="shared" ref="X16" si="18">IF(OR(Y16="Preventivo",Y16="Detectivo"),"Probabilidad",IF(Y16="Correctivo","Impacto",""))</f>
        <v>Probabilidad</v>
      </c>
      <c r="Y16" s="276" t="s">
        <v>72</v>
      </c>
      <c r="Z16" s="276" t="s">
        <v>73</v>
      </c>
      <c r="AA16" s="277" t="str">
        <f t="shared" ref="AA16" si="19">IF(AND(Y16="Preventivo",Z16="Automático"),"50%",IF(AND(Y16="Preventivo",Z16="Manual"),"40%",IF(AND(Y16="Detectivo",Z16="Automático"),"40%",IF(AND(Y16="Detectivo",Z16="Manual"),"30%",IF(AND(Y16="Correctivo",Z16="Automático"),"35%",IF(AND(Y16="Correctivo",Z16="Manual"),"25%",""))))))</f>
        <v>40%</v>
      </c>
      <c r="AB16" s="276" t="s">
        <v>74</v>
      </c>
      <c r="AC16" s="276" t="s">
        <v>75</v>
      </c>
      <c r="AD16" s="276" t="s">
        <v>76</v>
      </c>
      <c r="AE16" s="278">
        <f t="shared" ref="AE16" si="20">IFERROR(IF(AND(X15="Probabilidad",X16="Probabilidad"),(AG15-(+AG15*AA16)),IF(AND(X15="Impacto",X16="Probabilidad"),(AG14-(+AG14*AA16)),IF(X16="Impacto",AG15,""))),"")</f>
        <v>0.216</v>
      </c>
      <c r="AF16" s="279" t="str">
        <f t="shared" si="2"/>
        <v>Baja</v>
      </c>
      <c r="AG16" s="277">
        <f t="shared" si="3"/>
        <v>0.216</v>
      </c>
      <c r="AH16" s="279" t="str">
        <f t="shared" si="4"/>
        <v>Moderado</v>
      </c>
      <c r="AI16" s="277">
        <f t="shared" ref="AI16" si="21">IFERROR(IF(AND(X15="Impacto",X16="Impacto"),(AI15-(+AI15*AA16)),IF(AND(X15="Probabilidad",X16="Impacto"),(AI14-(+AI14*AA16)),IF(X16="Probabilidad",AI15,""))),"")</f>
        <v>0.6</v>
      </c>
      <c r="AJ16" s="280" t="str">
        <f t="shared" ref="AJ16" si="22">IFERROR(IF(OR(AND(AF16="Muy Baja",AH16="Leve"),AND(AF16="Muy Baja",AH16="Menor"),AND(AF16="Baja",AH16="Leve")),"Bajo",IF(OR(AND(AF16="Muy baja",AH16="Moderado"),AND(AF16="Baja",AH16="Menor"),AND(AF16="Baja",AH16="Moderado"),AND(AF16="Media",AH16="Leve"),AND(AF16="Media",AH16="Menor"),AND(AF16="Media",AH16="Moderado"),AND(AF16="Alta",AH16="Leve"),AND(AF16="Alta",AH16="Menor")),"Moderado",IF(OR(AND(AF16="Muy Baja",AH16="Mayor"),AND(AF16="Baja",AH16="Mayor"),AND(AF16="Media",AH16="Mayor"),AND(AF16="Alta",AH16="Moderado"),AND(AF16="Alta",AH16="Mayor"),AND(AF16="Muy Alta",AH16="Leve"),AND(AF16="Muy Alta",AH16="Menor"),AND(AF16="Muy Alta",AH16="Moderado"),AND(AF16="Muy Alta",AH16="Mayor")),"Alto",IF(OR(AND(AF16="Muy Baja",AH16="Catastrófico"),AND(AF16="Baja",AH16="Catastrófico"),AND(AF16="Media",AH16="Catastrófico"),AND(AF16="Alta",AH16="Catastrófico"),AND(AF16="Muy Alta",AH16="Catastrófico")),"Extremo","")))),"")</f>
        <v>Moderado</v>
      </c>
      <c r="AK16" s="276" t="s">
        <v>77</v>
      </c>
      <c r="AL16" s="295"/>
      <c r="AM16" s="254"/>
      <c r="AN16" s="255"/>
      <c r="AO16" s="256"/>
      <c r="AP16" s="257"/>
      <c r="AQ16" s="257"/>
      <c r="AR16" s="257"/>
      <c r="AS16" s="257"/>
      <c r="AT16" s="285"/>
      <c r="AU16" s="286"/>
      <c r="AV16" s="287"/>
    </row>
    <row r="17" spans="1:48" ht="14.25" x14ac:dyDescent="0.2">
      <c r="A17" s="310"/>
      <c r="B17" s="295"/>
      <c r="C17" s="295"/>
      <c r="D17" s="295"/>
      <c r="E17" s="307"/>
      <c r="F17" s="307"/>
      <c r="G17" s="295"/>
      <c r="H17" s="295"/>
      <c r="I17" s="295"/>
      <c r="J17" s="295"/>
      <c r="K17" s="295"/>
      <c r="L17" s="295"/>
      <c r="M17" s="313"/>
      <c r="N17" s="312"/>
      <c r="O17" s="301"/>
      <c r="P17" s="302"/>
      <c r="Q17" s="301">
        <f>IF(NOT(ISERROR(MATCH(P17,_xlfn.ANCHORARRAY(E28),0))),O30&amp;"Por favor no seleccionar los criterios de impacto",P17)</f>
        <v>0</v>
      </c>
      <c r="R17" s="312"/>
      <c r="S17" s="301"/>
      <c r="T17" s="300"/>
      <c r="U17" s="245"/>
      <c r="V17" s="281"/>
      <c r="W17" s="258"/>
      <c r="X17" s="275"/>
      <c r="Y17" s="276"/>
      <c r="Z17" s="276"/>
      <c r="AA17" s="277" t="str">
        <f t="shared" si="14"/>
        <v/>
      </c>
      <c r="AB17" s="276"/>
      <c r="AC17" s="276"/>
      <c r="AD17" s="276"/>
      <c r="AE17" s="278" t="str">
        <f t="shared" ref="AE17:AE20" si="23">IFERROR(IF(AND(X16="Probabilidad",X17="Probabilidad"),(AG16-(+AG16*AA17)),IF(AND(X16="Impacto",X17="Probabilidad"),(AG15-(+AG15*AA17)),IF(X17="Impacto",AG16,""))),"")</f>
        <v/>
      </c>
      <c r="AF17" s="279" t="str">
        <f t="shared" ref="AF17:AF56" si="24">IFERROR(IF(AE17="","",IF(AE17&lt;=0.2,"Muy Baja",IF(AE17&lt;=0.4,"Baja",IF(AE17&lt;=0.6,"Media",IF(AE17&lt;=0.8,"Alta","Muy Alta"))))),"")</f>
        <v/>
      </c>
      <c r="AG17" s="277" t="str">
        <f t="shared" ref="AG17:AG56" si="25">+AE17</f>
        <v/>
      </c>
      <c r="AH17" s="279" t="str">
        <f t="shared" ref="AH17:AH56" si="26">IFERROR(IF(AI17="","",IF(AI17&lt;=0.2,"Leve",IF(AI17&lt;=0.4,"Menor",IF(AI17&lt;=0.6,"Moderado",IF(AI17&lt;=0.8,"Mayor","Catastrófico"))))),"")</f>
        <v/>
      </c>
      <c r="AI17" s="277" t="str">
        <f t="shared" ref="AI17:AI20" si="27">IFERROR(IF(AND(X16="Impacto",X17="Impacto"),(AI16-(+AI16*AA17)),IF(AND(X16="Probabilidad",X17="Impacto"),(AI15-(+AI15*AA17)),IF(X17="Probabilidad",AI16,""))),"")</f>
        <v/>
      </c>
      <c r="AJ17" s="280" t="str">
        <f t="shared" si="17"/>
        <v/>
      </c>
      <c r="AK17" s="276"/>
      <c r="AL17" s="295"/>
      <c r="AM17" s="254"/>
      <c r="AN17" s="255"/>
      <c r="AO17" s="256"/>
      <c r="AP17" s="257"/>
      <c r="AQ17" s="257"/>
      <c r="AR17" s="257"/>
      <c r="AS17" s="257"/>
      <c r="AT17" s="285"/>
      <c r="AU17" s="286"/>
      <c r="AV17" s="287"/>
    </row>
    <row r="18" spans="1:48" ht="6.75" customHeight="1" x14ac:dyDescent="0.2">
      <c r="A18" s="310"/>
      <c r="B18" s="295"/>
      <c r="C18" s="295"/>
      <c r="D18" s="295"/>
      <c r="E18" s="307"/>
      <c r="F18" s="307"/>
      <c r="G18" s="295"/>
      <c r="H18" s="295"/>
      <c r="I18" s="295"/>
      <c r="J18" s="295"/>
      <c r="K18" s="295"/>
      <c r="L18" s="295"/>
      <c r="M18" s="313"/>
      <c r="N18" s="312"/>
      <c r="O18" s="301"/>
      <c r="P18" s="302"/>
      <c r="Q18" s="301">
        <f t="shared" ref="Q18:Q20" si="28">IF(NOT(ISERROR(MATCH(P18,_xlfn.ANCHORARRAY(E29),0))),O31&amp;"Por favor no seleccionar los criterios de impacto",P18)</f>
        <v>0</v>
      </c>
      <c r="R18" s="312"/>
      <c r="S18" s="301"/>
      <c r="T18" s="300"/>
      <c r="U18" s="245">
        <v>4</v>
      </c>
      <c r="V18" s="246"/>
      <c r="W18" s="246"/>
      <c r="X18" s="275" t="str">
        <f t="shared" si="5"/>
        <v/>
      </c>
      <c r="Y18" s="276"/>
      <c r="Z18" s="276"/>
      <c r="AA18" s="277" t="str">
        <f t="shared" si="14"/>
        <v/>
      </c>
      <c r="AB18" s="276"/>
      <c r="AC18" s="276"/>
      <c r="AD18" s="276"/>
      <c r="AE18" s="278" t="str">
        <f>IFERROR(IF(AND(X17="Probabilidad",X18="Probabilidad"),(AG17-(+AG17*AA18)),IF(AND(X17="Impacto",X18="Probabilidad"),(AG16-(+AG16*AA18)),IF(X18="Impacto",AG17,""))),"")</f>
        <v/>
      </c>
      <c r="AF18" s="279" t="str">
        <f t="shared" si="24"/>
        <v/>
      </c>
      <c r="AG18" s="277" t="str">
        <f t="shared" si="25"/>
        <v/>
      </c>
      <c r="AH18" s="279" t="str">
        <f t="shared" si="26"/>
        <v/>
      </c>
      <c r="AI18" s="277" t="str">
        <f>IFERROR(IF(AND(X17="Impacto",X18="Impacto"),(AI17-(+AI17*AA18)),IF(AND(X17="Probabilidad",X18="Impacto"),(AI16-(+AI16*AA18)),IF(X18="Probabilidad",AI17,""))),"")</f>
        <v/>
      </c>
      <c r="AJ18" s="280" t="str">
        <f t="shared" si="17"/>
        <v/>
      </c>
      <c r="AK18" s="276"/>
      <c r="AL18" s="295"/>
      <c r="AM18" s="254"/>
      <c r="AN18" s="255"/>
      <c r="AO18" s="256"/>
      <c r="AP18" s="257"/>
      <c r="AQ18" s="257"/>
      <c r="AR18" s="257"/>
      <c r="AS18" s="257"/>
      <c r="AT18" s="285"/>
      <c r="AU18" s="286"/>
      <c r="AV18" s="287"/>
    </row>
    <row r="19" spans="1:48" ht="6.75" customHeight="1" x14ac:dyDescent="0.2">
      <c r="A19" s="310"/>
      <c r="B19" s="295"/>
      <c r="C19" s="295"/>
      <c r="D19" s="295"/>
      <c r="E19" s="307"/>
      <c r="F19" s="307"/>
      <c r="G19" s="295"/>
      <c r="H19" s="295"/>
      <c r="I19" s="295"/>
      <c r="J19" s="295"/>
      <c r="K19" s="295"/>
      <c r="L19" s="295"/>
      <c r="M19" s="313"/>
      <c r="N19" s="312"/>
      <c r="O19" s="301"/>
      <c r="P19" s="302"/>
      <c r="Q19" s="301">
        <f t="shared" si="28"/>
        <v>0</v>
      </c>
      <c r="R19" s="312"/>
      <c r="S19" s="301"/>
      <c r="T19" s="300"/>
      <c r="U19" s="245">
        <v>5</v>
      </c>
      <c r="V19" s="246"/>
      <c r="W19" s="246"/>
      <c r="X19" s="275" t="str">
        <f t="shared" si="5"/>
        <v/>
      </c>
      <c r="Y19" s="276"/>
      <c r="Z19" s="276"/>
      <c r="AA19" s="277" t="str">
        <f t="shared" si="14"/>
        <v/>
      </c>
      <c r="AB19" s="276"/>
      <c r="AC19" s="276"/>
      <c r="AD19" s="276"/>
      <c r="AE19" s="278" t="str">
        <f>IFERROR(IF(AND(X18="Probabilidad",X19="Probabilidad"),(AG18-(+AG18*AA19)),IF(AND(X18="Impacto",X19="Probabilidad"),(AG17-(+AG17*AA19)),IF(X19="Impacto",AG18,""))),"")</f>
        <v/>
      </c>
      <c r="AF19" s="279" t="str">
        <f t="shared" si="24"/>
        <v/>
      </c>
      <c r="AG19" s="277" t="str">
        <f t="shared" si="25"/>
        <v/>
      </c>
      <c r="AH19" s="279" t="str">
        <f t="shared" si="26"/>
        <v/>
      </c>
      <c r="AI19" s="277" t="str">
        <f>IFERROR(IF(AND(X18="Impacto",X19="Impacto"),(AI18-(+AI18*AA19)),IF(AND(X18="Probabilidad",X19="Impacto"),(AI17-(+AI17*AA19)),IF(X19="Probabilidad",AI18,""))),"")</f>
        <v/>
      </c>
      <c r="AJ19" s="280" t="str">
        <f t="shared" si="17"/>
        <v/>
      </c>
      <c r="AK19" s="276"/>
      <c r="AL19" s="295"/>
      <c r="AM19" s="254"/>
      <c r="AN19" s="255"/>
      <c r="AO19" s="256"/>
      <c r="AP19" s="257"/>
      <c r="AQ19" s="257"/>
      <c r="AR19" s="257"/>
      <c r="AS19" s="257"/>
      <c r="AT19" s="285"/>
      <c r="AU19" s="286"/>
      <c r="AV19" s="287"/>
    </row>
    <row r="20" spans="1:48" ht="6.75" customHeight="1" x14ac:dyDescent="0.2">
      <c r="A20" s="310"/>
      <c r="B20" s="295"/>
      <c r="C20" s="295"/>
      <c r="D20" s="295"/>
      <c r="E20" s="307"/>
      <c r="F20" s="307"/>
      <c r="G20" s="295"/>
      <c r="H20" s="295"/>
      <c r="I20" s="295"/>
      <c r="J20" s="295"/>
      <c r="K20" s="295"/>
      <c r="L20" s="295"/>
      <c r="M20" s="313"/>
      <c r="N20" s="312"/>
      <c r="O20" s="301"/>
      <c r="P20" s="302"/>
      <c r="Q20" s="301">
        <f t="shared" si="28"/>
        <v>0</v>
      </c>
      <c r="R20" s="312"/>
      <c r="S20" s="301"/>
      <c r="T20" s="300"/>
      <c r="U20" s="245">
        <v>6</v>
      </c>
      <c r="V20" s="246"/>
      <c r="W20" s="246"/>
      <c r="X20" s="275" t="str">
        <f t="shared" si="5"/>
        <v/>
      </c>
      <c r="Y20" s="276"/>
      <c r="Z20" s="276"/>
      <c r="AA20" s="277" t="str">
        <f t="shared" si="14"/>
        <v/>
      </c>
      <c r="AB20" s="276"/>
      <c r="AC20" s="276"/>
      <c r="AD20" s="276"/>
      <c r="AE20" s="278" t="str">
        <f t="shared" si="23"/>
        <v/>
      </c>
      <c r="AF20" s="279" t="str">
        <f t="shared" si="24"/>
        <v/>
      </c>
      <c r="AG20" s="277" t="str">
        <f t="shared" si="25"/>
        <v/>
      </c>
      <c r="AH20" s="279" t="str">
        <f t="shared" si="26"/>
        <v/>
      </c>
      <c r="AI20" s="277" t="str">
        <f t="shared" si="27"/>
        <v/>
      </c>
      <c r="AJ20" s="280" t="str">
        <f t="shared" si="17"/>
        <v/>
      </c>
      <c r="AK20" s="276"/>
      <c r="AL20" s="295"/>
      <c r="AM20" s="254"/>
      <c r="AN20" s="255"/>
      <c r="AO20" s="256"/>
      <c r="AP20" s="257"/>
      <c r="AQ20" s="257"/>
      <c r="AR20" s="257"/>
      <c r="AS20" s="257"/>
      <c r="AT20" s="285"/>
      <c r="AU20" s="286"/>
      <c r="AV20" s="287"/>
    </row>
    <row r="21" spans="1:48" ht="193.5" customHeight="1" x14ac:dyDescent="0.2">
      <c r="A21" s="310"/>
      <c r="B21" s="295" t="s">
        <v>62</v>
      </c>
      <c r="C21" s="295" t="s">
        <v>63</v>
      </c>
      <c r="D21" s="295" t="s">
        <v>86</v>
      </c>
      <c r="E21" s="307" t="s">
        <v>1089</v>
      </c>
      <c r="F21" s="307" t="s">
        <v>1099</v>
      </c>
      <c r="G21" s="295" t="s">
        <v>87</v>
      </c>
      <c r="H21" s="295" t="s">
        <v>67</v>
      </c>
      <c r="I21" s="295" t="s">
        <v>88</v>
      </c>
      <c r="J21" s="295" t="s">
        <v>69</v>
      </c>
      <c r="K21" s="295" t="s">
        <v>70</v>
      </c>
      <c r="L21" s="295" t="s">
        <v>70</v>
      </c>
      <c r="M21" s="313">
        <v>192</v>
      </c>
      <c r="N21" s="312" t="str">
        <f t="shared" ref="N21" si="29">IF(M21&lt;=0,"",IF(M21&lt;=2,"Muy Baja",IF(M21&lt;=24,"Baja",IF(M21&lt;=500,"Media",IF(M21&lt;=5000,"Alta","Muy Alta")))))</f>
        <v>Media</v>
      </c>
      <c r="O21" s="301">
        <f t="shared" ref="O21" si="30">IF(N21="","",IF(N21="Muy Baja",0.2,IF(N21="Baja",0.4,IF(N21="Media",0.6,IF(N21="Alta",0.8,IF(N21="Muy Alta",1,))))))</f>
        <v>0.6</v>
      </c>
      <c r="P21" s="302" t="s">
        <v>83</v>
      </c>
      <c r="Q21" s="301" t="str">
        <f>IF(NOT(ISERROR(MATCH(P21,'Tabla Impacto'!$B$221:$B$223,0))),'Tabla Impacto'!$F$223&amp;"Por favor no seleccionar los criterios de impacto(Afectación Económica o presupuestal y Pérdida Reputacional)",P21)</f>
        <v xml:space="preserve">     El riesgo afecta la imagen de la entidad con algunos usuarios de relevancia frente al logro de los objetivos</v>
      </c>
      <c r="R21" s="314" t="str">
        <f>IF(OR(Q21='Tabla Impacto'!$C$11,Q21='Tabla Impacto'!$D$11),"Leve",IF(OR(Q21='Tabla Impacto'!$C$12,Q21='Tabla Impacto'!$D$12),"Menor",IF(OR(Q21='Tabla Impacto'!$C$13,Q21='Tabla Impacto'!$D$13),"Moderado",IF(OR(Q21='Tabla Impacto'!$C$14,Q21='Tabla Impacto'!$D$14),"Mayor",IF(OR(Q21='Tabla Impacto'!$C$15,Q21='Tabla Impacto'!$D$15),"Catastrófico","")))))</f>
        <v>Moderado</v>
      </c>
      <c r="S21" s="301">
        <f t="shared" ref="S21" si="31">IF(R21="","",IF(R21="Leve",0.2,IF(R21="Menor",0.4,IF(R21="Moderado",0.6,IF(R21="Mayor",0.8,IF(R21="Catastrófico",1,))))))</f>
        <v>0.6</v>
      </c>
      <c r="T21" s="300" t="str">
        <f t="shared" ref="T21" si="32">IF(OR(AND(N21="Muy Baja",R21="Leve"),AND(N21="Muy Baja",R21="Menor"),AND(N21="Baja",R21="Leve")),"Bajo",IF(OR(AND(N21="Muy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Moderado</v>
      </c>
      <c r="U21" s="245">
        <v>1</v>
      </c>
      <c r="V21" s="274" t="s">
        <v>1092</v>
      </c>
      <c r="W21" s="247"/>
      <c r="X21" s="275" t="str">
        <f t="shared" si="5"/>
        <v>Probabilidad</v>
      </c>
      <c r="Y21" s="276" t="s">
        <v>72</v>
      </c>
      <c r="Z21" s="276" t="s">
        <v>73</v>
      </c>
      <c r="AA21" s="277" t="str">
        <f t="shared" si="14"/>
        <v>40%</v>
      </c>
      <c r="AB21" s="276" t="s">
        <v>74</v>
      </c>
      <c r="AC21" s="276" t="s">
        <v>84</v>
      </c>
      <c r="AD21" s="276" t="s">
        <v>76</v>
      </c>
      <c r="AE21" s="278">
        <f t="shared" ref="AE21" si="33">IFERROR(IF(X21="Probabilidad",(O21-(+O21*AA21)),IF(X21="Impacto",O21,"")),"")</f>
        <v>0.36</v>
      </c>
      <c r="AF21" s="279" t="str">
        <f t="shared" si="24"/>
        <v>Baja</v>
      </c>
      <c r="AG21" s="277">
        <f t="shared" si="25"/>
        <v>0.36</v>
      </c>
      <c r="AH21" s="279" t="str">
        <f t="shared" si="26"/>
        <v>Moderado</v>
      </c>
      <c r="AI21" s="277">
        <f t="shared" ref="AI21" si="34">IFERROR(IF(X21="Impacto",(S21-(+S21*AA21)),IF(X21="Probabilidad",S21,"")),"")</f>
        <v>0.6</v>
      </c>
      <c r="AJ21" s="280" t="str">
        <f t="shared" si="17"/>
        <v>Moderado</v>
      </c>
      <c r="AK21" s="276" t="s">
        <v>77</v>
      </c>
      <c r="AL21" s="295" t="s">
        <v>78</v>
      </c>
      <c r="AM21" s="254"/>
      <c r="AN21" s="255"/>
      <c r="AO21" s="256"/>
      <c r="AP21" s="257"/>
      <c r="AQ21" s="257"/>
      <c r="AR21" s="257"/>
      <c r="AS21" s="257"/>
      <c r="AT21" s="285"/>
      <c r="AU21" s="286"/>
      <c r="AV21" s="287"/>
    </row>
    <row r="22" spans="1:48" ht="207.75" customHeight="1" x14ac:dyDescent="0.2">
      <c r="A22" s="310"/>
      <c r="B22" s="295"/>
      <c r="C22" s="295"/>
      <c r="D22" s="295"/>
      <c r="E22" s="307"/>
      <c r="F22" s="307"/>
      <c r="G22" s="295"/>
      <c r="H22" s="295"/>
      <c r="I22" s="295"/>
      <c r="J22" s="295"/>
      <c r="K22" s="295"/>
      <c r="L22" s="295"/>
      <c r="M22" s="313"/>
      <c r="N22" s="312"/>
      <c r="O22" s="301"/>
      <c r="P22" s="302"/>
      <c r="Q22" s="301">
        <f t="shared" ref="Q22:Q26" si="35">IF(NOT(ISERROR(MATCH(P22,_xlfn.ANCHORARRAY(E33),0))),O35&amp;"Por favor no seleccionar los criterios de impacto",P22)</f>
        <v>0</v>
      </c>
      <c r="R22" s="315"/>
      <c r="S22" s="301"/>
      <c r="T22" s="300"/>
      <c r="U22" s="245">
        <v>2</v>
      </c>
      <c r="V22" s="274" t="s">
        <v>1096</v>
      </c>
      <c r="W22" s="246"/>
      <c r="X22" s="275" t="str">
        <f t="shared" si="5"/>
        <v>Probabilidad</v>
      </c>
      <c r="Y22" s="276" t="s">
        <v>72</v>
      </c>
      <c r="Z22" s="276" t="s">
        <v>73</v>
      </c>
      <c r="AA22" s="277" t="str">
        <f t="shared" si="14"/>
        <v>40%</v>
      </c>
      <c r="AB22" s="276" t="s">
        <v>74</v>
      </c>
      <c r="AC22" s="276" t="s">
        <v>84</v>
      </c>
      <c r="AD22" s="276" t="s">
        <v>76</v>
      </c>
      <c r="AE22" s="278">
        <f t="shared" ref="AE22" si="36">IFERROR(IF(AND(X21="Probabilidad",X22="Probabilidad"),(AG21-(+AG21*AA22)),IF(X22="Probabilidad",(O21-(+O21*AA22)),IF(X22="Impacto",AG21,""))),"")</f>
        <v>0.216</v>
      </c>
      <c r="AF22" s="279" t="str">
        <f t="shared" si="24"/>
        <v>Baja</v>
      </c>
      <c r="AG22" s="277">
        <f t="shared" si="25"/>
        <v>0.216</v>
      </c>
      <c r="AH22" s="279" t="str">
        <f t="shared" si="26"/>
        <v>Moderado</v>
      </c>
      <c r="AI22" s="277">
        <f t="shared" ref="AI22" si="37">IFERROR(IF(AND(X21="Impacto",X22="Impacto"),(AI21-(+AI21*AA22)),IF(X22="Impacto",(S21-(+S21*AA22)),IF(X22="Probabilidad",AI21,""))),"")</f>
        <v>0.6</v>
      </c>
      <c r="AJ22" s="280" t="str">
        <f t="shared" si="17"/>
        <v>Moderado</v>
      </c>
      <c r="AK22" s="276" t="s">
        <v>77</v>
      </c>
      <c r="AL22" s="295"/>
      <c r="AM22" s="254"/>
      <c r="AN22" s="255"/>
      <c r="AO22" s="256"/>
      <c r="AP22" s="257"/>
      <c r="AQ22" s="257"/>
      <c r="AR22" s="257"/>
      <c r="AS22" s="257"/>
      <c r="AT22" s="285"/>
      <c r="AU22" s="286"/>
      <c r="AV22" s="287"/>
    </row>
    <row r="23" spans="1:48" ht="36.75" x14ac:dyDescent="0.2">
      <c r="A23" s="310"/>
      <c r="B23" s="295"/>
      <c r="C23" s="295"/>
      <c r="D23" s="295"/>
      <c r="E23" s="307"/>
      <c r="F23" s="307"/>
      <c r="G23" s="295"/>
      <c r="H23" s="295"/>
      <c r="I23" s="295"/>
      <c r="J23" s="295"/>
      <c r="K23" s="295"/>
      <c r="L23" s="295"/>
      <c r="M23" s="313"/>
      <c r="N23" s="312"/>
      <c r="O23" s="301"/>
      <c r="P23" s="302"/>
      <c r="Q23" s="301">
        <f t="shared" si="35"/>
        <v>0</v>
      </c>
      <c r="R23" s="315"/>
      <c r="S23" s="301"/>
      <c r="T23" s="300"/>
      <c r="U23" s="245">
        <v>3</v>
      </c>
      <c r="V23" s="281"/>
      <c r="W23" s="258"/>
      <c r="X23" s="248" t="str">
        <f t="shared" si="5"/>
        <v/>
      </c>
      <c r="Y23" s="249"/>
      <c r="Z23" s="249" t="s">
        <v>73</v>
      </c>
      <c r="AA23" s="250" t="str">
        <f t="shared" si="14"/>
        <v/>
      </c>
      <c r="AB23" s="249"/>
      <c r="AC23" s="249"/>
      <c r="AD23" s="249"/>
      <c r="AE23" s="251" t="str">
        <f t="shared" ref="AE23:AE26" si="38">IFERROR(IF(AND(X22="Probabilidad",X23="Probabilidad"),(AG22-(+AG22*AA23)),IF(AND(X22="Impacto",X23="Probabilidad"),(AG21-(+AG21*AA23)),IF(X23="Impacto",AG22,""))),"")</f>
        <v/>
      </c>
      <c r="AF23" s="252" t="str">
        <f t="shared" si="24"/>
        <v/>
      </c>
      <c r="AG23" s="250" t="str">
        <f t="shared" si="25"/>
        <v/>
      </c>
      <c r="AH23" s="252" t="str">
        <f t="shared" si="26"/>
        <v/>
      </c>
      <c r="AI23" s="250" t="str">
        <f t="shared" ref="AI23:AI26" si="39">IFERROR(IF(AND(X22="Impacto",X23="Impacto"),(AI22-(+AI22*AA23)),IF(AND(X22="Probabilidad",X23="Impacto"),(AI21-(+AI21*AA23)),IF(X23="Probabilidad",AI22,""))),"")</f>
        <v/>
      </c>
      <c r="AJ23" s="253" t="str">
        <f t="shared" si="17"/>
        <v/>
      </c>
      <c r="AK23" s="249"/>
      <c r="AL23" s="295"/>
      <c r="AM23" s="254"/>
      <c r="AN23" s="255"/>
      <c r="AO23" s="256"/>
      <c r="AP23" s="257"/>
      <c r="AQ23" s="257"/>
      <c r="AR23" s="257"/>
      <c r="AS23" s="257"/>
      <c r="AT23" s="285"/>
      <c r="AU23" s="286"/>
      <c r="AV23" s="287"/>
    </row>
    <row r="24" spans="1:48" ht="14.25" x14ac:dyDescent="0.2">
      <c r="A24" s="310"/>
      <c r="B24" s="295"/>
      <c r="C24" s="295"/>
      <c r="D24" s="295"/>
      <c r="E24" s="307"/>
      <c r="F24" s="307"/>
      <c r="G24" s="295"/>
      <c r="H24" s="295"/>
      <c r="I24" s="295"/>
      <c r="J24" s="295"/>
      <c r="K24" s="295"/>
      <c r="L24" s="295"/>
      <c r="M24" s="313"/>
      <c r="N24" s="312"/>
      <c r="O24" s="301"/>
      <c r="P24" s="302"/>
      <c r="Q24" s="301">
        <f t="shared" si="35"/>
        <v>0</v>
      </c>
      <c r="R24" s="315"/>
      <c r="S24" s="301"/>
      <c r="T24" s="300"/>
      <c r="U24" s="245">
        <v>4</v>
      </c>
      <c r="V24" s="281"/>
      <c r="W24" s="246"/>
      <c r="X24" s="248" t="str">
        <f t="shared" si="5"/>
        <v/>
      </c>
      <c r="Y24" s="249"/>
      <c r="Z24" s="249"/>
      <c r="AA24" s="250" t="str">
        <f t="shared" si="14"/>
        <v/>
      </c>
      <c r="AB24" s="249"/>
      <c r="AC24" s="249"/>
      <c r="AD24" s="249"/>
      <c r="AE24" s="251" t="str">
        <f t="shared" si="38"/>
        <v/>
      </c>
      <c r="AF24" s="252" t="str">
        <f t="shared" si="24"/>
        <v/>
      </c>
      <c r="AG24" s="250" t="str">
        <f t="shared" si="25"/>
        <v/>
      </c>
      <c r="AH24" s="252" t="str">
        <f t="shared" si="26"/>
        <v/>
      </c>
      <c r="AI24" s="250" t="str">
        <f t="shared" si="39"/>
        <v/>
      </c>
      <c r="AJ24" s="253" t="str">
        <f t="shared" si="17"/>
        <v/>
      </c>
      <c r="AK24" s="249"/>
      <c r="AL24" s="295"/>
      <c r="AM24" s="254"/>
      <c r="AN24" s="255"/>
      <c r="AO24" s="256"/>
      <c r="AP24" s="257"/>
      <c r="AQ24" s="257"/>
      <c r="AR24" s="257"/>
      <c r="AS24" s="257"/>
      <c r="AT24" s="285"/>
      <c r="AU24" s="286"/>
      <c r="AV24" s="287"/>
    </row>
    <row r="25" spans="1:48" ht="12.75" customHeight="1" x14ac:dyDescent="0.2">
      <c r="A25" s="310"/>
      <c r="B25" s="295"/>
      <c r="C25" s="295"/>
      <c r="D25" s="295"/>
      <c r="E25" s="307"/>
      <c r="F25" s="307"/>
      <c r="G25" s="295"/>
      <c r="H25" s="295"/>
      <c r="I25" s="295"/>
      <c r="J25" s="295"/>
      <c r="K25" s="295"/>
      <c r="L25" s="295"/>
      <c r="M25" s="313"/>
      <c r="N25" s="312"/>
      <c r="O25" s="301"/>
      <c r="P25" s="302"/>
      <c r="Q25" s="301">
        <f t="shared" si="35"/>
        <v>0</v>
      </c>
      <c r="R25" s="315"/>
      <c r="S25" s="301"/>
      <c r="T25" s="300"/>
      <c r="U25" s="245">
        <v>5</v>
      </c>
      <c r="V25" s="246"/>
      <c r="W25" s="246"/>
      <c r="X25" s="248" t="str">
        <f t="shared" si="5"/>
        <v/>
      </c>
      <c r="Y25" s="249"/>
      <c r="Z25" s="249"/>
      <c r="AA25" s="250" t="str">
        <f t="shared" si="14"/>
        <v/>
      </c>
      <c r="AB25" s="249"/>
      <c r="AC25" s="249"/>
      <c r="AD25" s="249"/>
      <c r="AE25" s="251" t="str">
        <f t="shared" si="38"/>
        <v/>
      </c>
      <c r="AF25" s="252" t="str">
        <f t="shared" si="24"/>
        <v/>
      </c>
      <c r="AG25" s="250" t="str">
        <f t="shared" si="25"/>
        <v/>
      </c>
      <c r="AH25" s="252" t="str">
        <f t="shared" si="26"/>
        <v/>
      </c>
      <c r="AI25" s="250" t="str">
        <f t="shared" si="39"/>
        <v/>
      </c>
      <c r="AJ25" s="253" t="str">
        <f t="shared" si="17"/>
        <v/>
      </c>
      <c r="AK25" s="249"/>
      <c r="AL25" s="295"/>
      <c r="AM25" s="254"/>
      <c r="AN25" s="255"/>
      <c r="AO25" s="256"/>
      <c r="AP25" s="257"/>
      <c r="AQ25" s="257"/>
      <c r="AR25" s="257"/>
      <c r="AS25" s="257"/>
      <c r="AT25" s="285"/>
      <c r="AU25" s="286"/>
      <c r="AV25" s="287"/>
    </row>
    <row r="26" spans="1:48" ht="12.75" customHeight="1" x14ac:dyDescent="0.2">
      <c r="A26" s="310"/>
      <c r="B26" s="295"/>
      <c r="C26" s="295"/>
      <c r="D26" s="295"/>
      <c r="E26" s="307"/>
      <c r="F26" s="307"/>
      <c r="G26" s="295"/>
      <c r="H26" s="295"/>
      <c r="I26" s="295"/>
      <c r="J26" s="295"/>
      <c r="K26" s="295"/>
      <c r="L26" s="295"/>
      <c r="M26" s="313"/>
      <c r="N26" s="312"/>
      <c r="O26" s="301"/>
      <c r="P26" s="302"/>
      <c r="Q26" s="301">
        <f t="shared" si="35"/>
        <v>0</v>
      </c>
      <c r="R26" s="316"/>
      <c r="S26" s="301"/>
      <c r="T26" s="300"/>
      <c r="U26" s="245">
        <v>6</v>
      </c>
      <c r="V26" s="246"/>
      <c r="W26" s="246"/>
      <c r="X26" s="248" t="str">
        <f t="shared" si="5"/>
        <v/>
      </c>
      <c r="Y26" s="249"/>
      <c r="Z26" s="249"/>
      <c r="AA26" s="250" t="str">
        <f t="shared" si="14"/>
        <v/>
      </c>
      <c r="AB26" s="249"/>
      <c r="AC26" s="249"/>
      <c r="AD26" s="249"/>
      <c r="AE26" s="251" t="str">
        <f t="shared" si="38"/>
        <v/>
      </c>
      <c r="AF26" s="252" t="str">
        <f t="shared" si="24"/>
        <v/>
      </c>
      <c r="AG26" s="250" t="str">
        <f t="shared" si="25"/>
        <v/>
      </c>
      <c r="AH26" s="252" t="str">
        <f t="shared" si="26"/>
        <v/>
      </c>
      <c r="AI26" s="250" t="str">
        <f t="shared" si="39"/>
        <v/>
      </c>
      <c r="AJ26" s="253" t="str">
        <f t="shared" si="17"/>
        <v/>
      </c>
      <c r="AK26" s="249"/>
      <c r="AL26" s="295"/>
      <c r="AM26" s="254"/>
      <c r="AN26" s="255"/>
      <c r="AO26" s="256"/>
      <c r="AP26" s="257"/>
      <c r="AQ26" s="257"/>
      <c r="AR26" s="257"/>
      <c r="AS26" s="257"/>
      <c r="AT26" s="285"/>
      <c r="AU26" s="286"/>
      <c r="AV26" s="287"/>
    </row>
    <row r="27" spans="1:48" ht="156.75" hidden="1" customHeight="1" outlineLevel="1" x14ac:dyDescent="0.2">
      <c r="A27" s="310"/>
      <c r="B27" s="296"/>
      <c r="C27" s="296"/>
      <c r="D27" s="296"/>
      <c r="E27" s="311"/>
      <c r="F27" s="296"/>
      <c r="G27" s="296"/>
      <c r="H27" s="296"/>
      <c r="I27" s="296"/>
      <c r="J27" s="296"/>
      <c r="K27" s="296"/>
      <c r="L27" s="296"/>
      <c r="M27" s="308"/>
      <c r="N27" s="309" t="str">
        <f t="shared" ref="N27" si="40">IF(M27&lt;=0,"",IF(M27&lt;=2,"Muy Baja",IF(M27&lt;=24,"Baja",IF(M27&lt;=500,"Media",IF(M27&lt;=5000,"Alta","Muy Alta")))))</f>
        <v/>
      </c>
      <c r="O27" s="304" t="str">
        <f t="shared" ref="O27" si="41">IF(N27="","",IF(N27="Muy Baja",0.2,IF(N27="Baja",0.4,IF(N27="Media",0.6,IF(N27="Alta",0.8,IF(N27="Muy Alta",1,))))))</f>
        <v/>
      </c>
      <c r="P27" s="306"/>
      <c r="Q27" s="304">
        <f>IF(NOT(ISERROR(MATCH(P27,'Tabla Impacto'!$B$221:$B$223,0))),'Tabla Impacto'!$F$223&amp;"Por favor no seleccionar los criterios de impacto(Afectación Económica o presupuestal y Pérdida Reputacional)",P27)</f>
        <v>0</v>
      </c>
      <c r="R27" s="309" t="str">
        <f>IF(OR(Q27='Tabla Impacto'!$C$11,Q27='Tabla Impacto'!$D$11),"Leve",IF(OR(Q27='Tabla Impacto'!$C$12,Q27='Tabla Impacto'!$D$12),"Menor",IF(OR(Q27='Tabla Impacto'!$C$13,Q27='Tabla Impacto'!$D$13),"Moderado",IF(OR(Q27='Tabla Impacto'!$C$14,Q27='Tabla Impacto'!$D$14),"Mayor",IF(OR(Q27='Tabla Impacto'!$C$15,Q27='Tabla Impacto'!$D$15),"Catastrófico","")))))</f>
        <v/>
      </c>
      <c r="S27" s="304" t="str">
        <f t="shared" ref="S27" si="42">IF(R27="","",IF(R27="Leve",0.2,IF(R27="Menor",0.4,IF(R27="Moderado",0.6,IF(R27="Mayor",0.8,IF(R27="Catastrófico",1,))))))</f>
        <v/>
      </c>
      <c r="T27" s="305" t="str">
        <f t="shared" ref="T27" si="43">IF(OR(AND(N27="Muy Baja",R27="Leve"),AND(N27="Muy Baja",R27="Menor"),AND(N27="Baja",R27="Leve")),"Bajo",IF(OR(AND(N27="Muy baja",R27="Moderado"),AND(N27="Baja",R27="Menor"),AND(N27="Baja",R27="Moderado"),AND(N27="Media",R27="Leve"),AND(N27="Media",R27="Menor"),AND(N27="Media",R27="Moderado"),AND(N27="Alta",R27="Leve"),AND(N27="Alta",R27="Menor")),"Moderado",IF(OR(AND(N27="Muy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
      </c>
      <c r="U27" s="245">
        <v>19</v>
      </c>
      <c r="V27" s="246"/>
      <c r="W27" s="247"/>
      <c r="X27" s="248" t="str">
        <f t="shared" si="5"/>
        <v/>
      </c>
      <c r="Y27" s="249"/>
      <c r="Z27" s="249"/>
      <c r="AA27" s="250" t="str">
        <f t="shared" si="14"/>
        <v/>
      </c>
      <c r="AB27" s="249"/>
      <c r="AC27" s="249"/>
      <c r="AD27" s="249"/>
      <c r="AE27" s="251" t="str">
        <f t="shared" ref="AE27" si="44">IFERROR(IF(X27="Probabilidad",(O27-(+O27*AA27)),IF(X27="Impacto",O27,"")),"")</f>
        <v/>
      </c>
      <c r="AF27" s="252" t="str">
        <f t="shared" si="24"/>
        <v/>
      </c>
      <c r="AG27" s="250" t="str">
        <f t="shared" si="25"/>
        <v/>
      </c>
      <c r="AH27" s="252" t="str">
        <f t="shared" si="26"/>
        <v/>
      </c>
      <c r="AI27" s="250" t="str">
        <f t="shared" ref="AI27" si="45">IFERROR(IF(X27="Impacto",(S27-(+S27*AA27)),IF(X27="Probabilidad",S27,"")),"")</f>
        <v/>
      </c>
      <c r="AJ27" s="253" t="str">
        <f t="shared" si="17"/>
        <v/>
      </c>
      <c r="AK27" s="249"/>
      <c r="AL27" s="295"/>
      <c r="AM27" s="254"/>
      <c r="AN27" s="255"/>
      <c r="AO27" s="256"/>
      <c r="AP27" s="257"/>
      <c r="AQ27" s="257"/>
      <c r="AR27" s="257"/>
      <c r="AS27" s="257"/>
      <c r="AT27" s="285"/>
      <c r="AU27" s="286"/>
      <c r="AV27" s="287"/>
    </row>
    <row r="28" spans="1:48" ht="156.75" hidden="1" customHeight="1" outlineLevel="1" x14ac:dyDescent="0.2">
      <c r="A28" s="310"/>
      <c r="B28" s="296"/>
      <c r="C28" s="296"/>
      <c r="D28" s="296"/>
      <c r="E28" s="311"/>
      <c r="F28" s="296"/>
      <c r="G28" s="296"/>
      <c r="H28" s="296"/>
      <c r="I28" s="296"/>
      <c r="J28" s="296"/>
      <c r="K28" s="296"/>
      <c r="L28" s="296"/>
      <c r="M28" s="308"/>
      <c r="N28" s="309"/>
      <c r="O28" s="304"/>
      <c r="P28" s="306"/>
      <c r="Q28" s="304">
        <f t="shared" ref="Q28:Q32" si="46">IF(NOT(ISERROR(MATCH(P28,_xlfn.ANCHORARRAY(E39),0))),O41&amp;"Por favor no seleccionar los criterios de impacto",P28)</f>
        <v>0</v>
      </c>
      <c r="R28" s="309"/>
      <c r="S28" s="304"/>
      <c r="T28" s="305"/>
      <c r="U28" s="245">
        <v>20</v>
      </c>
      <c r="V28" s="246"/>
      <c r="W28" s="246"/>
      <c r="X28" s="248" t="str">
        <f t="shared" si="5"/>
        <v/>
      </c>
      <c r="Y28" s="249"/>
      <c r="Z28" s="249"/>
      <c r="AA28" s="250" t="str">
        <f t="shared" si="14"/>
        <v/>
      </c>
      <c r="AB28" s="249"/>
      <c r="AC28" s="249"/>
      <c r="AD28" s="249"/>
      <c r="AE28" s="251" t="str">
        <f t="shared" ref="AE28" si="47">IFERROR(IF(AND(X27="Probabilidad",X28="Probabilidad"),(AG27-(+AG27*AA28)),IF(X28="Probabilidad",(O27-(+O27*AA28)),IF(X28="Impacto",AG27,""))),"")</f>
        <v/>
      </c>
      <c r="AF28" s="252" t="str">
        <f t="shared" si="24"/>
        <v/>
      </c>
      <c r="AG28" s="250" t="str">
        <f t="shared" si="25"/>
        <v/>
      </c>
      <c r="AH28" s="252" t="str">
        <f t="shared" si="26"/>
        <v/>
      </c>
      <c r="AI28" s="250" t="str">
        <f t="shared" ref="AI28" si="48">IFERROR(IF(AND(X27="Impacto",X28="Impacto"),(AI27-(+AI27*AA28)),IF(X28="Impacto",(S27-(+S27*AA28)),IF(X28="Probabilidad",AI27,""))),"")</f>
        <v/>
      </c>
      <c r="AJ28" s="253" t="str">
        <f t="shared" si="17"/>
        <v/>
      </c>
      <c r="AK28" s="249"/>
      <c r="AL28" s="295"/>
      <c r="AM28" s="254"/>
      <c r="AN28" s="255"/>
      <c r="AO28" s="256"/>
      <c r="AP28" s="257"/>
      <c r="AQ28" s="257"/>
      <c r="AR28" s="257"/>
      <c r="AS28" s="257"/>
      <c r="AT28" s="285"/>
      <c r="AU28" s="286"/>
      <c r="AV28" s="287"/>
    </row>
    <row r="29" spans="1:48" ht="156.75" hidden="1" customHeight="1" outlineLevel="1" x14ac:dyDescent="0.2">
      <c r="A29" s="310"/>
      <c r="B29" s="296"/>
      <c r="C29" s="296"/>
      <c r="D29" s="296"/>
      <c r="E29" s="311"/>
      <c r="F29" s="296"/>
      <c r="G29" s="296"/>
      <c r="H29" s="296"/>
      <c r="I29" s="296"/>
      <c r="J29" s="296"/>
      <c r="K29" s="296"/>
      <c r="L29" s="296"/>
      <c r="M29" s="308"/>
      <c r="N29" s="309"/>
      <c r="O29" s="304"/>
      <c r="P29" s="306"/>
      <c r="Q29" s="304">
        <f t="shared" si="46"/>
        <v>0</v>
      </c>
      <c r="R29" s="309"/>
      <c r="S29" s="304"/>
      <c r="T29" s="305"/>
      <c r="U29" s="245">
        <v>21</v>
      </c>
      <c r="V29" s="258"/>
      <c r="W29" s="258"/>
      <c r="X29" s="248" t="str">
        <f t="shared" si="5"/>
        <v/>
      </c>
      <c r="Y29" s="249"/>
      <c r="Z29" s="249"/>
      <c r="AA29" s="250" t="str">
        <f t="shared" si="14"/>
        <v/>
      </c>
      <c r="AB29" s="249"/>
      <c r="AC29" s="249"/>
      <c r="AD29" s="249"/>
      <c r="AE29" s="251" t="str">
        <f t="shared" ref="AE29:AE32" si="49">IFERROR(IF(AND(X28="Probabilidad",X29="Probabilidad"),(AG28-(+AG28*AA29)),IF(AND(X28="Impacto",X29="Probabilidad"),(AG27-(+AG27*AA29)),IF(X29="Impacto",AG28,""))),"")</f>
        <v/>
      </c>
      <c r="AF29" s="252" t="str">
        <f t="shared" si="24"/>
        <v/>
      </c>
      <c r="AG29" s="250" t="str">
        <f t="shared" si="25"/>
        <v/>
      </c>
      <c r="AH29" s="252" t="str">
        <f t="shared" si="26"/>
        <v/>
      </c>
      <c r="AI29" s="250" t="str">
        <f t="shared" ref="AI29:AI32" si="50">IFERROR(IF(AND(X28="Impacto",X29="Impacto"),(AI28-(+AI28*AA29)),IF(AND(X28="Probabilidad",X29="Impacto"),(AI27-(+AI27*AA29)),IF(X29="Probabilidad",AI28,""))),"")</f>
        <v/>
      </c>
      <c r="AJ29" s="253" t="str">
        <f t="shared" si="17"/>
        <v/>
      </c>
      <c r="AK29" s="249"/>
      <c r="AL29" s="295"/>
      <c r="AM29" s="254"/>
      <c r="AN29" s="255"/>
      <c r="AO29" s="256"/>
      <c r="AP29" s="257"/>
      <c r="AQ29" s="257"/>
      <c r="AR29" s="257"/>
      <c r="AS29" s="257"/>
      <c r="AT29" s="285"/>
      <c r="AU29" s="286"/>
      <c r="AV29" s="287"/>
    </row>
    <row r="30" spans="1:48" ht="156.75" hidden="1" customHeight="1" outlineLevel="1" x14ac:dyDescent="0.2">
      <c r="A30" s="310"/>
      <c r="B30" s="296"/>
      <c r="C30" s="296"/>
      <c r="D30" s="296"/>
      <c r="E30" s="311"/>
      <c r="F30" s="296"/>
      <c r="G30" s="296"/>
      <c r="H30" s="296"/>
      <c r="I30" s="296"/>
      <c r="J30" s="296"/>
      <c r="K30" s="296"/>
      <c r="L30" s="296"/>
      <c r="M30" s="308"/>
      <c r="N30" s="309"/>
      <c r="O30" s="304"/>
      <c r="P30" s="306"/>
      <c r="Q30" s="304">
        <f t="shared" si="46"/>
        <v>0</v>
      </c>
      <c r="R30" s="309"/>
      <c r="S30" s="304"/>
      <c r="T30" s="305"/>
      <c r="U30" s="245">
        <v>22</v>
      </c>
      <c r="V30" s="246"/>
      <c r="W30" s="246"/>
      <c r="X30" s="248" t="str">
        <f t="shared" si="5"/>
        <v/>
      </c>
      <c r="Y30" s="249"/>
      <c r="Z30" s="249"/>
      <c r="AA30" s="250" t="str">
        <f t="shared" si="14"/>
        <v/>
      </c>
      <c r="AB30" s="249"/>
      <c r="AC30" s="249"/>
      <c r="AD30" s="249"/>
      <c r="AE30" s="251" t="str">
        <f t="shared" si="49"/>
        <v/>
      </c>
      <c r="AF30" s="252" t="str">
        <f t="shared" si="24"/>
        <v/>
      </c>
      <c r="AG30" s="250" t="str">
        <f t="shared" si="25"/>
        <v/>
      </c>
      <c r="AH30" s="252" t="str">
        <f t="shared" si="26"/>
        <v/>
      </c>
      <c r="AI30" s="250" t="str">
        <f t="shared" si="50"/>
        <v/>
      </c>
      <c r="AJ30" s="253" t="str">
        <f t="shared" si="17"/>
        <v/>
      </c>
      <c r="AK30" s="249"/>
      <c r="AL30" s="295"/>
      <c r="AM30" s="254"/>
      <c r="AN30" s="255"/>
      <c r="AO30" s="256"/>
      <c r="AP30" s="257"/>
      <c r="AQ30" s="257"/>
      <c r="AR30" s="257"/>
      <c r="AS30" s="257"/>
      <c r="AT30" s="285"/>
      <c r="AU30" s="286"/>
      <c r="AV30" s="287"/>
    </row>
    <row r="31" spans="1:48" ht="156.75" hidden="1" customHeight="1" outlineLevel="1" x14ac:dyDescent="0.2">
      <c r="A31" s="310"/>
      <c r="B31" s="296"/>
      <c r="C31" s="296"/>
      <c r="D31" s="296"/>
      <c r="E31" s="311"/>
      <c r="F31" s="296"/>
      <c r="G31" s="296"/>
      <c r="H31" s="296"/>
      <c r="I31" s="296"/>
      <c r="J31" s="296"/>
      <c r="K31" s="296"/>
      <c r="L31" s="296"/>
      <c r="M31" s="308"/>
      <c r="N31" s="309"/>
      <c r="O31" s="304"/>
      <c r="P31" s="306"/>
      <c r="Q31" s="304">
        <f t="shared" si="46"/>
        <v>0</v>
      </c>
      <c r="R31" s="309"/>
      <c r="S31" s="304"/>
      <c r="T31" s="305"/>
      <c r="U31" s="245">
        <v>23</v>
      </c>
      <c r="V31" s="246"/>
      <c r="W31" s="246"/>
      <c r="X31" s="248" t="str">
        <f t="shared" si="5"/>
        <v/>
      </c>
      <c r="Y31" s="249"/>
      <c r="Z31" s="249"/>
      <c r="AA31" s="250" t="str">
        <f t="shared" si="14"/>
        <v/>
      </c>
      <c r="AB31" s="249"/>
      <c r="AC31" s="249"/>
      <c r="AD31" s="249"/>
      <c r="AE31" s="251" t="str">
        <f t="shared" si="49"/>
        <v/>
      </c>
      <c r="AF31" s="252" t="str">
        <f t="shared" si="24"/>
        <v/>
      </c>
      <c r="AG31" s="250" t="str">
        <f t="shared" si="25"/>
        <v/>
      </c>
      <c r="AH31" s="252" t="str">
        <f t="shared" si="26"/>
        <v/>
      </c>
      <c r="AI31" s="250" t="str">
        <f t="shared" si="50"/>
        <v/>
      </c>
      <c r="AJ31" s="253" t="str">
        <f t="shared" si="17"/>
        <v/>
      </c>
      <c r="AK31" s="249"/>
      <c r="AL31" s="295"/>
      <c r="AM31" s="254"/>
      <c r="AN31" s="255"/>
      <c r="AO31" s="256"/>
      <c r="AP31" s="257"/>
      <c r="AQ31" s="257"/>
      <c r="AR31" s="257"/>
      <c r="AS31" s="257"/>
      <c r="AT31" s="285"/>
      <c r="AU31" s="286"/>
      <c r="AV31" s="287"/>
    </row>
    <row r="32" spans="1:48" ht="156.75" hidden="1" customHeight="1" outlineLevel="1" x14ac:dyDescent="0.2">
      <c r="A32" s="310"/>
      <c r="B32" s="296"/>
      <c r="C32" s="296"/>
      <c r="D32" s="296"/>
      <c r="E32" s="311"/>
      <c r="F32" s="296"/>
      <c r="G32" s="296"/>
      <c r="H32" s="296"/>
      <c r="I32" s="296"/>
      <c r="J32" s="296"/>
      <c r="K32" s="296"/>
      <c r="L32" s="296"/>
      <c r="M32" s="308"/>
      <c r="N32" s="309"/>
      <c r="O32" s="304"/>
      <c r="P32" s="306"/>
      <c r="Q32" s="304">
        <f t="shared" si="46"/>
        <v>0</v>
      </c>
      <c r="R32" s="309"/>
      <c r="S32" s="304"/>
      <c r="T32" s="305"/>
      <c r="U32" s="245">
        <v>24</v>
      </c>
      <c r="V32" s="246"/>
      <c r="W32" s="246"/>
      <c r="X32" s="248" t="str">
        <f t="shared" si="5"/>
        <v/>
      </c>
      <c r="Y32" s="249"/>
      <c r="Z32" s="249"/>
      <c r="AA32" s="250" t="str">
        <f t="shared" si="14"/>
        <v/>
      </c>
      <c r="AB32" s="249"/>
      <c r="AC32" s="249"/>
      <c r="AD32" s="249"/>
      <c r="AE32" s="251" t="str">
        <f t="shared" si="49"/>
        <v/>
      </c>
      <c r="AF32" s="252" t="str">
        <f t="shared" si="24"/>
        <v/>
      </c>
      <c r="AG32" s="250" t="str">
        <f t="shared" si="25"/>
        <v/>
      </c>
      <c r="AH32" s="252" t="str">
        <f t="shared" si="26"/>
        <v/>
      </c>
      <c r="AI32" s="250" t="str">
        <f t="shared" si="50"/>
        <v/>
      </c>
      <c r="AJ32" s="253" t="str">
        <f t="shared" si="17"/>
        <v/>
      </c>
      <c r="AK32" s="249"/>
      <c r="AL32" s="295"/>
      <c r="AM32" s="254"/>
      <c r="AN32" s="255"/>
      <c r="AO32" s="256"/>
      <c r="AP32" s="257"/>
      <c r="AQ32" s="257"/>
      <c r="AR32" s="257"/>
      <c r="AS32" s="257"/>
      <c r="AT32" s="285"/>
      <c r="AU32" s="286"/>
      <c r="AV32" s="287"/>
    </row>
    <row r="33" spans="1:48" ht="156.75" hidden="1" customHeight="1" outlineLevel="1" x14ac:dyDescent="0.2">
      <c r="A33" s="310"/>
      <c r="B33" s="296"/>
      <c r="C33" s="296"/>
      <c r="D33" s="296"/>
      <c r="E33" s="311"/>
      <c r="F33" s="296"/>
      <c r="G33" s="296"/>
      <c r="H33" s="296"/>
      <c r="I33" s="296"/>
      <c r="J33" s="296"/>
      <c r="K33" s="296"/>
      <c r="L33" s="296"/>
      <c r="M33" s="308"/>
      <c r="N33" s="309" t="str">
        <f t="shared" ref="N33" si="51">IF(M33&lt;=0,"",IF(M33&lt;=2,"Muy Baja",IF(M33&lt;=24,"Baja",IF(M33&lt;=500,"Media",IF(M33&lt;=5000,"Alta","Muy Alta")))))</f>
        <v/>
      </c>
      <c r="O33" s="304" t="str">
        <f t="shared" ref="O33" si="52">IF(N33="","",IF(N33="Muy Baja",0.2,IF(N33="Baja",0.4,IF(N33="Media",0.6,IF(N33="Alta",0.8,IF(N33="Muy Alta",1,))))))</f>
        <v/>
      </c>
      <c r="P33" s="306"/>
      <c r="Q33" s="304">
        <f>IF(NOT(ISERROR(MATCH(P33,'Tabla Impacto'!$B$221:$B$223,0))),'Tabla Impacto'!$F$223&amp;"Por favor no seleccionar los criterios de impacto(Afectación Económica o presupuestal y Pérdida Reputacional)",P33)</f>
        <v>0</v>
      </c>
      <c r="R33" s="309" t="str">
        <f>IF(OR(Q33='Tabla Impacto'!$C$11,Q33='Tabla Impacto'!$D$11),"Leve",IF(OR(Q33='Tabla Impacto'!$C$12,Q33='Tabla Impacto'!$D$12),"Menor",IF(OR(Q33='Tabla Impacto'!$C$13,Q33='Tabla Impacto'!$D$13),"Moderado",IF(OR(Q33='Tabla Impacto'!$C$14,Q33='Tabla Impacto'!$D$14),"Mayor",IF(OR(Q33='Tabla Impacto'!$C$15,Q33='Tabla Impacto'!$D$15),"Catastrófico","")))))</f>
        <v/>
      </c>
      <c r="S33" s="304" t="str">
        <f t="shared" ref="S33" si="53">IF(R33="","",IF(R33="Leve",0.2,IF(R33="Menor",0.4,IF(R33="Moderado",0.6,IF(R33="Mayor",0.8,IF(R33="Catastrófico",1,))))))</f>
        <v/>
      </c>
      <c r="T33" s="305" t="str">
        <f t="shared" ref="T33" si="54">IF(OR(AND(N33="Muy Baja",R33="Leve"),AND(N33="Muy Baja",R33="Menor"),AND(N33="Baja",R33="Leve")),"Bajo",IF(OR(AND(N33="Muy baja",R33="Moderado"),AND(N33="Baja",R33="Menor"),AND(N33="Baja",R33="Moderado"),AND(N33="Media",R33="Leve"),AND(N33="Media",R33="Menor"),AND(N33="Media",R33="Moderado"),AND(N33="Alta",R33="Leve"),AND(N33="Alta",R33="Menor")),"Moderado",IF(OR(AND(N33="Muy Baja",R33="Mayor"),AND(N33="Baja",R33="Mayor"),AND(N33="Media",R33="Mayor"),AND(N33="Alta",R33="Moderado"),AND(N33="Alta",R33="Mayor"),AND(N33="Muy Alta",R33="Leve"),AND(N33="Muy Alta",R33="Menor"),AND(N33="Muy Alta",R33="Moderado"),AND(N33="Muy Alta",R33="Mayor")),"Alto",IF(OR(AND(N33="Muy Baja",R33="Catastrófico"),AND(N33="Baja",R33="Catastrófico"),AND(N33="Media",R33="Catastrófico"),AND(N33="Alta",R33="Catastrófico"),AND(N33="Muy Alta",R33="Catastrófico")),"Extremo",""))))</f>
        <v/>
      </c>
      <c r="U33" s="245">
        <v>25</v>
      </c>
      <c r="V33" s="246"/>
      <c r="W33" s="247"/>
      <c r="X33" s="248" t="str">
        <f t="shared" si="5"/>
        <v/>
      </c>
      <c r="Y33" s="249"/>
      <c r="Z33" s="249"/>
      <c r="AA33" s="250" t="str">
        <f t="shared" si="14"/>
        <v/>
      </c>
      <c r="AB33" s="249"/>
      <c r="AC33" s="249"/>
      <c r="AD33" s="249"/>
      <c r="AE33" s="251" t="str">
        <f t="shared" ref="AE33" si="55">IFERROR(IF(X33="Probabilidad",(O33-(+O33*AA33)),IF(X33="Impacto",O33,"")),"")</f>
        <v/>
      </c>
      <c r="AF33" s="252" t="str">
        <f t="shared" si="24"/>
        <v/>
      </c>
      <c r="AG33" s="250" t="str">
        <f t="shared" si="25"/>
        <v/>
      </c>
      <c r="AH33" s="252" t="str">
        <f t="shared" si="26"/>
        <v/>
      </c>
      <c r="AI33" s="250" t="str">
        <f t="shared" ref="AI33" si="56">IFERROR(IF(X33="Impacto",(S33-(+S33*AA33)),IF(X33="Probabilidad",S33,"")),"")</f>
        <v/>
      </c>
      <c r="AJ33" s="253" t="str">
        <f t="shared" si="17"/>
        <v/>
      </c>
      <c r="AK33" s="249"/>
      <c r="AL33" s="295"/>
      <c r="AM33" s="254"/>
      <c r="AN33" s="255"/>
      <c r="AO33" s="256"/>
      <c r="AP33" s="257"/>
      <c r="AQ33" s="257"/>
      <c r="AR33" s="257"/>
      <c r="AS33" s="257"/>
      <c r="AT33" s="285"/>
      <c r="AU33" s="286"/>
      <c r="AV33" s="287"/>
    </row>
    <row r="34" spans="1:48" ht="156.75" hidden="1" customHeight="1" outlineLevel="1" x14ac:dyDescent="0.2">
      <c r="A34" s="310"/>
      <c r="B34" s="296"/>
      <c r="C34" s="296"/>
      <c r="D34" s="296"/>
      <c r="E34" s="311"/>
      <c r="F34" s="296"/>
      <c r="G34" s="296"/>
      <c r="H34" s="296"/>
      <c r="I34" s="296"/>
      <c r="J34" s="296"/>
      <c r="K34" s="296"/>
      <c r="L34" s="296"/>
      <c r="M34" s="308"/>
      <c r="N34" s="309"/>
      <c r="O34" s="304"/>
      <c r="P34" s="306"/>
      <c r="Q34" s="304">
        <f t="shared" ref="Q34:Q38" si="57">IF(NOT(ISERROR(MATCH(P34,_xlfn.ANCHORARRAY(E45),0))),O47&amp;"Por favor no seleccionar los criterios de impacto",P34)</f>
        <v>0</v>
      </c>
      <c r="R34" s="309"/>
      <c r="S34" s="304"/>
      <c r="T34" s="305"/>
      <c r="U34" s="245">
        <v>26</v>
      </c>
      <c r="V34" s="246"/>
      <c r="W34" s="246"/>
      <c r="X34" s="248" t="str">
        <f t="shared" si="5"/>
        <v/>
      </c>
      <c r="Y34" s="249"/>
      <c r="Z34" s="249"/>
      <c r="AA34" s="250" t="str">
        <f t="shared" si="14"/>
        <v/>
      </c>
      <c r="AB34" s="249"/>
      <c r="AC34" s="249"/>
      <c r="AD34" s="249"/>
      <c r="AE34" s="251" t="str">
        <f t="shared" ref="AE34" si="58">IFERROR(IF(AND(X33="Probabilidad",X34="Probabilidad"),(AG33-(+AG33*AA34)),IF(X34="Probabilidad",(O33-(+O33*AA34)),IF(X34="Impacto",AG33,""))),"")</f>
        <v/>
      </c>
      <c r="AF34" s="252" t="str">
        <f t="shared" si="24"/>
        <v/>
      </c>
      <c r="AG34" s="250" t="str">
        <f t="shared" si="25"/>
        <v/>
      </c>
      <c r="AH34" s="252" t="str">
        <f t="shared" si="26"/>
        <v/>
      </c>
      <c r="AI34" s="250" t="str">
        <f t="shared" ref="AI34" si="59">IFERROR(IF(AND(X33="Impacto",X34="Impacto"),(AI33-(+AI33*AA34)),IF(X34="Impacto",(S33-(+S33*AA34)),IF(X34="Probabilidad",AI33,""))),"")</f>
        <v/>
      </c>
      <c r="AJ34" s="253" t="str">
        <f t="shared" si="17"/>
        <v/>
      </c>
      <c r="AK34" s="249"/>
      <c r="AL34" s="295"/>
      <c r="AM34" s="254"/>
      <c r="AN34" s="255"/>
      <c r="AO34" s="256"/>
      <c r="AP34" s="257"/>
      <c r="AQ34" s="257"/>
      <c r="AR34" s="257"/>
      <c r="AS34" s="257"/>
      <c r="AT34" s="285"/>
      <c r="AU34" s="286"/>
      <c r="AV34" s="287"/>
    </row>
    <row r="35" spans="1:48" ht="156.75" hidden="1" customHeight="1" outlineLevel="1" x14ac:dyDescent="0.2">
      <c r="A35" s="310"/>
      <c r="B35" s="296"/>
      <c r="C35" s="296"/>
      <c r="D35" s="296"/>
      <c r="E35" s="311"/>
      <c r="F35" s="296"/>
      <c r="G35" s="296"/>
      <c r="H35" s="296"/>
      <c r="I35" s="296"/>
      <c r="J35" s="296"/>
      <c r="K35" s="296"/>
      <c r="L35" s="296"/>
      <c r="M35" s="308"/>
      <c r="N35" s="309"/>
      <c r="O35" s="304"/>
      <c r="P35" s="306"/>
      <c r="Q35" s="304">
        <f t="shared" si="57"/>
        <v>0</v>
      </c>
      <c r="R35" s="309"/>
      <c r="S35" s="304"/>
      <c r="T35" s="305"/>
      <c r="U35" s="245">
        <v>27</v>
      </c>
      <c r="V35" s="258"/>
      <c r="W35" s="258"/>
      <c r="X35" s="248" t="str">
        <f t="shared" si="5"/>
        <v/>
      </c>
      <c r="Y35" s="249"/>
      <c r="Z35" s="249"/>
      <c r="AA35" s="250" t="str">
        <f t="shared" si="14"/>
        <v/>
      </c>
      <c r="AB35" s="249"/>
      <c r="AC35" s="249"/>
      <c r="AD35" s="249"/>
      <c r="AE35" s="251" t="str">
        <f t="shared" ref="AE35:AE38" si="60">IFERROR(IF(AND(X34="Probabilidad",X35="Probabilidad"),(AG34-(+AG34*AA35)),IF(AND(X34="Impacto",X35="Probabilidad"),(AG33-(+AG33*AA35)),IF(X35="Impacto",AG34,""))),"")</f>
        <v/>
      </c>
      <c r="AF35" s="252" t="str">
        <f t="shared" si="24"/>
        <v/>
      </c>
      <c r="AG35" s="250" t="str">
        <f t="shared" si="25"/>
        <v/>
      </c>
      <c r="AH35" s="252" t="str">
        <f t="shared" si="26"/>
        <v/>
      </c>
      <c r="AI35" s="250" t="str">
        <f t="shared" ref="AI35:AI38" si="61">IFERROR(IF(AND(X34="Impacto",X35="Impacto"),(AI34-(+AI34*AA35)),IF(AND(X34="Probabilidad",X35="Impacto"),(AI33-(+AI33*AA35)),IF(X35="Probabilidad",AI34,""))),"")</f>
        <v/>
      </c>
      <c r="AJ35" s="253" t="str">
        <f t="shared" si="17"/>
        <v/>
      </c>
      <c r="AK35" s="249"/>
      <c r="AL35" s="295"/>
      <c r="AM35" s="254"/>
      <c r="AN35" s="255"/>
      <c r="AO35" s="256"/>
      <c r="AP35" s="257"/>
      <c r="AQ35" s="257"/>
      <c r="AR35" s="257"/>
      <c r="AS35" s="257"/>
      <c r="AT35" s="285"/>
      <c r="AU35" s="286"/>
      <c r="AV35" s="287"/>
    </row>
    <row r="36" spans="1:48" ht="156.75" hidden="1" customHeight="1" outlineLevel="1" x14ac:dyDescent="0.2">
      <c r="A36" s="310"/>
      <c r="B36" s="296"/>
      <c r="C36" s="296"/>
      <c r="D36" s="296"/>
      <c r="E36" s="311"/>
      <c r="F36" s="296"/>
      <c r="G36" s="296"/>
      <c r="H36" s="296"/>
      <c r="I36" s="296"/>
      <c r="J36" s="296"/>
      <c r="K36" s="296"/>
      <c r="L36" s="296"/>
      <c r="M36" s="308"/>
      <c r="N36" s="309"/>
      <c r="O36" s="304"/>
      <c r="P36" s="306"/>
      <c r="Q36" s="304">
        <f t="shared" si="57"/>
        <v>0</v>
      </c>
      <c r="R36" s="309"/>
      <c r="S36" s="304"/>
      <c r="T36" s="305"/>
      <c r="U36" s="245">
        <v>28</v>
      </c>
      <c r="V36" s="246"/>
      <c r="W36" s="246"/>
      <c r="X36" s="248" t="str">
        <f t="shared" si="5"/>
        <v/>
      </c>
      <c r="Y36" s="249"/>
      <c r="Z36" s="249"/>
      <c r="AA36" s="250" t="str">
        <f t="shared" si="14"/>
        <v/>
      </c>
      <c r="AB36" s="249"/>
      <c r="AC36" s="249"/>
      <c r="AD36" s="249"/>
      <c r="AE36" s="251" t="str">
        <f t="shared" si="60"/>
        <v/>
      </c>
      <c r="AF36" s="252" t="str">
        <f t="shared" si="24"/>
        <v/>
      </c>
      <c r="AG36" s="250" t="str">
        <f t="shared" si="25"/>
        <v/>
      </c>
      <c r="AH36" s="252" t="str">
        <f t="shared" si="26"/>
        <v/>
      </c>
      <c r="AI36" s="250" t="str">
        <f t="shared" si="61"/>
        <v/>
      </c>
      <c r="AJ36" s="253" t="str">
        <f t="shared" si="17"/>
        <v/>
      </c>
      <c r="AK36" s="249"/>
      <c r="AL36" s="295"/>
      <c r="AM36" s="254"/>
      <c r="AN36" s="255"/>
      <c r="AO36" s="256"/>
      <c r="AP36" s="257"/>
      <c r="AQ36" s="257"/>
      <c r="AR36" s="257"/>
      <c r="AS36" s="257"/>
      <c r="AT36" s="285"/>
      <c r="AU36" s="286"/>
      <c r="AV36" s="287"/>
    </row>
    <row r="37" spans="1:48" ht="156.75" hidden="1" customHeight="1" outlineLevel="1" x14ac:dyDescent="0.2">
      <c r="A37" s="310"/>
      <c r="B37" s="296"/>
      <c r="C37" s="296"/>
      <c r="D37" s="296"/>
      <c r="E37" s="311"/>
      <c r="F37" s="296"/>
      <c r="G37" s="296"/>
      <c r="H37" s="296"/>
      <c r="I37" s="296"/>
      <c r="J37" s="296"/>
      <c r="K37" s="296"/>
      <c r="L37" s="296"/>
      <c r="M37" s="308"/>
      <c r="N37" s="309"/>
      <c r="O37" s="304"/>
      <c r="P37" s="306"/>
      <c r="Q37" s="304">
        <f t="shared" si="57"/>
        <v>0</v>
      </c>
      <c r="R37" s="309"/>
      <c r="S37" s="304"/>
      <c r="T37" s="305"/>
      <c r="U37" s="245">
        <v>29</v>
      </c>
      <c r="V37" s="246"/>
      <c r="W37" s="246"/>
      <c r="X37" s="248" t="str">
        <f t="shared" si="5"/>
        <v/>
      </c>
      <c r="Y37" s="249"/>
      <c r="Z37" s="249"/>
      <c r="AA37" s="250" t="str">
        <f t="shared" si="14"/>
        <v/>
      </c>
      <c r="AB37" s="249"/>
      <c r="AC37" s="249"/>
      <c r="AD37" s="249"/>
      <c r="AE37" s="251" t="str">
        <f t="shared" si="60"/>
        <v/>
      </c>
      <c r="AF37" s="252" t="str">
        <f t="shared" si="24"/>
        <v/>
      </c>
      <c r="AG37" s="250" t="str">
        <f t="shared" si="25"/>
        <v/>
      </c>
      <c r="AH37" s="252" t="str">
        <f t="shared" si="26"/>
        <v/>
      </c>
      <c r="AI37" s="250" t="str">
        <f t="shared" si="61"/>
        <v/>
      </c>
      <c r="AJ37" s="253" t="str">
        <f t="shared" si="17"/>
        <v/>
      </c>
      <c r="AK37" s="249"/>
      <c r="AL37" s="295"/>
      <c r="AM37" s="254"/>
      <c r="AN37" s="255"/>
      <c r="AO37" s="256"/>
      <c r="AP37" s="257"/>
      <c r="AQ37" s="257"/>
      <c r="AR37" s="257"/>
      <c r="AS37" s="257"/>
      <c r="AT37" s="285"/>
      <c r="AU37" s="286"/>
      <c r="AV37" s="287"/>
    </row>
    <row r="38" spans="1:48" ht="156.75" hidden="1" customHeight="1" outlineLevel="1" x14ac:dyDescent="0.2">
      <c r="A38" s="310"/>
      <c r="B38" s="296"/>
      <c r="C38" s="296"/>
      <c r="D38" s="296"/>
      <c r="E38" s="311"/>
      <c r="F38" s="296"/>
      <c r="G38" s="296"/>
      <c r="H38" s="296"/>
      <c r="I38" s="296"/>
      <c r="J38" s="296"/>
      <c r="K38" s="296"/>
      <c r="L38" s="296"/>
      <c r="M38" s="308"/>
      <c r="N38" s="309"/>
      <c r="O38" s="304"/>
      <c r="P38" s="306"/>
      <c r="Q38" s="304">
        <f t="shared" si="57"/>
        <v>0</v>
      </c>
      <c r="R38" s="309"/>
      <c r="S38" s="304"/>
      <c r="T38" s="305"/>
      <c r="U38" s="245">
        <v>30</v>
      </c>
      <c r="V38" s="246"/>
      <c r="W38" s="246"/>
      <c r="X38" s="248" t="str">
        <f t="shared" si="5"/>
        <v/>
      </c>
      <c r="Y38" s="249"/>
      <c r="Z38" s="249"/>
      <c r="AA38" s="250" t="str">
        <f t="shared" si="14"/>
        <v/>
      </c>
      <c r="AB38" s="249"/>
      <c r="AC38" s="249"/>
      <c r="AD38" s="249"/>
      <c r="AE38" s="251" t="str">
        <f t="shared" si="60"/>
        <v/>
      </c>
      <c r="AF38" s="252" t="str">
        <f t="shared" si="24"/>
        <v/>
      </c>
      <c r="AG38" s="250" t="str">
        <f t="shared" si="25"/>
        <v/>
      </c>
      <c r="AH38" s="252" t="str">
        <f t="shared" si="26"/>
        <v/>
      </c>
      <c r="AI38" s="250" t="str">
        <f t="shared" si="61"/>
        <v/>
      </c>
      <c r="AJ38" s="253" t="str">
        <f t="shared" si="17"/>
        <v/>
      </c>
      <c r="AK38" s="249"/>
      <c r="AL38" s="295"/>
      <c r="AM38" s="254"/>
      <c r="AN38" s="255"/>
      <c r="AO38" s="256"/>
      <c r="AP38" s="257"/>
      <c r="AQ38" s="257"/>
      <c r="AR38" s="257"/>
      <c r="AS38" s="257"/>
      <c r="AT38" s="285"/>
      <c r="AU38" s="286"/>
      <c r="AV38" s="287"/>
    </row>
    <row r="39" spans="1:48" ht="156.75" hidden="1" customHeight="1" outlineLevel="1" x14ac:dyDescent="0.2">
      <c r="A39" s="310"/>
      <c r="B39" s="296"/>
      <c r="C39" s="296"/>
      <c r="D39" s="296"/>
      <c r="E39" s="311"/>
      <c r="F39" s="296"/>
      <c r="G39" s="296"/>
      <c r="H39" s="296"/>
      <c r="I39" s="296"/>
      <c r="J39" s="296"/>
      <c r="K39" s="296"/>
      <c r="L39" s="296"/>
      <c r="M39" s="308"/>
      <c r="N39" s="309" t="str">
        <f t="shared" ref="N39" si="62">IF(M39&lt;=0,"",IF(M39&lt;=2,"Muy Baja",IF(M39&lt;=24,"Baja",IF(M39&lt;=500,"Media",IF(M39&lt;=5000,"Alta","Muy Alta")))))</f>
        <v/>
      </c>
      <c r="O39" s="304" t="str">
        <f t="shared" ref="O39" si="63">IF(N39="","",IF(N39="Muy Baja",0.2,IF(N39="Baja",0.4,IF(N39="Media",0.6,IF(N39="Alta",0.8,IF(N39="Muy Alta",1,))))))</f>
        <v/>
      </c>
      <c r="P39" s="306"/>
      <c r="Q39" s="304">
        <f>IF(NOT(ISERROR(MATCH(P39,'Tabla Impacto'!$B$221:$B$223,0))),'Tabla Impacto'!$F$223&amp;"Por favor no seleccionar los criterios de impacto(Afectación Económica o presupuestal y Pérdida Reputacional)",P39)</f>
        <v>0</v>
      </c>
      <c r="R39" s="309" t="str">
        <f>IF(OR(Q39='Tabla Impacto'!$C$11,Q39='Tabla Impacto'!$D$11),"Leve",IF(OR(Q39='Tabla Impacto'!$C$12,Q39='Tabla Impacto'!$D$12),"Menor",IF(OR(Q39='Tabla Impacto'!$C$13,Q39='Tabla Impacto'!$D$13),"Moderado",IF(OR(Q39='Tabla Impacto'!$C$14,Q39='Tabla Impacto'!$D$14),"Mayor",IF(OR(Q39='Tabla Impacto'!$C$15,Q39='Tabla Impacto'!$D$15),"Catastrófico","")))))</f>
        <v/>
      </c>
      <c r="S39" s="304" t="str">
        <f t="shared" ref="S39" si="64">IF(R39="","",IF(R39="Leve",0.2,IF(R39="Menor",0.4,IF(R39="Moderado",0.6,IF(R39="Mayor",0.8,IF(R39="Catastrófico",1,))))))</f>
        <v/>
      </c>
      <c r="T39" s="305" t="str">
        <f t="shared" ref="T39" si="65">IF(OR(AND(N39="Muy Baja",R39="Leve"),AND(N39="Muy 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
      </c>
      <c r="U39" s="245">
        <v>31</v>
      </c>
      <c r="V39" s="246"/>
      <c r="W39" s="247"/>
      <c r="X39" s="248" t="str">
        <f t="shared" si="5"/>
        <v/>
      </c>
      <c r="Y39" s="249"/>
      <c r="Z39" s="249"/>
      <c r="AA39" s="250" t="str">
        <f t="shared" si="14"/>
        <v/>
      </c>
      <c r="AB39" s="249"/>
      <c r="AC39" s="249"/>
      <c r="AD39" s="249"/>
      <c r="AE39" s="251" t="str">
        <f t="shared" ref="AE39" si="66">IFERROR(IF(X39="Probabilidad",(O39-(+O39*AA39)),IF(X39="Impacto",O39,"")),"")</f>
        <v/>
      </c>
      <c r="AF39" s="252" t="str">
        <f t="shared" si="24"/>
        <v/>
      </c>
      <c r="AG39" s="250" t="str">
        <f t="shared" si="25"/>
        <v/>
      </c>
      <c r="AH39" s="252" t="str">
        <f t="shared" si="26"/>
        <v/>
      </c>
      <c r="AI39" s="250" t="str">
        <f t="shared" ref="AI39" si="67">IFERROR(IF(X39="Impacto",(S39-(+S39*AA39)),IF(X39="Probabilidad",S39,"")),"")</f>
        <v/>
      </c>
      <c r="AJ39" s="253" t="str">
        <f t="shared" si="17"/>
        <v/>
      </c>
      <c r="AK39" s="249"/>
      <c r="AL39" s="295"/>
      <c r="AM39" s="254"/>
      <c r="AN39" s="255"/>
      <c r="AO39" s="256"/>
      <c r="AP39" s="257"/>
      <c r="AQ39" s="257"/>
      <c r="AR39" s="257"/>
      <c r="AS39" s="257"/>
      <c r="AT39" s="285"/>
      <c r="AU39" s="286"/>
      <c r="AV39" s="287"/>
    </row>
    <row r="40" spans="1:48" ht="156.75" hidden="1" customHeight="1" outlineLevel="1" x14ac:dyDescent="0.2">
      <c r="A40" s="310"/>
      <c r="B40" s="296"/>
      <c r="C40" s="296"/>
      <c r="D40" s="296"/>
      <c r="E40" s="311"/>
      <c r="F40" s="296"/>
      <c r="G40" s="296"/>
      <c r="H40" s="296"/>
      <c r="I40" s="296"/>
      <c r="J40" s="296"/>
      <c r="K40" s="296"/>
      <c r="L40" s="296"/>
      <c r="M40" s="308"/>
      <c r="N40" s="309"/>
      <c r="O40" s="304"/>
      <c r="P40" s="306"/>
      <c r="Q40" s="304">
        <f t="shared" ref="Q40:Q44" si="68">IF(NOT(ISERROR(MATCH(P40,_xlfn.ANCHORARRAY(E51),0))),O53&amp;"Por favor no seleccionar los criterios de impacto",P40)</f>
        <v>0</v>
      </c>
      <c r="R40" s="309"/>
      <c r="S40" s="304"/>
      <c r="T40" s="305"/>
      <c r="U40" s="245">
        <v>32</v>
      </c>
      <c r="V40" s="246"/>
      <c r="W40" s="246"/>
      <c r="X40" s="248" t="str">
        <f t="shared" si="5"/>
        <v/>
      </c>
      <c r="Y40" s="249"/>
      <c r="Z40" s="249"/>
      <c r="AA40" s="250" t="str">
        <f t="shared" si="14"/>
        <v/>
      </c>
      <c r="AB40" s="249"/>
      <c r="AC40" s="249"/>
      <c r="AD40" s="249"/>
      <c r="AE40" s="251" t="str">
        <f t="shared" ref="AE40" si="69">IFERROR(IF(AND(X39="Probabilidad",X40="Probabilidad"),(AG39-(+AG39*AA40)),IF(X40="Probabilidad",(O39-(+O39*AA40)),IF(X40="Impacto",AG39,""))),"")</f>
        <v/>
      </c>
      <c r="AF40" s="252" t="str">
        <f t="shared" si="24"/>
        <v/>
      </c>
      <c r="AG40" s="250" t="str">
        <f t="shared" si="25"/>
        <v/>
      </c>
      <c r="AH40" s="252" t="str">
        <f t="shared" si="26"/>
        <v/>
      </c>
      <c r="AI40" s="250" t="str">
        <f t="shared" ref="AI40" si="70">IFERROR(IF(AND(X39="Impacto",X40="Impacto"),(AI39-(+AI39*AA40)),IF(X40="Impacto",(S39-(+S39*AA40)),IF(X40="Probabilidad",AI39,""))),"")</f>
        <v/>
      </c>
      <c r="AJ40" s="253" t="str">
        <f t="shared" si="17"/>
        <v/>
      </c>
      <c r="AK40" s="249"/>
      <c r="AL40" s="295"/>
      <c r="AM40" s="254"/>
      <c r="AN40" s="255"/>
      <c r="AO40" s="256"/>
      <c r="AP40" s="257"/>
      <c r="AQ40" s="257"/>
      <c r="AR40" s="257"/>
      <c r="AS40" s="257"/>
      <c r="AT40" s="285"/>
      <c r="AU40" s="286"/>
      <c r="AV40" s="287"/>
    </row>
    <row r="41" spans="1:48" ht="156.75" hidden="1" customHeight="1" outlineLevel="1" x14ac:dyDescent="0.2">
      <c r="A41" s="310"/>
      <c r="B41" s="296"/>
      <c r="C41" s="296"/>
      <c r="D41" s="296"/>
      <c r="E41" s="311"/>
      <c r="F41" s="296"/>
      <c r="G41" s="296"/>
      <c r="H41" s="296"/>
      <c r="I41" s="296"/>
      <c r="J41" s="296"/>
      <c r="K41" s="296"/>
      <c r="L41" s="296"/>
      <c r="M41" s="308"/>
      <c r="N41" s="309"/>
      <c r="O41" s="304"/>
      <c r="P41" s="306"/>
      <c r="Q41" s="304">
        <f t="shared" si="68"/>
        <v>0</v>
      </c>
      <c r="R41" s="309"/>
      <c r="S41" s="304"/>
      <c r="T41" s="305"/>
      <c r="U41" s="245">
        <v>33</v>
      </c>
      <c r="V41" s="258"/>
      <c r="W41" s="258"/>
      <c r="X41" s="248" t="str">
        <f t="shared" si="5"/>
        <v/>
      </c>
      <c r="Y41" s="249"/>
      <c r="Z41" s="249"/>
      <c r="AA41" s="250" t="str">
        <f t="shared" si="14"/>
        <v/>
      </c>
      <c r="AB41" s="249"/>
      <c r="AC41" s="249"/>
      <c r="AD41" s="249"/>
      <c r="AE41" s="251" t="str">
        <f t="shared" ref="AE41:AE44" si="71">IFERROR(IF(AND(X40="Probabilidad",X41="Probabilidad"),(AG40-(+AG40*AA41)),IF(AND(X40="Impacto",X41="Probabilidad"),(AG39-(+AG39*AA41)),IF(X41="Impacto",AG40,""))),"")</f>
        <v/>
      </c>
      <c r="AF41" s="252" t="str">
        <f t="shared" si="24"/>
        <v/>
      </c>
      <c r="AG41" s="250" t="str">
        <f t="shared" si="25"/>
        <v/>
      </c>
      <c r="AH41" s="252" t="str">
        <f t="shared" si="26"/>
        <v/>
      </c>
      <c r="AI41" s="250" t="str">
        <f t="shared" ref="AI41:AI44" si="72">IFERROR(IF(AND(X40="Impacto",X41="Impacto"),(AI40-(+AI40*AA41)),IF(AND(X40="Probabilidad",X41="Impacto"),(AI39-(+AI39*AA41)),IF(X41="Probabilidad",AI40,""))),"")</f>
        <v/>
      </c>
      <c r="AJ41" s="253" t="str">
        <f t="shared" si="17"/>
        <v/>
      </c>
      <c r="AK41" s="249"/>
      <c r="AL41" s="295"/>
      <c r="AM41" s="254"/>
      <c r="AN41" s="255"/>
      <c r="AO41" s="256"/>
      <c r="AP41" s="257"/>
      <c r="AQ41" s="257"/>
      <c r="AR41" s="257"/>
      <c r="AS41" s="257"/>
      <c r="AT41" s="285"/>
      <c r="AU41" s="286"/>
      <c r="AV41" s="287"/>
    </row>
    <row r="42" spans="1:48" ht="156.75" hidden="1" customHeight="1" outlineLevel="1" x14ac:dyDescent="0.2">
      <c r="A42" s="310"/>
      <c r="B42" s="296"/>
      <c r="C42" s="296"/>
      <c r="D42" s="296"/>
      <c r="E42" s="311"/>
      <c r="F42" s="296"/>
      <c r="G42" s="296"/>
      <c r="H42" s="296"/>
      <c r="I42" s="296"/>
      <c r="J42" s="296"/>
      <c r="K42" s="296"/>
      <c r="L42" s="296"/>
      <c r="M42" s="308"/>
      <c r="N42" s="309"/>
      <c r="O42" s="304"/>
      <c r="P42" s="306"/>
      <c r="Q42" s="304">
        <f t="shared" si="68"/>
        <v>0</v>
      </c>
      <c r="R42" s="309"/>
      <c r="S42" s="304"/>
      <c r="T42" s="305"/>
      <c r="U42" s="245">
        <v>34</v>
      </c>
      <c r="V42" s="246"/>
      <c r="W42" s="246"/>
      <c r="X42" s="248" t="str">
        <f t="shared" si="5"/>
        <v/>
      </c>
      <c r="Y42" s="249"/>
      <c r="Z42" s="249"/>
      <c r="AA42" s="250" t="str">
        <f t="shared" si="14"/>
        <v/>
      </c>
      <c r="AB42" s="249"/>
      <c r="AC42" s="249"/>
      <c r="AD42" s="249"/>
      <c r="AE42" s="251" t="str">
        <f t="shared" si="71"/>
        <v/>
      </c>
      <c r="AF42" s="252" t="str">
        <f t="shared" si="24"/>
        <v/>
      </c>
      <c r="AG42" s="250" t="str">
        <f t="shared" si="25"/>
        <v/>
      </c>
      <c r="AH42" s="252" t="str">
        <f t="shared" si="26"/>
        <v/>
      </c>
      <c r="AI42" s="250" t="str">
        <f t="shared" si="72"/>
        <v/>
      </c>
      <c r="AJ42" s="253" t="str">
        <f t="shared" si="17"/>
        <v/>
      </c>
      <c r="AK42" s="249"/>
      <c r="AL42" s="295"/>
      <c r="AM42" s="254"/>
      <c r="AN42" s="255"/>
      <c r="AO42" s="256"/>
      <c r="AP42" s="257"/>
      <c r="AQ42" s="257"/>
      <c r="AR42" s="257"/>
      <c r="AS42" s="257"/>
      <c r="AT42" s="285"/>
      <c r="AU42" s="286"/>
      <c r="AV42" s="287"/>
    </row>
    <row r="43" spans="1:48" ht="156.75" hidden="1" customHeight="1" outlineLevel="1" x14ac:dyDescent="0.2">
      <c r="A43" s="310"/>
      <c r="B43" s="296"/>
      <c r="C43" s="296"/>
      <c r="D43" s="296"/>
      <c r="E43" s="311"/>
      <c r="F43" s="296"/>
      <c r="G43" s="296"/>
      <c r="H43" s="296"/>
      <c r="I43" s="296"/>
      <c r="J43" s="296"/>
      <c r="K43" s="296"/>
      <c r="L43" s="296"/>
      <c r="M43" s="308"/>
      <c r="N43" s="309"/>
      <c r="O43" s="304"/>
      <c r="P43" s="306"/>
      <c r="Q43" s="304">
        <f t="shared" si="68"/>
        <v>0</v>
      </c>
      <c r="R43" s="309"/>
      <c r="S43" s="304"/>
      <c r="T43" s="305"/>
      <c r="U43" s="245">
        <v>35</v>
      </c>
      <c r="V43" s="246"/>
      <c r="W43" s="246"/>
      <c r="X43" s="248" t="str">
        <f t="shared" si="5"/>
        <v/>
      </c>
      <c r="Y43" s="249"/>
      <c r="Z43" s="249"/>
      <c r="AA43" s="250" t="str">
        <f t="shared" si="14"/>
        <v/>
      </c>
      <c r="AB43" s="249"/>
      <c r="AC43" s="249"/>
      <c r="AD43" s="249"/>
      <c r="AE43" s="251" t="str">
        <f t="shared" si="71"/>
        <v/>
      </c>
      <c r="AF43" s="252" t="str">
        <f t="shared" si="24"/>
        <v/>
      </c>
      <c r="AG43" s="250" t="str">
        <f t="shared" si="25"/>
        <v/>
      </c>
      <c r="AH43" s="252" t="str">
        <f t="shared" si="26"/>
        <v/>
      </c>
      <c r="AI43" s="250" t="str">
        <f t="shared" si="72"/>
        <v/>
      </c>
      <c r="AJ43" s="253" t="str">
        <f t="shared" si="17"/>
        <v/>
      </c>
      <c r="AK43" s="249"/>
      <c r="AL43" s="295"/>
      <c r="AM43" s="254"/>
      <c r="AN43" s="255"/>
      <c r="AO43" s="256"/>
      <c r="AP43" s="257"/>
      <c r="AQ43" s="257"/>
      <c r="AR43" s="257"/>
      <c r="AS43" s="257"/>
      <c r="AT43" s="285"/>
      <c r="AU43" s="286"/>
      <c r="AV43" s="287"/>
    </row>
    <row r="44" spans="1:48" ht="156.75" hidden="1" customHeight="1" outlineLevel="1" x14ac:dyDescent="0.2">
      <c r="A44" s="310"/>
      <c r="B44" s="296"/>
      <c r="C44" s="296"/>
      <c r="D44" s="296"/>
      <c r="E44" s="311"/>
      <c r="F44" s="296"/>
      <c r="G44" s="296"/>
      <c r="H44" s="296"/>
      <c r="I44" s="296"/>
      <c r="J44" s="296"/>
      <c r="K44" s="296"/>
      <c r="L44" s="296"/>
      <c r="M44" s="308"/>
      <c r="N44" s="309"/>
      <c r="O44" s="304"/>
      <c r="P44" s="306"/>
      <c r="Q44" s="304">
        <f t="shared" si="68"/>
        <v>0</v>
      </c>
      <c r="R44" s="309"/>
      <c r="S44" s="304"/>
      <c r="T44" s="305"/>
      <c r="U44" s="245">
        <v>36</v>
      </c>
      <c r="V44" s="246"/>
      <c r="W44" s="246"/>
      <c r="X44" s="248" t="str">
        <f t="shared" si="5"/>
        <v/>
      </c>
      <c r="Y44" s="249"/>
      <c r="Z44" s="249"/>
      <c r="AA44" s="250" t="str">
        <f t="shared" si="14"/>
        <v/>
      </c>
      <c r="AB44" s="249"/>
      <c r="AC44" s="249"/>
      <c r="AD44" s="249"/>
      <c r="AE44" s="251" t="str">
        <f t="shared" si="71"/>
        <v/>
      </c>
      <c r="AF44" s="252" t="str">
        <f t="shared" si="24"/>
        <v/>
      </c>
      <c r="AG44" s="250" t="str">
        <f t="shared" si="25"/>
        <v/>
      </c>
      <c r="AH44" s="252" t="str">
        <f t="shared" si="26"/>
        <v/>
      </c>
      <c r="AI44" s="250" t="str">
        <f t="shared" si="72"/>
        <v/>
      </c>
      <c r="AJ44" s="253" t="str">
        <f t="shared" si="17"/>
        <v/>
      </c>
      <c r="AK44" s="249"/>
      <c r="AL44" s="295"/>
      <c r="AM44" s="254"/>
      <c r="AN44" s="255"/>
      <c r="AO44" s="256"/>
      <c r="AP44" s="257"/>
      <c r="AQ44" s="257"/>
      <c r="AR44" s="257"/>
      <c r="AS44" s="257"/>
      <c r="AT44" s="285"/>
      <c r="AU44" s="286"/>
      <c r="AV44" s="287"/>
    </row>
    <row r="45" spans="1:48" ht="156.75" hidden="1" customHeight="1" outlineLevel="1" x14ac:dyDescent="0.2">
      <c r="A45" s="310"/>
      <c r="B45" s="296"/>
      <c r="C45" s="296"/>
      <c r="D45" s="296"/>
      <c r="E45" s="311"/>
      <c r="F45" s="296"/>
      <c r="G45" s="296"/>
      <c r="H45" s="296"/>
      <c r="I45" s="296"/>
      <c r="J45" s="296"/>
      <c r="K45" s="296"/>
      <c r="L45" s="296"/>
      <c r="M45" s="308"/>
      <c r="N45" s="309" t="str">
        <f t="shared" ref="N45" si="73">IF(M45&lt;=0,"",IF(M45&lt;=2,"Muy Baja",IF(M45&lt;=24,"Baja",IF(M45&lt;=500,"Media",IF(M45&lt;=5000,"Alta","Muy Alta")))))</f>
        <v/>
      </c>
      <c r="O45" s="304" t="str">
        <f t="shared" ref="O45" si="74">IF(N45="","",IF(N45="Muy Baja",0.2,IF(N45="Baja",0.4,IF(N45="Media",0.6,IF(N45="Alta",0.8,IF(N45="Muy Alta",1,))))))</f>
        <v/>
      </c>
      <c r="P45" s="306"/>
      <c r="Q45" s="304">
        <f>IF(NOT(ISERROR(MATCH(P45,'Tabla Impacto'!$B$221:$B$223,0))),'Tabla Impacto'!$F$223&amp;"Por favor no seleccionar los criterios de impacto(Afectación Económica o presupuestal y Pérdida Reputacional)",P45)</f>
        <v>0</v>
      </c>
      <c r="R45" s="309" t="str">
        <f>IF(OR(Q45='Tabla Impacto'!$C$11,Q45='Tabla Impacto'!$D$11),"Leve",IF(OR(Q45='Tabla Impacto'!$C$12,Q45='Tabla Impacto'!$D$12),"Menor",IF(OR(Q45='Tabla Impacto'!$C$13,Q45='Tabla Impacto'!$D$13),"Moderado",IF(OR(Q45='Tabla Impacto'!$C$14,Q45='Tabla Impacto'!$D$14),"Mayor",IF(OR(Q45='Tabla Impacto'!$C$15,Q45='Tabla Impacto'!$D$15),"Catastrófico","")))))</f>
        <v/>
      </c>
      <c r="S45" s="304" t="str">
        <f t="shared" ref="S45" si="75">IF(R45="","",IF(R45="Leve",0.2,IF(R45="Menor",0.4,IF(R45="Moderado",0.6,IF(R45="Mayor",0.8,IF(R45="Catastrófico",1,))))))</f>
        <v/>
      </c>
      <c r="T45" s="305" t="str">
        <f t="shared" ref="T45" si="76">IF(OR(AND(N45="Muy Baja",R45="Leve"),AND(N45="Muy Baja",R45="Menor"),AND(N45="Baja",R45="Leve")),"Bajo",IF(OR(AND(N45="Muy baja",R45="Moderado"),AND(N45="Baja",R45="Menor"),AND(N45="Baja",R45="Moderado"),AND(N45="Media",R45="Leve"),AND(N45="Media",R45="Menor"),AND(N45="Media",R45="Moderado"),AND(N45="Alta",R45="Leve"),AND(N45="Alta",R45="Menor")),"Moderado",IF(OR(AND(N45="Muy Baja",R45="Mayor"),AND(N45="Baja",R45="Mayor"),AND(N45="Media",R45="Mayor"),AND(N45="Alta",R45="Moderado"),AND(N45="Alta",R45="Mayor"),AND(N45="Muy Alta",R45="Leve"),AND(N45="Muy Alta",R45="Menor"),AND(N45="Muy Alta",R45="Moderado"),AND(N45="Muy Alta",R45="Mayor")),"Alto",IF(OR(AND(N45="Muy Baja",R45="Catastrófico"),AND(N45="Baja",R45="Catastrófico"),AND(N45="Media",R45="Catastrófico"),AND(N45="Alta",R45="Catastrófico"),AND(N45="Muy Alta",R45="Catastrófico")),"Extremo",""))))</f>
        <v/>
      </c>
      <c r="U45" s="245">
        <v>37</v>
      </c>
      <c r="V45" s="246"/>
      <c r="W45" s="247"/>
      <c r="X45" s="248" t="str">
        <f t="shared" si="5"/>
        <v/>
      </c>
      <c r="Y45" s="249"/>
      <c r="Z45" s="249"/>
      <c r="AA45" s="250" t="str">
        <f t="shared" si="14"/>
        <v/>
      </c>
      <c r="AB45" s="249"/>
      <c r="AC45" s="249"/>
      <c r="AD45" s="249"/>
      <c r="AE45" s="251" t="str">
        <f t="shared" ref="AE45" si="77">IFERROR(IF(X45="Probabilidad",(O45-(+O45*AA45)),IF(X45="Impacto",O45,"")),"")</f>
        <v/>
      </c>
      <c r="AF45" s="252" t="str">
        <f t="shared" si="24"/>
        <v/>
      </c>
      <c r="AG45" s="250" t="str">
        <f t="shared" si="25"/>
        <v/>
      </c>
      <c r="AH45" s="252" t="str">
        <f t="shared" si="26"/>
        <v/>
      </c>
      <c r="AI45" s="250" t="str">
        <f t="shared" ref="AI45" si="78">IFERROR(IF(X45="Impacto",(S45-(+S45*AA45)),IF(X45="Probabilidad",S45,"")),"")</f>
        <v/>
      </c>
      <c r="AJ45" s="253" t="str">
        <f t="shared" si="17"/>
        <v/>
      </c>
      <c r="AK45" s="249"/>
      <c r="AL45" s="295"/>
      <c r="AM45" s="254"/>
      <c r="AN45" s="255"/>
      <c r="AO45" s="256"/>
      <c r="AP45" s="257"/>
      <c r="AQ45" s="257"/>
      <c r="AR45" s="257"/>
      <c r="AS45" s="257"/>
      <c r="AT45" s="285"/>
      <c r="AU45" s="286"/>
      <c r="AV45" s="287"/>
    </row>
    <row r="46" spans="1:48" ht="156.75" hidden="1" customHeight="1" outlineLevel="1" x14ac:dyDescent="0.2">
      <c r="A46" s="310"/>
      <c r="B46" s="296"/>
      <c r="C46" s="296"/>
      <c r="D46" s="296"/>
      <c r="E46" s="311"/>
      <c r="F46" s="296"/>
      <c r="G46" s="296"/>
      <c r="H46" s="296"/>
      <c r="I46" s="296"/>
      <c r="J46" s="296"/>
      <c r="K46" s="296"/>
      <c r="L46" s="296"/>
      <c r="M46" s="308"/>
      <c r="N46" s="309"/>
      <c r="O46" s="304"/>
      <c r="P46" s="306"/>
      <c r="Q46" s="304">
        <f t="shared" ref="Q46:Q50" si="79">IF(NOT(ISERROR(MATCH(P46,_xlfn.ANCHORARRAY(E57),0))),O59&amp;"Por favor no seleccionar los criterios de impacto",P46)</f>
        <v>0</v>
      </c>
      <c r="R46" s="309"/>
      <c r="S46" s="304"/>
      <c r="T46" s="305"/>
      <c r="U46" s="245">
        <v>38</v>
      </c>
      <c r="V46" s="246"/>
      <c r="W46" s="246"/>
      <c r="X46" s="248" t="str">
        <f t="shared" si="5"/>
        <v/>
      </c>
      <c r="Y46" s="249"/>
      <c r="Z46" s="249"/>
      <c r="AA46" s="250" t="str">
        <f t="shared" si="14"/>
        <v/>
      </c>
      <c r="AB46" s="249"/>
      <c r="AC46" s="249"/>
      <c r="AD46" s="249"/>
      <c r="AE46" s="251" t="str">
        <f t="shared" ref="AE46" si="80">IFERROR(IF(AND(X45="Probabilidad",X46="Probabilidad"),(AG45-(+AG45*AA46)),IF(X46="Probabilidad",(O45-(+O45*AA46)),IF(X46="Impacto",AG45,""))),"")</f>
        <v/>
      </c>
      <c r="AF46" s="252" t="str">
        <f t="shared" si="24"/>
        <v/>
      </c>
      <c r="AG46" s="250" t="str">
        <f t="shared" si="25"/>
        <v/>
      </c>
      <c r="AH46" s="252" t="str">
        <f t="shared" si="26"/>
        <v/>
      </c>
      <c r="AI46" s="250" t="str">
        <f t="shared" ref="AI46" si="81">IFERROR(IF(AND(X45="Impacto",X46="Impacto"),(AI45-(+AI45*AA46)),IF(X46="Impacto",(S45-(+S45*AA46)),IF(X46="Probabilidad",AI45,""))),"")</f>
        <v/>
      </c>
      <c r="AJ46" s="253" t="str">
        <f t="shared" si="17"/>
        <v/>
      </c>
      <c r="AK46" s="249"/>
      <c r="AL46" s="295"/>
      <c r="AM46" s="254"/>
      <c r="AN46" s="255"/>
      <c r="AO46" s="256"/>
      <c r="AP46" s="257"/>
      <c r="AQ46" s="257"/>
      <c r="AR46" s="257"/>
      <c r="AS46" s="257"/>
      <c r="AT46" s="285"/>
      <c r="AU46" s="286"/>
      <c r="AV46" s="287"/>
    </row>
    <row r="47" spans="1:48" ht="156.75" hidden="1" customHeight="1" outlineLevel="1" x14ac:dyDescent="0.2">
      <c r="A47" s="310"/>
      <c r="B47" s="296"/>
      <c r="C47" s="296"/>
      <c r="D47" s="296"/>
      <c r="E47" s="311"/>
      <c r="F47" s="296"/>
      <c r="G47" s="296"/>
      <c r="H47" s="296"/>
      <c r="I47" s="296"/>
      <c r="J47" s="296"/>
      <c r="K47" s="296"/>
      <c r="L47" s="296"/>
      <c r="M47" s="308"/>
      <c r="N47" s="309"/>
      <c r="O47" s="304"/>
      <c r="P47" s="306"/>
      <c r="Q47" s="304">
        <f t="shared" si="79"/>
        <v>0</v>
      </c>
      <c r="R47" s="309"/>
      <c r="S47" s="304"/>
      <c r="T47" s="305"/>
      <c r="U47" s="245">
        <v>39</v>
      </c>
      <c r="V47" s="258"/>
      <c r="W47" s="258"/>
      <c r="X47" s="248" t="str">
        <f t="shared" si="5"/>
        <v/>
      </c>
      <c r="Y47" s="249"/>
      <c r="Z47" s="249"/>
      <c r="AA47" s="250" t="str">
        <f t="shared" si="14"/>
        <v/>
      </c>
      <c r="AB47" s="249"/>
      <c r="AC47" s="249"/>
      <c r="AD47" s="249"/>
      <c r="AE47" s="251" t="str">
        <f t="shared" ref="AE47:AE50" si="82">IFERROR(IF(AND(X46="Probabilidad",X47="Probabilidad"),(AG46-(+AG46*AA47)),IF(AND(X46="Impacto",X47="Probabilidad"),(AG45-(+AG45*AA47)),IF(X47="Impacto",AG46,""))),"")</f>
        <v/>
      </c>
      <c r="AF47" s="252" t="str">
        <f t="shared" si="24"/>
        <v/>
      </c>
      <c r="AG47" s="250" t="str">
        <f t="shared" si="25"/>
        <v/>
      </c>
      <c r="AH47" s="252" t="str">
        <f t="shared" si="26"/>
        <v/>
      </c>
      <c r="AI47" s="250" t="str">
        <f t="shared" ref="AI47:AI50" si="83">IFERROR(IF(AND(X46="Impacto",X47="Impacto"),(AI46-(+AI46*AA47)),IF(AND(X46="Probabilidad",X47="Impacto"),(AI45-(+AI45*AA47)),IF(X47="Probabilidad",AI46,""))),"")</f>
        <v/>
      </c>
      <c r="AJ47" s="253" t="str">
        <f t="shared" si="17"/>
        <v/>
      </c>
      <c r="AK47" s="249"/>
      <c r="AL47" s="295"/>
      <c r="AM47" s="254"/>
      <c r="AN47" s="255"/>
      <c r="AO47" s="256"/>
      <c r="AP47" s="257"/>
      <c r="AQ47" s="257"/>
      <c r="AR47" s="257"/>
      <c r="AS47" s="257"/>
      <c r="AT47" s="285"/>
      <c r="AU47" s="286"/>
      <c r="AV47" s="287"/>
    </row>
    <row r="48" spans="1:48" ht="156.75" hidden="1" customHeight="1" outlineLevel="1" x14ac:dyDescent="0.2">
      <c r="A48" s="310"/>
      <c r="B48" s="296"/>
      <c r="C48" s="296"/>
      <c r="D48" s="296"/>
      <c r="E48" s="311"/>
      <c r="F48" s="296"/>
      <c r="G48" s="296"/>
      <c r="H48" s="296"/>
      <c r="I48" s="296"/>
      <c r="J48" s="296"/>
      <c r="K48" s="296"/>
      <c r="L48" s="296"/>
      <c r="M48" s="308"/>
      <c r="N48" s="309"/>
      <c r="O48" s="304"/>
      <c r="P48" s="306"/>
      <c r="Q48" s="304">
        <f t="shared" si="79"/>
        <v>0</v>
      </c>
      <c r="R48" s="309"/>
      <c r="S48" s="304"/>
      <c r="T48" s="305"/>
      <c r="U48" s="245">
        <v>40</v>
      </c>
      <c r="V48" s="246"/>
      <c r="W48" s="246"/>
      <c r="X48" s="248" t="str">
        <f t="shared" si="5"/>
        <v/>
      </c>
      <c r="Y48" s="249"/>
      <c r="Z48" s="249"/>
      <c r="AA48" s="250" t="str">
        <f t="shared" si="14"/>
        <v/>
      </c>
      <c r="AB48" s="249"/>
      <c r="AC48" s="249"/>
      <c r="AD48" s="249"/>
      <c r="AE48" s="251" t="str">
        <f t="shared" si="82"/>
        <v/>
      </c>
      <c r="AF48" s="252" t="str">
        <f t="shared" si="24"/>
        <v/>
      </c>
      <c r="AG48" s="250" t="str">
        <f t="shared" si="25"/>
        <v/>
      </c>
      <c r="AH48" s="252" t="str">
        <f t="shared" si="26"/>
        <v/>
      </c>
      <c r="AI48" s="250" t="str">
        <f t="shared" si="83"/>
        <v/>
      </c>
      <c r="AJ48" s="253" t="str">
        <f t="shared" si="17"/>
        <v/>
      </c>
      <c r="AK48" s="249"/>
      <c r="AL48" s="295"/>
      <c r="AM48" s="254"/>
      <c r="AN48" s="255"/>
      <c r="AO48" s="256"/>
      <c r="AP48" s="257"/>
      <c r="AQ48" s="257"/>
      <c r="AR48" s="257"/>
      <c r="AS48" s="257"/>
      <c r="AT48" s="285"/>
      <c r="AU48" s="286"/>
      <c r="AV48" s="287"/>
    </row>
    <row r="49" spans="1:48" ht="156.75" hidden="1" customHeight="1" outlineLevel="1" x14ac:dyDescent="0.2">
      <c r="A49" s="310"/>
      <c r="B49" s="296"/>
      <c r="C49" s="296"/>
      <c r="D49" s="296"/>
      <c r="E49" s="311"/>
      <c r="F49" s="296"/>
      <c r="G49" s="296"/>
      <c r="H49" s="296"/>
      <c r="I49" s="296"/>
      <c r="J49" s="296"/>
      <c r="K49" s="296"/>
      <c r="L49" s="296"/>
      <c r="M49" s="308"/>
      <c r="N49" s="309"/>
      <c r="O49" s="304"/>
      <c r="P49" s="306"/>
      <c r="Q49" s="304">
        <f t="shared" si="79"/>
        <v>0</v>
      </c>
      <c r="R49" s="309"/>
      <c r="S49" s="304"/>
      <c r="T49" s="305"/>
      <c r="U49" s="245">
        <v>41</v>
      </c>
      <c r="V49" s="246"/>
      <c r="W49" s="246"/>
      <c r="X49" s="248" t="str">
        <f t="shared" si="5"/>
        <v/>
      </c>
      <c r="Y49" s="249"/>
      <c r="Z49" s="249"/>
      <c r="AA49" s="250" t="str">
        <f t="shared" si="14"/>
        <v/>
      </c>
      <c r="AB49" s="249"/>
      <c r="AC49" s="249"/>
      <c r="AD49" s="249"/>
      <c r="AE49" s="251" t="str">
        <f t="shared" si="82"/>
        <v/>
      </c>
      <c r="AF49" s="252" t="str">
        <f t="shared" si="24"/>
        <v/>
      </c>
      <c r="AG49" s="250" t="str">
        <f t="shared" si="25"/>
        <v/>
      </c>
      <c r="AH49" s="252" t="str">
        <f t="shared" si="26"/>
        <v/>
      </c>
      <c r="AI49" s="250" t="str">
        <f t="shared" si="83"/>
        <v/>
      </c>
      <c r="AJ49" s="253" t="str">
        <f t="shared" si="17"/>
        <v/>
      </c>
      <c r="AK49" s="249"/>
      <c r="AL49" s="295"/>
      <c r="AM49" s="254"/>
      <c r="AN49" s="255"/>
      <c r="AO49" s="256"/>
      <c r="AP49" s="257"/>
      <c r="AQ49" s="257"/>
      <c r="AR49" s="257"/>
      <c r="AS49" s="257"/>
      <c r="AT49" s="285"/>
      <c r="AU49" s="286"/>
      <c r="AV49" s="287"/>
    </row>
    <row r="50" spans="1:48" ht="156.75" hidden="1" customHeight="1" outlineLevel="1" x14ac:dyDescent="0.2">
      <c r="A50" s="310"/>
      <c r="B50" s="296"/>
      <c r="C50" s="296"/>
      <c r="D50" s="296"/>
      <c r="E50" s="311"/>
      <c r="F50" s="296"/>
      <c r="G50" s="296"/>
      <c r="H50" s="296"/>
      <c r="I50" s="296"/>
      <c r="J50" s="296"/>
      <c r="K50" s="296"/>
      <c r="L50" s="296"/>
      <c r="M50" s="308"/>
      <c r="N50" s="309"/>
      <c r="O50" s="304"/>
      <c r="P50" s="306"/>
      <c r="Q50" s="304">
        <f t="shared" si="79"/>
        <v>0</v>
      </c>
      <c r="R50" s="309"/>
      <c r="S50" s="304"/>
      <c r="T50" s="305"/>
      <c r="U50" s="245">
        <v>42</v>
      </c>
      <c r="V50" s="246"/>
      <c r="W50" s="246"/>
      <c r="X50" s="248" t="str">
        <f t="shared" si="5"/>
        <v/>
      </c>
      <c r="Y50" s="249"/>
      <c r="Z50" s="249"/>
      <c r="AA50" s="250" t="str">
        <f t="shared" si="14"/>
        <v/>
      </c>
      <c r="AB50" s="249"/>
      <c r="AC50" s="249"/>
      <c r="AD50" s="249"/>
      <c r="AE50" s="251" t="str">
        <f t="shared" si="82"/>
        <v/>
      </c>
      <c r="AF50" s="252" t="str">
        <f t="shared" si="24"/>
        <v/>
      </c>
      <c r="AG50" s="250" t="str">
        <f t="shared" si="25"/>
        <v/>
      </c>
      <c r="AH50" s="252" t="str">
        <f t="shared" si="26"/>
        <v/>
      </c>
      <c r="AI50" s="250" t="str">
        <f t="shared" si="83"/>
        <v/>
      </c>
      <c r="AJ50" s="253" t="str">
        <f t="shared" si="17"/>
        <v/>
      </c>
      <c r="AK50" s="249"/>
      <c r="AL50" s="295"/>
      <c r="AM50" s="254"/>
      <c r="AN50" s="255"/>
      <c r="AO50" s="256"/>
      <c r="AP50" s="257"/>
      <c r="AQ50" s="257"/>
      <c r="AR50" s="257"/>
      <c r="AS50" s="257"/>
      <c r="AT50" s="285"/>
      <c r="AU50" s="286"/>
      <c r="AV50" s="287"/>
    </row>
    <row r="51" spans="1:48" ht="156.75" hidden="1" customHeight="1" outlineLevel="1" x14ac:dyDescent="0.2">
      <c r="A51" s="310"/>
      <c r="B51" s="296"/>
      <c r="C51" s="296"/>
      <c r="D51" s="296"/>
      <c r="E51" s="311"/>
      <c r="F51" s="296"/>
      <c r="G51" s="296"/>
      <c r="H51" s="296"/>
      <c r="I51" s="296"/>
      <c r="J51" s="296"/>
      <c r="K51" s="296"/>
      <c r="L51" s="296"/>
      <c r="M51" s="308"/>
      <c r="N51" s="309" t="str">
        <f t="shared" ref="N51" si="84">IF(M51&lt;=0,"",IF(M51&lt;=2,"Muy Baja",IF(M51&lt;=24,"Baja",IF(M51&lt;=500,"Media",IF(M51&lt;=5000,"Alta","Muy Alta")))))</f>
        <v/>
      </c>
      <c r="O51" s="304" t="str">
        <f t="shared" ref="O51" si="85">IF(N51="","",IF(N51="Muy Baja",0.2,IF(N51="Baja",0.4,IF(N51="Media",0.6,IF(N51="Alta",0.8,IF(N51="Muy Alta",1,))))))</f>
        <v/>
      </c>
      <c r="P51" s="306"/>
      <c r="Q51" s="304">
        <f>IF(NOT(ISERROR(MATCH(P51,'Tabla Impacto'!$B$221:$B$223,0))),'Tabla Impacto'!$F$223&amp;"Por favor no seleccionar los criterios de impacto(Afectación Económica o presupuestal y Pérdida Reputacional)",P51)</f>
        <v>0</v>
      </c>
      <c r="R51" s="309" t="str">
        <f>IF(OR(Q51='Tabla Impacto'!$C$11,Q51='Tabla Impacto'!$D$11),"Leve",IF(OR(Q51='Tabla Impacto'!$C$12,Q51='Tabla Impacto'!$D$12),"Menor",IF(OR(Q51='Tabla Impacto'!$C$13,Q51='Tabla Impacto'!$D$13),"Moderado",IF(OR(Q51='Tabla Impacto'!$C$14,Q51='Tabla Impacto'!$D$14),"Mayor",IF(OR(Q51='Tabla Impacto'!$C$15,Q51='Tabla Impacto'!$D$15),"Catastrófico","")))))</f>
        <v/>
      </c>
      <c r="S51" s="304" t="str">
        <f t="shared" ref="S51" si="86">IF(R51="","",IF(R51="Leve",0.2,IF(R51="Menor",0.4,IF(R51="Moderado",0.6,IF(R51="Mayor",0.8,IF(R51="Catastrófico",1,))))))</f>
        <v/>
      </c>
      <c r="T51" s="305" t="str">
        <f t="shared" ref="T51" si="87">IF(OR(AND(N51="Muy Baja",R51="Leve"),AND(N51="Muy Baja",R51="Menor"),AND(N51="Baja",R51="Leve")),"Bajo",IF(OR(AND(N51="Muy baja",R51="Moderado"),AND(N51="Baja",R51="Menor"),AND(N51="Baja",R51="Moderado"),AND(N51="Media",R51="Leve"),AND(N51="Media",R51="Menor"),AND(N51="Media",R51="Moderado"),AND(N51="Alta",R51="Leve"),AND(N51="Alta",R51="Menor")),"Moderado",IF(OR(AND(N51="Muy Baja",R51="Mayor"),AND(N51="Baja",R51="Mayor"),AND(N51="Media",R51="Mayor"),AND(N51="Alta",R51="Moderado"),AND(N51="Alta",R51="Mayor"),AND(N51="Muy Alta",R51="Leve"),AND(N51="Muy Alta",R51="Menor"),AND(N51="Muy Alta",R51="Moderado"),AND(N51="Muy Alta",R51="Mayor")),"Alto",IF(OR(AND(N51="Muy Baja",R51="Catastrófico"),AND(N51="Baja",R51="Catastrófico"),AND(N51="Media",R51="Catastrófico"),AND(N51="Alta",R51="Catastrófico"),AND(N51="Muy Alta",R51="Catastrófico")),"Extremo",""))))</f>
        <v/>
      </c>
      <c r="U51" s="245">
        <v>43</v>
      </c>
      <c r="V51" s="246"/>
      <c r="W51" s="247"/>
      <c r="X51" s="248" t="str">
        <f t="shared" si="5"/>
        <v/>
      </c>
      <c r="Y51" s="249"/>
      <c r="Z51" s="249"/>
      <c r="AA51" s="250" t="str">
        <f t="shared" si="14"/>
        <v/>
      </c>
      <c r="AB51" s="249"/>
      <c r="AC51" s="249"/>
      <c r="AD51" s="249"/>
      <c r="AE51" s="251" t="str">
        <f t="shared" ref="AE51" si="88">IFERROR(IF(X51="Probabilidad",(O51-(+O51*AA51)),IF(X51="Impacto",O51,"")),"")</f>
        <v/>
      </c>
      <c r="AF51" s="252" t="str">
        <f t="shared" si="24"/>
        <v/>
      </c>
      <c r="AG51" s="250" t="str">
        <f t="shared" si="25"/>
        <v/>
      </c>
      <c r="AH51" s="252" t="str">
        <f t="shared" si="26"/>
        <v/>
      </c>
      <c r="AI51" s="250" t="str">
        <f t="shared" ref="AI51" si="89">IFERROR(IF(X51="Impacto",(S51-(+S51*AA51)),IF(X51="Probabilidad",S51,"")),"")</f>
        <v/>
      </c>
      <c r="AJ51" s="253" t="str">
        <f t="shared" si="17"/>
        <v/>
      </c>
      <c r="AK51" s="249"/>
      <c r="AL51" s="295"/>
      <c r="AM51" s="254"/>
      <c r="AN51" s="255"/>
      <c r="AO51" s="256"/>
      <c r="AP51" s="257"/>
      <c r="AQ51" s="257"/>
      <c r="AR51" s="257"/>
      <c r="AS51" s="257"/>
      <c r="AT51" s="285"/>
      <c r="AU51" s="286"/>
      <c r="AV51" s="287"/>
    </row>
    <row r="52" spans="1:48" ht="156.75" hidden="1" customHeight="1" outlineLevel="1" x14ac:dyDescent="0.2">
      <c r="A52" s="310"/>
      <c r="B52" s="296"/>
      <c r="C52" s="296"/>
      <c r="D52" s="296"/>
      <c r="E52" s="311"/>
      <c r="F52" s="296"/>
      <c r="G52" s="296"/>
      <c r="H52" s="296"/>
      <c r="I52" s="296"/>
      <c r="J52" s="296"/>
      <c r="K52" s="296"/>
      <c r="L52" s="296"/>
      <c r="M52" s="308"/>
      <c r="N52" s="309"/>
      <c r="O52" s="304"/>
      <c r="P52" s="306"/>
      <c r="Q52" s="304">
        <f>IF(NOT(ISERROR(MATCH(P52,_xlfn.ANCHORARRAY(E63),0))),#REF!&amp;"Por favor no seleccionar los criterios de impacto",P52)</f>
        <v>0</v>
      </c>
      <c r="R52" s="309"/>
      <c r="S52" s="304"/>
      <c r="T52" s="305"/>
      <c r="U52" s="245">
        <v>44</v>
      </c>
      <c r="V52" s="246"/>
      <c r="W52" s="246"/>
      <c r="X52" s="248" t="str">
        <f t="shared" si="5"/>
        <v/>
      </c>
      <c r="Y52" s="249"/>
      <c r="Z52" s="249"/>
      <c r="AA52" s="250" t="str">
        <f t="shared" si="14"/>
        <v/>
      </c>
      <c r="AB52" s="249"/>
      <c r="AC52" s="249"/>
      <c r="AD52" s="249"/>
      <c r="AE52" s="251" t="str">
        <f t="shared" ref="AE52" si="90">IFERROR(IF(AND(X51="Probabilidad",X52="Probabilidad"),(AG51-(+AG51*AA52)),IF(X52="Probabilidad",(O51-(+O51*AA52)),IF(X52="Impacto",AG51,""))),"")</f>
        <v/>
      </c>
      <c r="AF52" s="252" t="str">
        <f t="shared" si="24"/>
        <v/>
      </c>
      <c r="AG52" s="250" t="str">
        <f t="shared" si="25"/>
        <v/>
      </c>
      <c r="AH52" s="252" t="str">
        <f t="shared" si="26"/>
        <v/>
      </c>
      <c r="AI52" s="250" t="str">
        <f t="shared" ref="AI52" si="91">IFERROR(IF(AND(X51="Impacto",X52="Impacto"),(AI51-(+AI51*AA52)),IF(X52="Impacto",(S51-(+S51*AA52)),IF(X52="Probabilidad",AI51,""))),"")</f>
        <v/>
      </c>
      <c r="AJ52" s="253" t="str">
        <f t="shared" si="17"/>
        <v/>
      </c>
      <c r="AK52" s="249"/>
      <c r="AL52" s="295"/>
      <c r="AM52" s="254"/>
      <c r="AN52" s="255"/>
      <c r="AO52" s="256"/>
      <c r="AP52" s="257"/>
      <c r="AQ52" s="257"/>
      <c r="AR52" s="257"/>
      <c r="AS52" s="257"/>
      <c r="AT52" s="285"/>
      <c r="AU52" s="286"/>
      <c r="AV52" s="287"/>
    </row>
    <row r="53" spans="1:48" ht="156.75" hidden="1" customHeight="1" outlineLevel="1" x14ac:dyDescent="0.2">
      <c r="A53" s="310"/>
      <c r="B53" s="296"/>
      <c r="C53" s="296"/>
      <c r="D53" s="296"/>
      <c r="E53" s="311"/>
      <c r="F53" s="296"/>
      <c r="G53" s="296"/>
      <c r="H53" s="296"/>
      <c r="I53" s="296"/>
      <c r="J53" s="296"/>
      <c r="K53" s="296"/>
      <c r="L53" s="296"/>
      <c r="M53" s="308"/>
      <c r="N53" s="309"/>
      <c r="O53" s="304"/>
      <c r="P53" s="306"/>
      <c r="Q53" s="304">
        <f>IF(NOT(ISERROR(MATCH(P53,_xlfn.ANCHORARRAY(E64),0))),O65&amp;"Por favor no seleccionar los criterios de impacto",P53)</f>
        <v>0</v>
      </c>
      <c r="R53" s="309"/>
      <c r="S53" s="304"/>
      <c r="T53" s="305"/>
      <c r="U53" s="245">
        <v>45</v>
      </c>
      <c r="V53" s="258"/>
      <c r="W53" s="258"/>
      <c r="X53" s="248" t="str">
        <f t="shared" si="5"/>
        <v/>
      </c>
      <c r="Y53" s="249"/>
      <c r="Z53" s="249"/>
      <c r="AA53" s="250" t="str">
        <f t="shared" si="14"/>
        <v/>
      </c>
      <c r="AB53" s="249"/>
      <c r="AC53" s="249"/>
      <c r="AD53" s="249"/>
      <c r="AE53" s="251" t="str">
        <f t="shared" ref="AE53:AE56" si="92">IFERROR(IF(AND(X52="Probabilidad",X53="Probabilidad"),(AG52-(+AG52*AA53)),IF(AND(X52="Impacto",X53="Probabilidad"),(AG51-(+AG51*AA53)),IF(X53="Impacto",AG52,""))),"")</f>
        <v/>
      </c>
      <c r="AF53" s="252" t="str">
        <f t="shared" si="24"/>
        <v/>
      </c>
      <c r="AG53" s="250" t="str">
        <f t="shared" si="25"/>
        <v/>
      </c>
      <c r="AH53" s="252" t="str">
        <f t="shared" si="26"/>
        <v/>
      </c>
      <c r="AI53" s="250" t="str">
        <f t="shared" ref="AI53:AI56" si="93">IFERROR(IF(AND(X52="Impacto",X53="Impacto"),(AI52-(+AI52*AA53)),IF(AND(X52="Probabilidad",X53="Impacto"),(AI51-(+AI51*AA53)),IF(X53="Probabilidad",AI52,""))),"")</f>
        <v/>
      </c>
      <c r="AJ53" s="253" t="str">
        <f t="shared" si="17"/>
        <v/>
      </c>
      <c r="AK53" s="249"/>
      <c r="AL53" s="295"/>
      <c r="AM53" s="254"/>
      <c r="AN53" s="255"/>
      <c r="AO53" s="256"/>
      <c r="AP53" s="257"/>
      <c r="AQ53" s="257"/>
      <c r="AR53" s="257"/>
      <c r="AS53" s="257"/>
      <c r="AT53" s="285"/>
      <c r="AU53" s="286"/>
      <c r="AV53" s="287"/>
    </row>
    <row r="54" spans="1:48" ht="156.75" hidden="1" customHeight="1" outlineLevel="1" x14ac:dyDescent="0.2">
      <c r="A54" s="310"/>
      <c r="B54" s="296"/>
      <c r="C54" s="296"/>
      <c r="D54" s="296"/>
      <c r="E54" s="311"/>
      <c r="F54" s="296"/>
      <c r="G54" s="296"/>
      <c r="H54" s="296"/>
      <c r="I54" s="296"/>
      <c r="J54" s="296"/>
      <c r="K54" s="296"/>
      <c r="L54" s="296"/>
      <c r="M54" s="308"/>
      <c r="N54" s="309"/>
      <c r="O54" s="304"/>
      <c r="P54" s="306"/>
      <c r="Q54" s="304">
        <f>IF(NOT(ISERROR(MATCH(P54,_xlfn.ANCHORARRAY(#REF!),0))),#REF!&amp;"Por favor no seleccionar los criterios de impacto",P54)</f>
        <v>0</v>
      </c>
      <c r="R54" s="309"/>
      <c r="S54" s="304"/>
      <c r="T54" s="305"/>
      <c r="U54" s="245">
        <v>46</v>
      </c>
      <c r="V54" s="246"/>
      <c r="W54" s="246"/>
      <c r="X54" s="248" t="str">
        <f t="shared" si="5"/>
        <v/>
      </c>
      <c r="Y54" s="249"/>
      <c r="Z54" s="249"/>
      <c r="AA54" s="250" t="str">
        <f t="shared" si="14"/>
        <v/>
      </c>
      <c r="AB54" s="249"/>
      <c r="AC54" s="249"/>
      <c r="AD54" s="249"/>
      <c r="AE54" s="251" t="str">
        <f t="shared" si="92"/>
        <v/>
      </c>
      <c r="AF54" s="252" t="str">
        <f t="shared" si="24"/>
        <v/>
      </c>
      <c r="AG54" s="250" t="str">
        <f t="shared" si="25"/>
        <v/>
      </c>
      <c r="AH54" s="252" t="str">
        <f t="shared" si="26"/>
        <v/>
      </c>
      <c r="AI54" s="250" t="str">
        <f t="shared" si="93"/>
        <v/>
      </c>
      <c r="AJ54" s="253" t="str">
        <f t="shared" si="17"/>
        <v/>
      </c>
      <c r="AK54" s="249"/>
      <c r="AL54" s="295"/>
      <c r="AM54" s="254"/>
      <c r="AN54" s="255"/>
      <c r="AO54" s="256"/>
      <c r="AP54" s="257"/>
      <c r="AQ54" s="257"/>
      <c r="AR54" s="257"/>
      <c r="AS54" s="257"/>
      <c r="AT54" s="285"/>
      <c r="AU54" s="286"/>
      <c r="AV54" s="287"/>
    </row>
    <row r="55" spans="1:48" ht="156.75" hidden="1" customHeight="1" outlineLevel="1" x14ac:dyDescent="0.2">
      <c r="A55" s="310"/>
      <c r="B55" s="296"/>
      <c r="C55" s="296"/>
      <c r="D55" s="296"/>
      <c r="E55" s="311"/>
      <c r="F55" s="296"/>
      <c r="G55" s="296"/>
      <c r="H55" s="296"/>
      <c r="I55" s="296"/>
      <c r="J55" s="296"/>
      <c r="K55" s="296"/>
      <c r="L55" s="296"/>
      <c r="M55" s="308"/>
      <c r="N55" s="309"/>
      <c r="O55" s="304"/>
      <c r="P55" s="306"/>
      <c r="Q55" s="304">
        <f>IF(NOT(ISERROR(MATCH(P55,_xlfn.ANCHORARRAY(E65),0))),#REF!&amp;"Por favor no seleccionar los criterios de impacto",P55)</f>
        <v>0</v>
      </c>
      <c r="R55" s="309"/>
      <c r="S55" s="304"/>
      <c r="T55" s="305"/>
      <c r="U55" s="245">
        <v>47</v>
      </c>
      <c r="V55" s="246"/>
      <c r="W55" s="246"/>
      <c r="X55" s="248" t="str">
        <f t="shared" si="5"/>
        <v/>
      </c>
      <c r="Y55" s="249"/>
      <c r="Z55" s="249"/>
      <c r="AA55" s="250" t="str">
        <f t="shared" si="14"/>
        <v/>
      </c>
      <c r="AB55" s="249"/>
      <c r="AC55" s="249"/>
      <c r="AD55" s="249"/>
      <c r="AE55" s="251" t="str">
        <f t="shared" si="92"/>
        <v/>
      </c>
      <c r="AF55" s="252" t="str">
        <f t="shared" si="24"/>
        <v/>
      </c>
      <c r="AG55" s="250" t="str">
        <f t="shared" si="25"/>
        <v/>
      </c>
      <c r="AH55" s="252" t="str">
        <f t="shared" si="26"/>
        <v/>
      </c>
      <c r="AI55" s="250" t="str">
        <f t="shared" si="93"/>
        <v/>
      </c>
      <c r="AJ55" s="253" t="str">
        <f t="shared" si="17"/>
        <v/>
      </c>
      <c r="AK55" s="249"/>
      <c r="AL55" s="295"/>
      <c r="AM55" s="254"/>
      <c r="AN55" s="255"/>
      <c r="AO55" s="256"/>
      <c r="AP55" s="257"/>
      <c r="AQ55" s="257"/>
      <c r="AR55" s="257"/>
      <c r="AS55" s="257"/>
      <c r="AT55" s="285"/>
      <c r="AU55" s="286"/>
      <c r="AV55" s="287"/>
    </row>
    <row r="56" spans="1:48" ht="156.75" hidden="1" customHeight="1" outlineLevel="1" x14ac:dyDescent="0.2">
      <c r="A56" s="310"/>
      <c r="B56" s="296"/>
      <c r="C56" s="296"/>
      <c r="D56" s="296"/>
      <c r="E56" s="311"/>
      <c r="F56" s="296"/>
      <c r="G56" s="296"/>
      <c r="H56" s="296"/>
      <c r="I56" s="296"/>
      <c r="J56" s="296"/>
      <c r="K56" s="296"/>
      <c r="L56" s="296"/>
      <c r="M56" s="308"/>
      <c r="N56" s="309"/>
      <c r="O56" s="304"/>
      <c r="P56" s="306"/>
      <c r="Q56" s="304">
        <f>IF(NOT(ISERROR(MATCH(P56,_xlfn.ANCHORARRAY(#REF!),0))),#REF!&amp;"Por favor no seleccionar los criterios de impacto",P56)</f>
        <v>0</v>
      </c>
      <c r="R56" s="309"/>
      <c r="S56" s="304"/>
      <c r="T56" s="305"/>
      <c r="U56" s="245">
        <v>48</v>
      </c>
      <c r="V56" s="246"/>
      <c r="W56" s="246"/>
      <c r="X56" s="248" t="str">
        <f t="shared" si="5"/>
        <v/>
      </c>
      <c r="Y56" s="249"/>
      <c r="Z56" s="249"/>
      <c r="AA56" s="250" t="str">
        <f t="shared" si="14"/>
        <v/>
      </c>
      <c r="AB56" s="249"/>
      <c r="AC56" s="249"/>
      <c r="AD56" s="249"/>
      <c r="AE56" s="251" t="str">
        <f t="shared" si="92"/>
        <v/>
      </c>
      <c r="AF56" s="252" t="str">
        <f t="shared" si="24"/>
        <v/>
      </c>
      <c r="AG56" s="250" t="str">
        <f t="shared" si="25"/>
        <v/>
      </c>
      <c r="AH56" s="252" t="str">
        <f t="shared" si="26"/>
        <v/>
      </c>
      <c r="AI56" s="250" t="str">
        <f t="shared" si="93"/>
        <v/>
      </c>
      <c r="AJ56" s="253" t="str">
        <f t="shared" si="17"/>
        <v/>
      </c>
      <c r="AK56" s="249"/>
      <c r="AL56" s="295"/>
      <c r="AM56" s="254"/>
      <c r="AN56" s="255"/>
      <c r="AO56" s="256"/>
      <c r="AP56" s="257"/>
      <c r="AQ56" s="257"/>
      <c r="AR56" s="257"/>
      <c r="AS56" s="257"/>
      <c r="AT56" s="285"/>
      <c r="AU56" s="286"/>
      <c r="AV56" s="287"/>
    </row>
    <row r="57" spans="1:48" ht="45.75" customHeight="1" collapsed="1" x14ac:dyDescent="0.2">
      <c r="A57" s="336"/>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row>
    <row r="58" spans="1:48" ht="45.75" customHeight="1" x14ac:dyDescent="0.2">
      <c r="A58" s="336" t="s">
        <v>90</v>
      </c>
      <c r="B58" s="336"/>
      <c r="C58" s="336"/>
      <c r="D58" s="336"/>
      <c r="E58" s="336"/>
      <c r="F58" s="336"/>
      <c r="G58" s="336"/>
      <c r="H58" s="336" t="s">
        <v>91</v>
      </c>
      <c r="I58" s="336"/>
      <c r="J58" s="336"/>
      <c r="K58" s="336"/>
      <c r="L58" s="336"/>
      <c r="M58" s="336"/>
      <c r="N58" s="336"/>
      <c r="O58" s="336"/>
      <c r="P58" s="336"/>
      <c r="Q58" s="243"/>
      <c r="R58" s="337" t="s">
        <v>92</v>
      </c>
      <c r="S58" s="337"/>
      <c r="T58" s="337"/>
      <c r="U58" s="337"/>
      <c r="V58" s="337"/>
      <c r="W58" s="337"/>
      <c r="X58" s="337"/>
      <c r="Y58" s="337"/>
      <c r="Z58" s="337"/>
      <c r="AA58" s="337"/>
      <c r="AB58" s="337"/>
      <c r="AC58" s="337"/>
      <c r="AD58" s="337"/>
      <c r="AE58" s="337"/>
      <c r="AF58" s="337"/>
      <c r="AG58" s="337"/>
      <c r="AH58" s="337"/>
      <c r="AI58" s="337"/>
      <c r="AJ58" s="337"/>
      <c r="AK58" s="337"/>
      <c r="AL58" s="337"/>
      <c r="AM58" s="337"/>
      <c r="AN58" s="337"/>
      <c r="AO58" s="337"/>
      <c r="AP58" s="337"/>
      <c r="AQ58" s="337"/>
      <c r="AR58" s="337"/>
      <c r="AS58" s="337"/>
      <c r="AT58" s="337"/>
      <c r="AU58" s="337"/>
      <c r="AV58" s="337"/>
    </row>
    <row r="59" spans="1:48" ht="45.75" customHeight="1" x14ac:dyDescent="0.2">
      <c r="A59" s="292" t="s">
        <v>93</v>
      </c>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c r="AI59" s="292"/>
      <c r="AJ59" s="292"/>
      <c r="AK59" s="292"/>
      <c r="AL59" s="292"/>
      <c r="AM59" s="292"/>
      <c r="AN59" s="292"/>
      <c r="AO59" s="292"/>
      <c r="AP59" s="292"/>
      <c r="AQ59" s="292"/>
      <c r="AR59" s="292"/>
      <c r="AS59" s="292"/>
      <c r="AT59" s="292"/>
      <c r="AU59" s="292"/>
      <c r="AV59" s="292"/>
    </row>
    <row r="60" spans="1:48" ht="45.75" customHeight="1" x14ac:dyDescent="0.2">
      <c r="A60" s="293" t="s">
        <v>94</v>
      </c>
      <c r="B60" s="293"/>
      <c r="C60" s="293"/>
      <c r="D60" s="321" t="s">
        <v>95</v>
      </c>
      <c r="E60" s="321"/>
      <c r="F60" s="321"/>
      <c r="G60" s="321"/>
      <c r="H60" s="321"/>
      <c r="I60" s="321"/>
      <c r="J60" s="321"/>
      <c r="K60" s="321"/>
      <c r="L60" s="321"/>
      <c r="M60" s="321"/>
      <c r="N60" s="321"/>
      <c r="O60" s="321"/>
      <c r="P60" s="321"/>
      <c r="Q60" s="321"/>
      <c r="R60" s="321"/>
      <c r="S60" s="321"/>
      <c r="T60" s="321"/>
      <c r="U60" s="321"/>
      <c r="V60" s="321"/>
      <c r="W60" s="321"/>
      <c r="X60" s="321"/>
      <c r="Y60" s="321"/>
      <c r="Z60" s="321"/>
      <c r="AA60" s="321"/>
      <c r="AB60" s="321"/>
      <c r="AC60" s="321"/>
      <c r="AD60" s="321"/>
      <c r="AE60" s="321"/>
      <c r="AF60" s="321"/>
      <c r="AG60" s="321"/>
      <c r="AH60" s="321"/>
      <c r="AI60" s="321"/>
      <c r="AJ60" s="321"/>
      <c r="AK60" s="321"/>
      <c r="AL60" s="321"/>
      <c r="AM60" s="321"/>
      <c r="AN60" s="321"/>
      <c r="AO60" s="293" t="s">
        <v>96</v>
      </c>
      <c r="AP60" s="293"/>
      <c r="AQ60" s="293"/>
      <c r="AR60" s="293"/>
      <c r="AS60" s="293"/>
      <c r="AT60" s="293"/>
      <c r="AU60" s="334" t="s">
        <v>97</v>
      </c>
      <c r="AV60" s="334"/>
    </row>
    <row r="61" spans="1:48" ht="45.75" customHeight="1" x14ac:dyDescent="0.2">
      <c r="A61" s="333">
        <v>0</v>
      </c>
      <c r="B61" s="333"/>
      <c r="C61" s="333"/>
      <c r="D61" s="322" t="s">
        <v>98</v>
      </c>
      <c r="E61" s="322"/>
      <c r="F61" s="322"/>
      <c r="G61" s="322"/>
      <c r="H61" s="322"/>
      <c r="I61" s="322"/>
      <c r="J61" s="322"/>
      <c r="K61" s="322"/>
      <c r="L61" s="322"/>
      <c r="M61" s="322"/>
      <c r="N61" s="322"/>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294">
        <v>44734</v>
      </c>
      <c r="AP61" s="294"/>
      <c r="AQ61" s="294"/>
      <c r="AR61" s="294"/>
      <c r="AS61" s="294"/>
      <c r="AT61" s="294"/>
      <c r="AU61" s="332">
        <v>1</v>
      </c>
      <c r="AV61" s="332"/>
    </row>
    <row r="62" spans="1:48" ht="45.75" customHeight="1" x14ac:dyDescent="0.2">
      <c r="A62" s="333">
        <v>1</v>
      </c>
      <c r="B62" s="333">
        <v>1</v>
      </c>
      <c r="C62" s="333"/>
      <c r="D62" s="322" t="s">
        <v>99</v>
      </c>
      <c r="E62" s="322"/>
      <c r="F62" s="322"/>
      <c r="G62" s="322"/>
      <c r="H62" s="322"/>
      <c r="I62" s="322"/>
      <c r="J62" s="322"/>
      <c r="K62" s="322"/>
      <c r="L62" s="322"/>
      <c r="M62" s="322"/>
      <c r="N62" s="322"/>
      <c r="O62" s="322"/>
      <c r="P62" s="322"/>
      <c r="Q62" s="322"/>
      <c r="R62" s="322"/>
      <c r="S62" s="322"/>
      <c r="T62" s="322"/>
      <c r="U62" s="322"/>
      <c r="V62" s="322"/>
      <c r="W62" s="322"/>
      <c r="X62" s="322"/>
      <c r="Y62" s="322"/>
      <c r="Z62" s="322"/>
      <c r="AA62" s="322"/>
      <c r="AB62" s="322"/>
      <c r="AC62" s="322"/>
      <c r="AD62" s="322"/>
      <c r="AE62" s="322"/>
      <c r="AF62" s="322"/>
      <c r="AG62" s="322"/>
      <c r="AH62" s="322"/>
      <c r="AI62" s="322"/>
      <c r="AJ62" s="322"/>
      <c r="AK62" s="322"/>
      <c r="AL62" s="322"/>
      <c r="AM62" s="322"/>
      <c r="AN62" s="322"/>
      <c r="AO62" s="294">
        <v>45217</v>
      </c>
      <c r="AP62" s="294"/>
      <c r="AQ62" s="294"/>
      <c r="AR62" s="294"/>
      <c r="AS62" s="294"/>
      <c r="AT62" s="294"/>
      <c r="AU62" s="332">
        <v>2</v>
      </c>
      <c r="AV62" s="332"/>
    </row>
    <row r="63" spans="1:48" ht="45.75" customHeight="1" x14ac:dyDescent="0.2">
      <c r="A63" s="333">
        <v>2</v>
      </c>
      <c r="B63" s="333">
        <v>2</v>
      </c>
      <c r="C63" s="333"/>
      <c r="D63" s="322" t="s">
        <v>100</v>
      </c>
      <c r="E63" s="322"/>
      <c r="F63" s="322"/>
      <c r="G63" s="322"/>
      <c r="H63" s="322"/>
      <c r="I63" s="322"/>
      <c r="J63" s="322"/>
      <c r="K63" s="322"/>
      <c r="L63" s="322"/>
      <c r="M63" s="322"/>
      <c r="N63" s="322"/>
      <c r="O63" s="322"/>
      <c r="P63" s="322"/>
      <c r="Q63" s="322"/>
      <c r="R63" s="322"/>
      <c r="S63" s="322"/>
      <c r="T63" s="322"/>
      <c r="U63" s="322"/>
      <c r="V63" s="322"/>
      <c r="W63" s="322"/>
      <c r="X63" s="322"/>
      <c r="Y63" s="322"/>
      <c r="Z63" s="322"/>
      <c r="AA63" s="322"/>
      <c r="AB63" s="322"/>
      <c r="AC63" s="322"/>
      <c r="AD63" s="322"/>
      <c r="AE63" s="322"/>
      <c r="AF63" s="322"/>
      <c r="AG63" s="322"/>
      <c r="AH63" s="322"/>
      <c r="AI63" s="322"/>
      <c r="AJ63" s="322"/>
      <c r="AK63" s="322"/>
      <c r="AL63" s="322"/>
      <c r="AM63" s="322"/>
      <c r="AN63" s="322"/>
      <c r="AO63" s="294">
        <v>45362</v>
      </c>
      <c r="AP63" s="294"/>
      <c r="AQ63" s="294"/>
      <c r="AR63" s="294"/>
      <c r="AS63" s="294"/>
      <c r="AT63" s="294"/>
      <c r="AU63" s="332">
        <v>3</v>
      </c>
      <c r="AV63" s="332"/>
    </row>
    <row r="64" spans="1:48" ht="45.75" customHeight="1" x14ac:dyDescent="0.2">
      <c r="A64" s="333">
        <v>3</v>
      </c>
      <c r="B64" s="333">
        <v>3</v>
      </c>
      <c r="C64" s="333"/>
      <c r="D64" s="330" t="s">
        <v>101</v>
      </c>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0"/>
      <c r="AI64" s="330"/>
      <c r="AJ64" s="330"/>
      <c r="AK64" s="330"/>
      <c r="AL64" s="330"/>
      <c r="AM64" s="330"/>
      <c r="AN64" s="330"/>
      <c r="AO64" s="294">
        <v>45751</v>
      </c>
      <c r="AP64" s="294"/>
      <c r="AQ64" s="294"/>
      <c r="AR64" s="294"/>
      <c r="AS64" s="294"/>
      <c r="AT64" s="294"/>
      <c r="AU64" s="335">
        <v>4</v>
      </c>
      <c r="AV64" s="335"/>
    </row>
    <row r="65" spans="1:130" s="18" customFormat="1" ht="45.75" customHeight="1" x14ac:dyDescent="0.25">
      <c r="A65" s="170"/>
      <c r="B65" s="291" t="s">
        <v>102</v>
      </c>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1"/>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170"/>
      <c r="CV65" s="170"/>
      <c r="CW65" s="170"/>
      <c r="CX65" s="170"/>
      <c r="CY65" s="170"/>
      <c r="CZ65" s="170"/>
      <c r="DA65" s="170"/>
      <c r="DB65" s="170"/>
      <c r="DC65" s="170"/>
      <c r="DD65" s="170"/>
      <c r="DE65" s="170"/>
      <c r="DF65" s="170"/>
      <c r="DG65" s="170"/>
      <c r="DH65" s="170"/>
      <c r="DI65" s="170"/>
      <c r="DJ65" s="170"/>
      <c r="DK65" s="170"/>
      <c r="DL65" s="170"/>
      <c r="DM65" s="170"/>
      <c r="DN65" s="170"/>
      <c r="DO65" s="170"/>
      <c r="DP65" s="170"/>
      <c r="DQ65" s="170"/>
      <c r="DR65" s="170"/>
      <c r="DS65" s="170"/>
      <c r="DT65" s="170"/>
      <c r="DU65" s="170"/>
      <c r="DV65" s="170"/>
      <c r="DW65" s="170"/>
      <c r="DX65" s="170"/>
      <c r="DY65" s="170"/>
      <c r="DZ65" s="170"/>
    </row>
    <row r="66" spans="1:130" s="170" customFormat="1" ht="45.75" customHeight="1" x14ac:dyDescent="0.25">
      <c r="F66" s="171"/>
      <c r="G66" s="171"/>
      <c r="H66" s="171"/>
    </row>
    <row r="69" spans="1:130" ht="45.75" customHeight="1" x14ac:dyDescent="0.2">
      <c r="AU69" s="172"/>
    </row>
  </sheetData>
  <dataConsolidate/>
  <mergeCells count="302">
    <mergeCell ref="C5:AV5"/>
    <mergeCell ref="C6:AV6"/>
    <mergeCell ref="C7:AV7"/>
    <mergeCell ref="D64:AN64"/>
    <mergeCell ref="A8:I8"/>
    <mergeCell ref="J8:L8"/>
    <mergeCell ref="M8:T8"/>
    <mergeCell ref="A4:AV4"/>
    <mergeCell ref="AU62:AV62"/>
    <mergeCell ref="AU63:AV63"/>
    <mergeCell ref="A62:C62"/>
    <mergeCell ref="A63:C63"/>
    <mergeCell ref="A64:C64"/>
    <mergeCell ref="AU60:AV60"/>
    <mergeCell ref="AU64:AV64"/>
    <mergeCell ref="AT9:AV11"/>
    <mergeCell ref="AP8:AV8"/>
    <mergeCell ref="AU61:AV61"/>
    <mergeCell ref="A57:AV57"/>
    <mergeCell ref="A58:G58"/>
    <mergeCell ref="H58:P58"/>
    <mergeCell ref="A60:C60"/>
    <mergeCell ref="A61:C61"/>
    <mergeCell ref="R58:AV58"/>
    <mergeCell ref="D60:AN60"/>
    <mergeCell ref="D61:AN61"/>
    <mergeCell ref="D62:AN62"/>
    <mergeCell ref="D63:AN63"/>
    <mergeCell ref="B9:B11"/>
    <mergeCell ref="T9:T11"/>
    <mergeCell ref="P9:P11"/>
    <mergeCell ref="Q9:Q11"/>
    <mergeCell ref="D12:D14"/>
    <mergeCell ref="E12:E14"/>
    <mergeCell ref="F12:F14"/>
    <mergeCell ref="G12:G14"/>
    <mergeCell ref="I12:I14"/>
    <mergeCell ref="J12:J14"/>
    <mergeCell ref="K12:K14"/>
    <mergeCell ref="L12:L14"/>
    <mergeCell ref="F9:F11"/>
    <mergeCell ref="Q12:Q14"/>
    <mergeCell ref="R12:R14"/>
    <mergeCell ref="S12:S14"/>
    <mergeCell ref="M12:M14"/>
    <mergeCell ref="N12:N14"/>
    <mergeCell ref="H9:H11"/>
    <mergeCell ref="H12:H14"/>
    <mergeCell ref="AM9:AM11"/>
    <mergeCell ref="D39:D44"/>
    <mergeCell ref="E39:E44"/>
    <mergeCell ref="AO9:AO11"/>
    <mergeCell ref="AN9:AN11"/>
    <mergeCell ref="A5:B5"/>
    <mergeCell ref="A6:B6"/>
    <mergeCell ref="A7:B7"/>
    <mergeCell ref="A9:A11"/>
    <mergeCell ref="G9:G11"/>
    <mergeCell ref="E9:E11"/>
    <mergeCell ref="D9:D11"/>
    <mergeCell ref="C9:C11"/>
    <mergeCell ref="AK9:AK11"/>
    <mergeCell ref="U9:U11"/>
    <mergeCell ref="AJ9:AJ11"/>
    <mergeCell ref="AI9:AI11"/>
    <mergeCell ref="AE9:AE11"/>
    <mergeCell ref="V9:V11"/>
    <mergeCell ref="AH9:AH11"/>
    <mergeCell ref="AF9:AF11"/>
    <mergeCell ref="AG9:AG11"/>
    <mergeCell ref="AM8:AO8"/>
    <mergeCell ref="A12:A14"/>
    <mergeCell ref="B12:B14"/>
    <mergeCell ref="C12:C14"/>
    <mergeCell ref="Q15:Q20"/>
    <mergeCell ref="R15:R20"/>
    <mergeCell ref="S15:S20"/>
    <mergeCell ref="T15:T20"/>
    <mergeCell ref="A21:A26"/>
    <mergeCell ref="B21:B26"/>
    <mergeCell ref="C21:C26"/>
    <mergeCell ref="D21:D26"/>
    <mergeCell ref="E21:E26"/>
    <mergeCell ref="G21:G26"/>
    <mergeCell ref="M21:M26"/>
    <mergeCell ref="N21:N26"/>
    <mergeCell ref="O21:O26"/>
    <mergeCell ref="P21:P26"/>
    <mergeCell ref="Q21:Q26"/>
    <mergeCell ref="R21:R26"/>
    <mergeCell ref="G15:G20"/>
    <mergeCell ref="M15:M20"/>
    <mergeCell ref="N15:N20"/>
    <mergeCell ref="O15:O20"/>
    <mergeCell ref="P15:P20"/>
    <mergeCell ref="A15:A20"/>
    <mergeCell ref="B15:B20"/>
    <mergeCell ref="C15:C20"/>
    <mergeCell ref="S21:S26"/>
    <mergeCell ref="T21:T26"/>
    <mergeCell ref="A27:A32"/>
    <mergeCell ref="B27:B32"/>
    <mergeCell ref="C27:C32"/>
    <mergeCell ref="D27:D32"/>
    <mergeCell ref="E27:E32"/>
    <mergeCell ref="G27:G32"/>
    <mergeCell ref="M27:M32"/>
    <mergeCell ref="N27:N32"/>
    <mergeCell ref="O27:O32"/>
    <mergeCell ref="P27:P32"/>
    <mergeCell ref="Q27:Q32"/>
    <mergeCell ref="R27:R32"/>
    <mergeCell ref="S27:S32"/>
    <mergeCell ref="T27:T32"/>
    <mergeCell ref="L15:L20"/>
    <mergeCell ref="L21:L26"/>
    <mergeCell ref="L27:L32"/>
    <mergeCell ref="D15:D20"/>
    <mergeCell ref="E15:E20"/>
    <mergeCell ref="F15:F20"/>
    <mergeCell ref="D33:D38"/>
    <mergeCell ref="E33:E38"/>
    <mergeCell ref="P39:P44"/>
    <mergeCell ref="F39:F44"/>
    <mergeCell ref="Q39:Q44"/>
    <mergeCell ref="R39:R44"/>
    <mergeCell ref="G33:G38"/>
    <mergeCell ref="M33:M38"/>
    <mergeCell ref="N33:N38"/>
    <mergeCell ref="O33:O38"/>
    <mergeCell ref="P33:P38"/>
    <mergeCell ref="M39:M44"/>
    <mergeCell ref="N39:N44"/>
    <mergeCell ref="O39:O44"/>
    <mergeCell ref="Q33:Q38"/>
    <mergeCell ref="R33:R38"/>
    <mergeCell ref="K39:K44"/>
    <mergeCell ref="F51:F56"/>
    <mergeCell ref="I33:I38"/>
    <mergeCell ref="I39:I44"/>
    <mergeCell ref="L33:L38"/>
    <mergeCell ref="L39:L44"/>
    <mergeCell ref="Q45:Q50"/>
    <mergeCell ref="R45:R50"/>
    <mergeCell ref="A33:A38"/>
    <mergeCell ref="B33:B38"/>
    <mergeCell ref="C33:C38"/>
    <mergeCell ref="A51:A56"/>
    <mergeCell ref="B51:B56"/>
    <mergeCell ref="C51:C56"/>
    <mergeCell ref="D51:D56"/>
    <mergeCell ref="E51:E56"/>
    <mergeCell ref="A45:A50"/>
    <mergeCell ref="B45:B50"/>
    <mergeCell ref="C45:C50"/>
    <mergeCell ref="D45:D50"/>
    <mergeCell ref="E45:E50"/>
    <mergeCell ref="A39:A44"/>
    <mergeCell ref="B39:B44"/>
    <mergeCell ref="C39:C44"/>
    <mergeCell ref="G39:G44"/>
    <mergeCell ref="F21:F26"/>
    <mergeCell ref="F27:F32"/>
    <mergeCell ref="F33:F38"/>
    <mergeCell ref="S45:S50"/>
    <mergeCell ref="T45:T50"/>
    <mergeCell ref="G51:G56"/>
    <mergeCell ref="M51:M56"/>
    <mergeCell ref="N51:N56"/>
    <mergeCell ref="O51:O56"/>
    <mergeCell ref="P51:P56"/>
    <mergeCell ref="G45:G50"/>
    <mergeCell ref="M45:M50"/>
    <mergeCell ref="N45:N50"/>
    <mergeCell ref="O45:O50"/>
    <mergeCell ref="Q51:Q56"/>
    <mergeCell ref="R51:R56"/>
    <mergeCell ref="S51:S56"/>
    <mergeCell ref="T51:T56"/>
    <mergeCell ref="I45:I50"/>
    <mergeCell ref="I51:I56"/>
    <mergeCell ref="L45:L50"/>
    <mergeCell ref="L51:L56"/>
    <mergeCell ref="J39:J44"/>
    <mergeCell ref="F45:F50"/>
    <mergeCell ref="AL51:AL56"/>
    <mergeCell ref="W9:W11"/>
    <mergeCell ref="X9:X11"/>
    <mergeCell ref="Y9:AD9"/>
    <mergeCell ref="AL9:AL11"/>
    <mergeCell ref="I15:I20"/>
    <mergeCell ref="I21:I26"/>
    <mergeCell ref="I27:I32"/>
    <mergeCell ref="U8:AD8"/>
    <mergeCell ref="J51:J56"/>
    <mergeCell ref="K51:K56"/>
    <mergeCell ref="Y10:AA10"/>
    <mergeCell ref="AB10:AD10"/>
    <mergeCell ref="I9:I11"/>
    <mergeCell ref="J9:J11"/>
    <mergeCell ref="K9:K11"/>
    <mergeCell ref="L9:L11"/>
    <mergeCell ref="S33:S38"/>
    <mergeCell ref="T33:T38"/>
    <mergeCell ref="S39:S44"/>
    <mergeCell ref="T39:T44"/>
    <mergeCell ref="P45:P50"/>
    <mergeCell ref="M9:M11"/>
    <mergeCell ref="N9:N11"/>
    <mergeCell ref="AE8:AL8"/>
    <mergeCell ref="AL12:AL14"/>
    <mergeCell ref="AL15:AL20"/>
    <mergeCell ref="AL21:AL26"/>
    <mergeCell ref="AL27:AL32"/>
    <mergeCell ref="AL33:AL38"/>
    <mergeCell ref="AL39:AL44"/>
    <mergeCell ref="AL45:AL50"/>
    <mergeCell ref="J45:J50"/>
    <mergeCell ref="K45:K50"/>
    <mergeCell ref="O9:O11"/>
    <mergeCell ref="R9:R11"/>
    <mergeCell ref="S9:S11"/>
    <mergeCell ref="T12:T14"/>
    <mergeCell ref="O12:O14"/>
    <mergeCell ref="P12:P14"/>
    <mergeCell ref="J15:J20"/>
    <mergeCell ref="K15:K20"/>
    <mergeCell ref="J21:J26"/>
    <mergeCell ref="K21:K26"/>
    <mergeCell ref="J27:J32"/>
    <mergeCell ref="K27:K32"/>
    <mergeCell ref="J33:J38"/>
    <mergeCell ref="K33:K38"/>
    <mergeCell ref="AR1:AV3"/>
    <mergeCell ref="A1:E3"/>
    <mergeCell ref="F1:AQ1"/>
    <mergeCell ref="F2:AQ2"/>
    <mergeCell ref="F3:AQ3"/>
    <mergeCell ref="B65:AB65"/>
    <mergeCell ref="A59:AA59"/>
    <mergeCell ref="AB59:AV59"/>
    <mergeCell ref="AO60:AT60"/>
    <mergeCell ref="AO61:AT61"/>
    <mergeCell ref="AO62:AT62"/>
    <mergeCell ref="AO63:AT63"/>
    <mergeCell ref="AO64:AT64"/>
    <mergeCell ref="H15:H20"/>
    <mergeCell ref="H21:H26"/>
    <mergeCell ref="H27:H32"/>
    <mergeCell ref="H33:H38"/>
    <mergeCell ref="H39:H44"/>
    <mergeCell ref="H45:H50"/>
    <mergeCell ref="H51:H56"/>
    <mergeCell ref="AP9:AP11"/>
    <mergeCell ref="AQ9:AQ11"/>
    <mergeCell ref="AR9:AR11"/>
    <mergeCell ref="AS9:AS11"/>
    <mergeCell ref="AT12:AV12"/>
    <mergeCell ref="AT13:AV13"/>
    <mergeCell ref="AT14:AV14"/>
    <mergeCell ref="AT15:AV15"/>
    <mergeCell ref="AT16:AV16"/>
    <mergeCell ref="AT17:AV17"/>
    <mergeCell ref="AT18:AV18"/>
    <mergeCell ref="AT19:AV19"/>
    <mergeCell ref="AT20:AV20"/>
    <mergeCell ref="AT21:AV21"/>
    <mergeCell ref="AT22:AV22"/>
    <mergeCell ref="AT23:AV23"/>
    <mergeCell ref="AT24:AV24"/>
    <mergeCell ref="AT25:AV25"/>
    <mergeCell ref="AT26:AV26"/>
    <mergeCell ref="AT27:AV27"/>
    <mergeCell ref="AT28:AV28"/>
    <mergeCell ref="AT29:AV29"/>
    <mergeCell ref="AT30:AV30"/>
    <mergeCell ref="AT31:AV31"/>
    <mergeCell ref="AT32:AV32"/>
    <mergeCell ref="AT33:AV33"/>
    <mergeCell ref="AT34:AV34"/>
    <mergeCell ref="AT35:AV35"/>
    <mergeCell ref="AT36:AV36"/>
    <mergeCell ref="AT37:AV37"/>
    <mergeCell ref="AT38:AV38"/>
    <mergeCell ref="AT39:AV39"/>
    <mergeCell ref="AT40:AV40"/>
    <mergeCell ref="AT41:AV41"/>
    <mergeCell ref="AT42:AV42"/>
    <mergeCell ref="AT43:AV43"/>
    <mergeCell ref="AT44:AV44"/>
    <mergeCell ref="AT54:AV54"/>
    <mergeCell ref="AT55:AV55"/>
    <mergeCell ref="AT56:AV56"/>
    <mergeCell ref="AT45:AV45"/>
    <mergeCell ref="AT46:AV46"/>
    <mergeCell ref="AT47:AV47"/>
    <mergeCell ref="AT48:AV48"/>
    <mergeCell ref="AT49:AV49"/>
    <mergeCell ref="AT50:AV50"/>
    <mergeCell ref="AT51:AV51"/>
    <mergeCell ref="AT52:AV52"/>
    <mergeCell ref="AT53:AV53"/>
  </mergeCells>
  <conditionalFormatting sqref="J12:L56">
    <cfRule type="containsText" dxfId="18" priority="2" operator="containsText" text="Bajo">
      <formula>NOT(ISERROR(SEARCH("Bajo",J12)))</formula>
    </cfRule>
    <cfRule type="containsText" dxfId="17" priority="3" operator="containsText" text="Medio">
      <formula>NOT(ISERROR(SEARCH("Medio",J12)))</formula>
    </cfRule>
    <cfRule type="containsText" dxfId="16" priority="4" operator="containsText" text="Alto">
      <formula>NOT(ISERROR(SEARCH("Alto",J12)))</formula>
    </cfRule>
  </conditionalFormatting>
  <conditionalFormatting sqref="N12 AF12:AF56 N15 N21 N27 N33 N39 N45 N51">
    <cfRule type="cellIs" dxfId="15" priority="410" operator="equal">
      <formula>"Muy Alta"</formula>
    </cfRule>
    <cfRule type="cellIs" dxfId="14" priority="411" operator="equal">
      <formula>"Alta"</formula>
    </cfRule>
    <cfRule type="cellIs" dxfId="13" priority="412" operator="equal">
      <formula>"Media"</formula>
    </cfRule>
    <cfRule type="cellIs" dxfId="12" priority="413" operator="equal">
      <formula>"Baja"</formula>
    </cfRule>
    <cfRule type="cellIs" dxfId="11" priority="414" operator="equal">
      <formula>"Muy Baja"</formula>
    </cfRule>
  </conditionalFormatting>
  <conditionalFormatting sqref="Q12:Q56">
    <cfRule type="containsText" dxfId="10" priority="92" operator="containsText" text="❌">
      <formula>NOT(ISERROR(SEARCH("❌",Q12)))</formula>
    </cfRule>
  </conditionalFormatting>
  <conditionalFormatting sqref="R12 AH12:AH56 R15 R21 R27 R33 R39 R45 R51">
    <cfRule type="cellIs" dxfId="9" priority="405" operator="equal">
      <formula>"Catastrófico"</formula>
    </cfRule>
    <cfRule type="cellIs" dxfId="8" priority="406" operator="equal">
      <formula>"Mayor"</formula>
    </cfRule>
    <cfRule type="cellIs" dxfId="7" priority="407" operator="equal">
      <formula>"Moderado"</formula>
    </cfRule>
    <cfRule type="cellIs" dxfId="6" priority="408" operator="equal">
      <formula>"Menor"</formula>
    </cfRule>
    <cfRule type="cellIs" dxfId="5" priority="409" operator="equal">
      <formula>"Leve"</formula>
    </cfRule>
  </conditionalFormatting>
  <conditionalFormatting sqref="T12 AJ12:AJ56 T15 T21 T27 T33 T39 T45 T51">
    <cfRule type="cellIs" dxfId="4" priority="401" operator="equal">
      <formula>"Extremo"</formula>
    </cfRule>
    <cfRule type="cellIs" dxfId="3" priority="402" operator="equal">
      <formula>"Alto"</formula>
    </cfRule>
    <cfRule type="cellIs" dxfId="2" priority="403" operator="equal">
      <formula>"Moderado"</formula>
    </cfRule>
    <cfRule type="cellIs" dxfId="1" priority="404" operator="equal">
      <formula>"Bajo"</formula>
    </cfRule>
  </conditionalFormatting>
  <conditionalFormatting sqref="AL12:AL56">
    <cfRule type="containsText" dxfId="0" priority="1" operator="containsText" text="SI">
      <formula>NOT(ISERROR(SEARCH("SI",AL12)))</formula>
    </cfRule>
  </conditionalFormatting>
  <pageMargins left="0.7" right="0.7" top="0.75" bottom="0.75" header="0.3" footer="0.3"/>
  <pageSetup scale="1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Y12:Y56</xm:sqref>
        </x14:dataValidation>
        <x14:dataValidation type="list" allowBlank="1" showInputMessage="1" showErrorMessage="1" xr:uid="{00000000-0002-0000-0100-000001000000}">
          <x14:formula1>
            <xm:f>'Tabla Valoración controles'!$D$7:$D$8</xm:f>
          </x14:formula1>
          <xm:sqref>Z12:Z56</xm:sqref>
        </x14:dataValidation>
        <x14:dataValidation type="list" allowBlank="1" showInputMessage="1" showErrorMessage="1" xr:uid="{00000000-0002-0000-0100-000002000000}">
          <x14:formula1>
            <xm:f>'Tabla Valoración controles'!$D$9:$D$10</xm:f>
          </x14:formula1>
          <xm:sqref>AB12:AB56</xm:sqref>
        </x14:dataValidation>
        <x14:dataValidation type="list" allowBlank="1" showInputMessage="1" showErrorMessage="1" xr:uid="{00000000-0002-0000-0100-000003000000}">
          <x14:formula1>
            <xm:f>'Tabla Valoración controles'!$D$11:$D$12</xm:f>
          </x14:formula1>
          <xm:sqref>AC12:AC56</xm:sqref>
        </x14:dataValidation>
        <x14:dataValidation type="list" allowBlank="1" showInputMessage="1" showErrorMessage="1" xr:uid="{00000000-0002-0000-0100-000005000000}">
          <x14:formula1>
            <xm:f>'Tabla Valoración controles'!$D$13:$D$14</xm:f>
          </x14:formula1>
          <xm:sqref>AD12:AD56</xm:sqref>
        </x14:dataValidation>
        <x14:dataValidation type="list" allowBlank="1" showInputMessage="1" showErrorMessage="1" xr:uid="{00000000-0002-0000-0100-000008000000}">
          <x14:formula1>
            <xm:f>'Opciones Tratamiento'!$B$2:$B$5</xm:f>
          </x14:formula1>
          <xm:sqref>AK12:AK56</xm:sqref>
        </x14:dataValidation>
        <x14:dataValidation type="list" allowBlank="1" showInputMessage="1" showErrorMessage="1" xr:uid="{00000000-0002-0000-0100-000009000000}">
          <x14:formula1>
            <xm:f>'Tabla Impacto'!$F$210:$F$221</xm:f>
          </x14:formula1>
          <xm:sqref>P12:P56</xm:sqref>
        </x14:dataValidation>
        <x14:dataValidation type="list" allowBlank="1" showInputMessage="1" showErrorMessage="1" xr:uid="{EBD0A365-F198-47F3-88E3-90ECD3FDD176}">
          <x14:formula1>
            <xm:f>Datos!$A$2:$A$19</xm:f>
          </x14:formula1>
          <xm:sqref>B12:B56</xm:sqref>
        </x14:dataValidation>
        <x14:dataValidation type="list" allowBlank="1" showInputMessage="1" showErrorMessage="1" xr:uid="{99798697-22A5-4813-9449-855EE09D2A9A}">
          <x14:formula1>
            <xm:f>Datos!$B$2:$B$10</xm:f>
          </x14:formula1>
          <xm:sqref>C12:C56</xm:sqref>
        </x14:dataValidation>
        <x14:dataValidation type="list" allowBlank="1" showInputMessage="1" showErrorMessage="1" xr:uid="{FB0B5B81-7C8B-4CA5-8C02-5982F59E44ED}">
          <x14:formula1>
            <xm:f>Datos!$C$2:$C$4</xm:f>
          </x14:formula1>
          <xm:sqref>J12:L56</xm:sqref>
        </x14:dataValidation>
        <x14:dataValidation type="list" allowBlank="1" showInputMessage="1" showErrorMessage="1" xr:uid="{42289178-5DAF-438D-98F5-8E07CEBB3258}">
          <x14:formula1>
            <xm:f>Datos!$G$2:$G$3</xm:f>
          </x14:formula1>
          <xm:sqref>AL12:AL56</xm:sqref>
        </x14:dataValidation>
        <x14:dataValidation type="list" allowBlank="1" showInputMessage="1" showErrorMessage="1" xr:uid="{0674D55F-7EEB-49BE-9639-C938D3D86B46}">
          <x14:formula1>
            <xm:f>Datos!$H$2:$H$3</xm:f>
          </x14:formula1>
          <xm:sqref>H12:H56</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AM12:AM56</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AN12:AN56</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A61" zoomScale="110" zoomScaleNormal="110" zoomScaleSheetLayoutView="110" workbookViewId="0">
      <selection activeCell="D65" sqref="D65:E65"/>
    </sheetView>
  </sheetViews>
  <sheetFormatPr baseColWidth="10" defaultColWidth="11.42578125" defaultRowHeight="12.75" x14ac:dyDescent="0.2"/>
  <cols>
    <col min="1" max="1" width="2.85546875" style="160" customWidth="1"/>
    <col min="2" max="2" width="39.140625" style="160" customWidth="1"/>
    <col min="3" max="3" width="6.140625" style="160" customWidth="1"/>
    <col min="4" max="4" width="24.7109375" style="160" customWidth="1"/>
    <col min="5" max="5" width="16" style="160" customWidth="1"/>
    <col min="6" max="6" width="24.7109375" style="160" customWidth="1"/>
    <col min="7" max="7" width="27.7109375" style="160" customWidth="1"/>
    <col min="8" max="9" width="24.7109375" style="160" customWidth="1"/>
    <col min="10" max="16384" width="11.42578125" style="160"/>
  </cols>
  <sheetData>
    <row r="1" spans="1:9" s="1" customFormat="1" ht="23.25" customHeight="1" x14ac:dyDescent="0.2">
      <c r="A1" s="289"/>
      <c r="B1" s="289"/>
      <c r="C1" s="290" t="s">
        <v>0</v>
      </c>
      <c r="D1" s="290"/>
      <c r="E1" s="290"/>
      <c r="F1" s="290"/>
      <c r="G1" s="290"/>
      <c r="H1" s="290"/>
      <c r="I1" s="288"/>
    </row>
    <row r="2" spans="1:9" s="1" customFormat="1" ht="23.25" customHeight="1" x14ac:dyDescent="0.2">
      <c r="A2" s="289"/>
      <c r="B2" s="289"/>
      <c r="C2" s="352" t="s">
        <v>1</v>
      </c>
      <c r="D2" s="352"/>
      <c r="E2" s="352"/>
      <c r="F2" s="352"/>
      <c r="G2" s="352"/>
      <c r="H2" s="352"/>
      <c r="I2" s="288"/>
    </row>
    <row r="3" spans="1:9" s="1" customFormat="1" ht="23.25" customHeight="1" x14ac:dyDescent="0.2">
      <c r="A3" s="289"/>
      <c r="B3" s="289"/>
      <c r="C3" s="353" t="s">
        <v>2</v>
      </c>
      <c r="D3" s="354"/>
      <c r="E3" s="354"/>
      <c r="F3" s="354"/>
      <c r="G3" s="354"/>
      <c r="H3" s="355"/>
      <c r="I3" s="288"/>
    </row>
    <row r="4" spans="1:9" ht="3.75" customHeight="1" x14ac:dyDescent="0.2"/>
    <row r="5" spans="1:9" ht="16.5" customHeight="1" thickBot="1" x14ac:dyDescent="0.25"/>
    <row r="6" spans="1:9" x14ac:dyDescent="0.2">
      <c r="B6" s="358" t="s">
        <v>103</v>
      </c>
      <c r="C6" s="359"/>
      <c r="D6" s="359"/>
      <c r="E6" s="359"/>
      <c r="F6" s="359"/>
      <c r="G6" s="359"/>
      <c r="H6" s="359"/>
      <c r="I6" s="360"/>
    </row>
    <row r="7" spans="1:9" ht="81" customHeight="1" x14ac:dyDescent="0.2">
      <c r="B7" s="369" t="s">
        <v>104</v>
      </c>
      <c r="C7" s="370"/>
      <c r="D7" s="370"/>
      <c r="E7" s="370"/>
      <c r="F7" s="370"/>
      <c r="G7" s="370"/>
      <c r="H7" s="370"/>
      <c r="I7" s="371"/>
    </row>
    <row r="8" spans="1:9" ht="81" customHeight="1" x14ac:dyDescent="0.2">
      <c r="B8" s="372"/>
      <c r="C8" s="373"/>
      <c r="D8" s="373"/>
      <c r="E8" s="373"/>
      <c r="F8" s="373"/>
      <c r="G8" s="373"/>
      <c r="H8" s="373"/>
      <c r="I8" s="374"/>
    </row>
    <row r="9" spans="1:9" ht="23.25" customHeight="1" x14ac:dyDescent="0.2">
      <c r="B9" s="375" t="s">
        <v>105</v>
      </c>
      <c r="C9" s="376"/>
      <c r="D9" s="377"/>
      <c r="E9" s="377"/>
      <c r="F9" s="377"/>
      <c r="G9" s="377"/>
      <c r="H9" s="377"/>
      <c r="I9" s="378"/>
    </row>
    <row r="10" spans="1:9" ht="97.5" customHeight="1" x14ac:dyDescent="0.2">
      <c r="B10" s="383" t="s">
        <v>106</v>
      </c>
      <c r="C10" s="384"/>
      <c r="D10" s="384"/>
      <c r="E10" s="384"/>
      <c r="F10" s="384"/>
      <c r="G10" s="384"/>
      <c r="H10" s="384"/>
      <c r="I10" s="385"/>
    </row>
    <row r="11" spans="1:9" x14ac:dyDescent="0.2">
      <c r="B11" s="161"/>
      <c r="C11" s="162"/>
      <c r="D11" s="163"/>
      <c r="E11" s="163"/>
      <c r="F11" s="163"/>
      <c r="G11" s="163"/>
      <c r="H11" s="163"/>
      <c r="I11" s="164"/>
    </row>
    <row r="12" spans="1:9" ht="16.5" customHeight="1" x14ac:dyDescent="0.2">
      <c r="B12" s="379" t="s">
        <v>107</v>
      </c>
      <c r="C12" s="380"/>
      <c r="D12" s="380"/>
      <c r="E12" s="380"/>
      <c r="F12" s="380"/>
      <c r="G12" s="380"/>
      <c r="H12" s="380"/>
      <c r="I12" s="381"/>
    </row>
    <row r="13" spans="1:9" ht="44.25" customHeight="1" x14ac:dyDescent="0.2">
      <c r="B13" s="379"/>
      <c r="C13" s="380"/>
      <c r="D13" s="380"/>
      <c r="E13" s="380"/>
      <c r="F13" s="380"/>
      <c r="G13" s="380"/>
      <c r="H13" s="380"/>
      <c r="I13" s="381"/>
    </row>
    <row r="14" spans="1:9" ht="13.5" thickBot="1" x14ac:dyDescent="0.25">
      <c r="B14" s="151"/>
      <c r="C14" s="152"/>
      <c r="D14" s="152"/>
      <c r="E14" s="153"/>
      <c r="F14" s="154"/>
      <c r="G14" s="154"/>
      <c r="H14" s="155"/>
      <c r="I14" s="156"/>
    </row>
    <row r="15" spans="1:9" ht="14.25" customHeight="1" thickTop="1" thickBot="1" x14ac:dyDescent="0.25">
      <c r="B15" s="151"/>
      <c r="C15" s="361" t="s">
        <v>108</v>
      </c>
      <c r="D15" s="362"/>
      <c r="E15" s="362"/>
      <c r="F15" s="362"/>
      <c r="G15" s="362"/>
      <c r="H15" s="363"/>
      <c r="I15" s="156"/>
    </row>
    <row r="16" spans="1:9" ht="15.75" customHeight="1" thickTop="1" x14ac:dyDescent="0.2">
      <c r="B16" s="151"/>
      <c r="C16" s="169" t="s">
        <v>109</v>
      </c>
      <c r="D16" s="382" t="s">
        <v>110</v>
      </c>
      <c r="E16" s="382"/>
      <c r="F16" s="386" t="s">
        <v>111</v>
      </c>
      <c r="G16" s="386"/>
      <c r="H16" s="387"/>
      <c r="I16" s="156"/>
    </row>
    <row r="17" spans="2:9" ht="35.25" customHeight="1" x14ac:dyDescent="0.2">
      <c r="B17" s="151"/>
      <c r="C17" s="165">
        <v>1</v>
      </c>
      <c r="D17" s="350" t="s">
        <v>112</v>
      </c>
      <c r="E17" s="350"/>
      <c r="F17" s="345" t="s">
        <v>113</v>
      </c>
      <c r="G17" s="345"/>
      <c r="H17" s="346"/>
      <c r="I17" s="156"/>
    </row>
    <row r="18" spans="2:9" ht="31.5" customHeight="1" x14ac:dyDescent="0.2">
      <c r="B18" s="151"/>
      <c r="C18" s="165">
        <v>2</v>
      </c>
      <c r="D18" s="350" t="s">
        <v>114</v>
      </c>
      <c r="E18" s="350"/>
      <c r="F18" s="343" t="s">
        <v>115</v>
      </c>
      <c r="G18" s="343"/>
      <c r="H18" s="344"/>
      <c r="I18" s="156"/>
    </row>
    <row r="19" spans="2:9" ht="33.75" customHeight="1" x14ac:dyDescent="0.2">
      <c r="B19" s="151"/>
      <c r="C19" s="165">
        <v>3</v>
      </c>
      <c r="D19" s="350" t="s">
        <v>116</v>
      </c>
      <c r="E19" s="350"/>
      <c r="F19" s="343" t="s">
        <v>117</v>
      </c>
      <c r="G19" s="343"/>
      <c r="H19" s="344"/>
      <c r="I19" s="156"/>
    </row>
    <row r="20" spans="2:9" x14ac:dyDescent="0.2">
      <c r="B20" s="151"/>
      <c r="C20" s="338" t="s">
        <v>118</v>
      </c>
      <c r="D20" s="339"/>
      <c r="E20" s="339"/>
      <c r="F20" s="339"/>
      <c r="G20" s="339"/>
      <c r="H20" s="340"/>
      <c r="I20" s="156"/>
    </row>
    <row r="21" spans="2:9" ht="18" customHeight="1" x14ac:dyDescent="0.2">
      <c r="B21" s="151"/>
      <c r="C21" s="165">
        <v>4</v>
      </c>
      <c r="D21" s="350" t="s">
        <v>119</v>
      </c>
      <c r="E21" s="350"/>
      <c r="F21" s="343" t="s">
        <v>120</v>
      </c>
      <c r="G21" s="343"/>
      <c r="H21" s="344"/>
      <c r="I21" s="156"/>
    </row>
    <row r="22" spans="2:9" ht="30.75" customHeight="1" x14ac:dyDescent="0.2">
      <c r="B22" s="151"/>
      <c r="C22" s="165">
        <v>5</v>
      </c>
      <c r="D22" s="350" t="s">
        <v>17</v>
      </c>
      <c r="E22" s="350"/>
      <c r="F22" s="345" t="s">
        <v>121</v>
      </c>
      <c r="G22" s="345"/>
      <c r="H22" s="346"/>
      <c r="I22" s="156"/>
    </row>
    <row r="23" spans="2:9" ht="45.75" customHeight="1" x14ac:dyDescent="0.2">
      <c r="B23" s="151"/>
      <c r="C23" s="165">
        <v>6</v>
      </c>
      <c r="D23" s="350" t="s">
        <v>18</v>
      </c>
      <c r="E23" s="350"/>
      <c r="F23" s="345" t="s">
        <v>122</v>
      </c>
      <c r="G23" s="345"/>
      <c r="H23" s="346"/>
      <c r="I23" s="156"/>
    </row>
    <row r="24" spans="2:9" ht="49.5" customHeight="1" x14ac:dyDescent="0.2">
      <c r="B24" s="151"/>
      <c r="C24" s="165">
        <v>7</v>
      </c>
      <c r="D24" s="350" t="s">
        <v>19</v>
      </c>
      <c r="E24" s="350"/>
      <c r="F24" s="343" t="s">
        <v>123</v>
      </c>
      <c r="G24" s="343"/>
      <c r="H24" s="344"/>
      <c r="I24" s="156"/>
    </row>
    <row r="25" spans="2:9" ht="27.75" customHeight="1" x14ac:dyDescent="0.2">
      <c r="B25" s="151"/>
      <c r="C25" s="165">
        <v>8</v>
      </c>
      <c r="D25" s="350" t="s">
        <v>20</v>
      </c>
      <c r="E25" s="350"/>
      <c r="F25" s="345" t="s">
        <v>124</v>
      </c>
      <c r="G25" s="345"/>
      <c r="H25" s="346"/>
      <c r="I25" s="156"/>
    </row>
    <row r="26" spans="2:9" ht="42" customHeight="1" x14ac:dyDescent="0.2">
      <c r="B26" s="151"/>
      <c r="C26" s="165">
        <v>9</v>
      </c>
      <c r="D26" s="350" t="s">
        <v>125</v>
      </c>
      <c r="E26" s="350"/>
      <c r="F26" s="345" t="s">
        <v>126</v>
      </c>
      <c r="G26" s="345"/>
      <c r="H26" s="346"/>
      <c r="I26" s="156"/>
    </row>
    <row r="27" spans="2:9" ht="65.25" customHeight="1" x14ac:dyDescent="0.2">
      <c r="B27" s="151"/>
      <c r="C27" s="165">
        <v>10</v>
      </c>
      <c r="D27" s="350" t="s">
        <v>127</v>
      </c>
      <c r="E27" s="350"/>
      <c r="F27" s="343" t="s">
        <v>128</v>
      </c>
      <c r="G27" s="343"/>
      <c r="H27" s="344"/>
      <c r="I27" s="156"/>
    </row>
    <row r="28" spans="2:9" ht="56.25" customHeight="1" x14ac:dyDescent="0.2">
      <c r="B28" s="151"/>
      <c r="C28" s="165">
        <v>11</v>
      </c>
      <c r="D28" s="351" t="s">
        <v>23</v>
      </c>
      <c r="E28" s="351"/>
      <c r="F28" s="343" t="s">
        <v>129</v>
      </c>
      <c r="G28" s="343"/>
      <c r="H28" s="344"/>
      <c r="I28" s="156"/>
    </row>
    <row r="29" spans="2:9" ht="72" customHeight="1" x14ac:dyDescent="0.2">
      <c r="B29" s="151"/>
      <c r="C29" s="165">
        <v>12</v>
      </c>
      <c r="D29" s="351" t="s">
        <v>24</v>
      </c>
      <c r="E29" s="351"/>
      <c r="F29" s="343" t="s">
        <v>130</v>
      </c>
      <c r="G29" s="343"/>
      <c r="H29" s="344"/>
      <c r="I29" s="156"/>
    </row>
    <row r="30" spans="2:9" x14ac:dyDescent="0.2">
      <c r="B30" s="151"/>
      <c r="C30" s="338" t="s">
        <v>131</v>
      </c>
      <c r="D30" s="339"/>
      <c r="E30" s="339"/>
      <c r="F30" s="339"/>
      <c r="G30" s="339"/>
      <c r="H30" s="340"/>
      <c r="I30" s="156"/>
    </row>
    <row r="31" spans="2:9" ht="64.5" customHeight="1" x14ac:dyDescent="0.2">
      <c r="B31" s="151"/>
      <c r="C31" s="166">
        <v>13</v>
      </c>
      <c r="D31" s="341" t="s">
        <v>25</v>
      </c>
      <c r="E31" s="342"/>
      <c r="F31" s="343" t="s">
        <v>132</v>
      </c>
      <c r="G31" s="343"/>
      <c r="H31" s="344"/>
      <c r="I31" s="156"/>
    </row>
    <row r="32" spans="2:9" ht="52.5" customHeight="1" x14ac:dyDescent="0.2">
      <c r="B32" s="151"/>
      <c r="C32" s="166">
        <v>14</v>
      </c>
      <c r="D32" s="341" t="s">
        <v>26</v>
      </c>
      <c r="E32" s="342"/>
      <c r="F32" s="343" t="s">
        <v>133</v>
      </c>
      <c r="G32" s="343"/>
      <c r="H32" s="344"/>
      <c r="I32" s="156"/>
    </row>
    <row r="33" spans="2:9" ht="72.75" customHeight="1" x14ac:dyDescent="0.2">
      <c r="B33" s="151"/>
      <c r="C33" s="166">
        <v>15</v>
      </c>
      <c r="D33" s="341" t="s">
        <v>27</v>
      </c>
      <c r="E33" s="342"/>
      <c r="F33" s="343" t="s">
        <v>134</v>
      </c>
      <c r="G33" s="343"/>
      <c r="H33" s="344"/>
      <c r="I33" s="156"/>
    </row>
    <row r="34" spans="2:9" x14ac:dyDescent="0.2">
      <c r="B34" s="151"/>
      <c r="C34" s="338" t="s">
        <v>135</v>
      </c>
      <c r="D34" s="339"/>
      <c r="E34" s="339"/>
      <c r="F34" s="339"/>
      <c r="G34" s="339"/>
      <c r="H34" s="340"/>
      <c r="I34" s="156"/>
    </row>
    <row r="35" spans="2:9" ht="63" customHeight="1" x14ac:dyDescent="0.2">
      <c r="B35" s="151"/>
      <c r="C35" s="166">
        <v>16</v>
      </c>
      <c r="D35" s="351" t="s">
        <v>136</v>
      </c>
      <c r="E35" s="351"/>
      <c r="F35" s="343" t="s">
        <v>137</v>
      </c>
      <c r="G35" s="343"/>
      <c r="H35" s="344"/>
      <c r="I35" s="156"/>
    </row>
    <row r="36" spans="2:9" ht="52.5" customHeight="1" x14ac:dyDescent="0.2">
      <c r="B36" s="151"/>
      <c r="C36" s="166">
        <v>17</v>
      </c>
      <c r="D36" s="351" t="s">
        <v>29</v>
      </c>
      <c r="E36" s="351"/>
      <c r="F36" s="343" t="s">
        <v>138</v>
      </c>
      <c r="G36" s="343"/>
      <c r="H36" s="344"/>
      <c r="I36" s="156"/>
    </row>
    <row r="37" spans="2:9" ht="52.5" customHeight="1" x14ac:dyDescent="0.2">
      <c r="B37" s="151"/>
      <c r="C37" s="166">
        <v>18</v>
      </c>
      <c r="D37" s="351" t="s">
        <v>30</v>
      </c>
      <c r="E37" s="351"/>
      <c r="F37" s="343" t="s">
        <v>139</v>
      </c>
      <c r="G37" s="343"/>
      <c r="H37" s="344"/>
      <c r="I37" s="156"/>
    </row>
    <row r="38" spans="2:9" ht="19.5" customHeight="1" x14ac:dyDescent="0.2">
      <c r="B38" s="151"/>
      <c r="C38" s="166">
        <v>19</v>
      </c>
      <c r="D38" s="351" t="s">
        <v>31</v>
      </c>
      <c r="E38" s="351"/>
      <c r="F38" s="343" t="s">
        <v>140</v>
      </c>
      <c r="G38" s="343"/>
      <c r="H38" s="344"/>
      <c r="I38" s="156"/>
    </row>
    <row r="39" spans="2:9" ht="25.5" customHeight="1" x14ac:dyDescent="0.2">
      <c r="B39" s="151"/>
      <c r="C39" s="166">
        <v>20</v>
      </c>
      <c r="D39" s="351" t="s">
        <v>141</v>
      </c>
      <c r="E39" s="351"/>
      <c r="F39" s="343" t="s">
        <v>142</v>
      </c>
      <c r="G39" s="343"/>
      <c r="H39" s="344"/>
      <c r="I39" s="156"/>
    </row>
    <row r="40" spans="2:9" ht="25.5" customHeight="1" x14ac:dyDescent="0.2">
      <c r="B40" s="151"/>
      <c r="C40" s="166">
        <v>21</v>
      </c>
      <c r="D40" s="351" t="s">
        <v>30</v>
      </c>
      <c r="E40" s="351"/>
      <c r="F40" s="343" t="s">
        <v>143</v>
      </c>
      <c r="G40" s="343"/>
      <c r="H40" s="344"/>
      <c r="I40" s="156"/>
    </row>
    <row r="41" spans="2:9" ht="34.5" customHeight="1" x14ac:dyDescent="0.2">
      <c r="B41" s="151"/>
      <c r="C41" s="166">
        <v>22</v>
      </c>
      <c r="D41" s="351" t="s">
        <v>144</v>
      </c>
      <c r="E41" s="351"/>
      <c r="F41" s="345" t="s">
        <v>145</v>
      </c>
      <c r="G41" s="345"/>
      <c r="H41" s="346"/>
      <c r="I41" s="156"/>
    </row>
    <row r="42" spans="2:9" x14ac:dyDescent="0.2">
      <c r="B42" s="151"/>
      <c r="C42" s="338" t="s">
        <v>146</v>
      </c>
      <c r="D42" s="339"/>
      <c r="E42" s="339"/>
      <c r="F42" s="339"/>
      <c r="G42" s="339"/>
      <c r="H42" s="340"/>
      <c r="I42" s="156"/>
    </row>
    <row r="43" spans="2:9" x14ac:dyDescent="0.2">
      <c r="B43" s="151"/>
      <c r="C43" s="166">
        <v>23</v>
      </c>
      <c r="D43" s="341" t="s">
        <v>147</v>
      </c>
      <c r="E43" s="342"/>
      <c r="F43" s="345" t="s">
        <v>148</v>
      </c>
      <c r="G43" s="345"/>
      <c r="H43" s="346"/>
      <c r="I43" s="156"/>
    </row>
    <row r="44" spans="2:9" x14ac:dyDescent="0.2">
      <c r="B44" s="151"/>
      <c r="C44" s="166">
        <v>24</v>
      </c>
      <c r="D44" s="341" t="s">
        <v>149</v>
      </c>
      <c r="E44" s="342"/>
      <c r="F44" s="345" t="s">
        <v>150</v>
      </c>
      <c r="G44" s="345"/>
      <c r="H44" s="346"/>
      <c r="I44" s="156"/>
    </row>
    <row r="45" spans="2:9" ht="60" customHeight="1" x14ac:dyDescent="0.2">
      <c r="B45" s="151"/>
      <c r="C45" s="166">
        <v>25</v>
      </c>
      <c r="D45" s="367" t="s">
        <v>37</v>
      </c>
      <c r="E45" s="368"/>
      <c r="F45" s="343" t="s">
        <v>151</v>
      </c>
      <c r="G45" s="343"/>
      <c r="H45" s="344"/>
      <c r="I45" s="156"/>
    </row>
    <row r="46" spans="2:9" x14ac:dyDescent="0.2">
      <c r="B46" s="151"/>
      <c r="C46" s="166">
        <v>26</v>
      </c>
      <c r="D46" s="367" t="s">
        <v>152</v>
      </c>
      <c r="E46" s="368"/>
      <c r="F46" s="343" t="s">
        <v>153</v>
      </c>
      <c r="G46" s="343"/>
      <c r="H46" s="344"/>
      <c r="I46" s="156"/>
    </row>
    <row r="47" spans="2:9" x14ac:dyDescent="0.2">
      <c r="B47" s="151"/>
      <c r="C47" s="347" t="s">
        <v>154</v>
      </c>
      <c r="D47" s="348"/>
      <c r="E47" s="348"/>
      <c r="F47" s="348"/>
      <c r="G47" s="348"/>
      <c r="H47" s="349"/>
      <c r="I47" s="156"/>
    </row>
    <row r="48" spans="2:9" ht="129.75" customHeight="1" x14ac:dyDescent="0.2">
      <c r="B48" s="151"/>
      <c r="C48" s="166">
        <v>27</v>
      </c>
      <c r="D48" s="341" t="s">
        <v>56</v>
      </c>
      <c r="E48" s="342"/>
      <c r="F48" s="345" t="s">
        <v>155</v>
      </c>
      <c r="G48" s="345"/>
      <c r="H48" s="346"/>
      <c r="I48" s="156"/>
    </row>
    <row r="49" spans="2:9" ht="126" customHeight="1" x14ac:dyDescent="0.2">
      <c r="B49" s="151"/>
      <c r="C49" s="166">
        <v>28</v>
      </c>
      <c r="D49" s="341" t="s">
        <v>57</v>
      </c>
      <c r="E49" s="342"/>
      <c r="F49" s="345" t="s">
        <v>156</v>
      </c>
      <c r="G49" s="345"/>
      <c r="H49" s="346"/>
      <c r="I49" s="156"/>
    </row>
    <row r="50" spans="2:9" ht="85.5" customHeight="1" x14ac:dyDescent="0.2">
      <c r="B50" s="151"/>
      <c r="C50" s="166">
        <v>29</v>
      </c>
      <c r="D50" s="341" t="s">
        <v>157</v>
      </c>
      <c r="E50" s="342"/>
      <c r="F50" s="345" t="s">
        <v>158</v>
      </c>
      <c r="G50" s="345"/>
      <c r="H50" s="346"/>
      <c r="I50" s="156"/>
    </row>
    <row r="51" spans="2:9" ht="82.5" customHeight="1" x14ac:dyDescent="0.2">
      <c r="B51" s="151"/>
      <c r="C51" s="166">
        <v>30</v>
      </c>
      <c r="D51" s="341" t="s">
        <v>159</v>
      </c>
      <c r="E51" s="342"/>
      <c r="F51" s="345" t="s">
        <v>160</v>
      </c>
      <c r="G51" s="345"/>
      <c r="H51" s="346"/>
      <c r="I51" s="156"/>
    </row>
    <row r="52" spans="2:9" ht="104.25" customHeight="1" x14ac:dyDescent="0.2">
      <c r="B52" s="151"/>
      <c r="C52" s="166">
        <v>31</v>
      </c>
      <c r="D52" s="341" t="s">
        <v>161</v>
      </c>
      <c r="E52" s="342"/>
      <c r="F52" s="345" t="s">
        <v>162</v>
      </c>
      <c r="G52" s="345"/>
      <c r="H52" s="346"/>
      <c r="I52" s="156"/>
    </row>
    <row r="53" spans="2:9" ht="109.5" customHeight="1" x14ac:dyDescent="0.2">
      <c r="B53" s="151"/>
      <c r="C53" s="166">
        <v>32</v>
      </c>
      <c r="D53" s="341" t="s">
        <v>61</v>
      </c>
      <c r="E53" s="342"/>
      <c r="F53" s="345" t="s">
        <v>163</v>
      </c>
      <c r="G53" s="345"/>
      <c r="H53" s="346"/>
      <c r="I53" s="156"/>
    </row>
    <row r="54" spans="2:9" ht="30" customHeight="1" x14ac:dyDescent="0.2">
      <c r="B54" s="151"/>
      <c r="C54" s="338" t="s">
        <v>13</v>
      </c>
      <c r="D54" s="339"/>
      <c r="E54" s="339"/>
      <c r="F54" s="339"/>
      <c r="G54" s="339"/>
      <c r="H54" s="340"/>
      <c r="I54" s="156"/>
    </row>
    <row r="55" spans="2:9" ht="45.75" customHeight="1" x14ac:dyDescent="0.2">
      <c r="B55" s="151"/>
      <c r="C55" s="166">
        <v>33</v>
      </c>
      <c r="D55" s="341" t="s">
        <v>40</v>
      </c>
      <c r="E55" s="342"/>
      <c r="F55" s="345" t="s">
        <v>164</v>
      </c>
      <c r="G55" s="345"/>
      <c r="H55" s="346"/>
      <c r="I55" s="156"/>
    </row>
    <row r="56" spans="2:9" ht="53.25" customHeight="1" x14ac:dyDescent="0.2">
      <c r="B56" s="151"/>
      <c r="C56" s="166">
        <v>34</v>
      </c>
      <c r="D56" s="341" t="s">
        <v>165</v>
      </c>
      <c r="E56" s="342"/>
      <c r="F56" s="345" t="s">
        <v>166</v>
      </c>
      <c r="G56" s="345"/>
      <c r="H56" s="346"/>
      <c r="I56" s="156"/>
    </row>
    <row r="57" spans="2:9" ht="55.5" customHeight="1" x14ac:dyDescent="0.2">
      <c r="B57" s="151"/>
      <c r="C57" s="166">
        <v>35</v>
      </c>
      <c r="D57" s="341" t="s">
        <v>30</v>
      </c>
      <c r="E57" s="342"/>
      <c r="F57" s="345" t="s">
        <v>167</v>
      </c>
      <c r="G57" s="345"/>
      <c r="H57" s="346"/>
      <c r="I57" s="156"/>
    </row>
    <row r="58" spans="2:9" ht="30" customHeight="1" x14ac:dyDescent="0.2">
      <c r="B58" s="151"/>
      <c r="C58" s="166">
        <v>36</v>
      </c>
      <c r="D58" s="341" t="s">
        <v>168</v>
      </c>
      <c r="E58" s="342"/>
      <c r="F58" s="345" t="s">
        <v>169</v>
      </c>
      <c r="G58" s="345"/>
      <c r="H58" s="346"/>
      <c r="I58" s="156"/>
    </row>
    <row r="59" spans="2:9" ht="30" customHeight="1" x14ac:dyDescent="0.2">
      <c r="B59" s="151"/>
      <c r="C59" s="166">
        <v>37</v>
      </c>
      <c r="D59" s="341" t="s">
        <v>30</v>
      </c>
      <c r="E59" s="342"/>
      <c r="F59" s="345" t="s">
        <v>170</v>
      </c>
      <c r="G59" s="345"/>
      <c r="H59" s="346"/>
      <c r="I59" s="156"/>
    </row>
    <row r="60" spans="2:9" ht="30" customHeight="1" x14ac:dyDescent="0.2">
      <c r="B60" s="151"/>
      <c r="C60" s="166">
        <v>38</v>
      </c>
      <c r="D60" s="341" t="s">
        <v>43</v>
      </c>
      <c r="E60" s="342"/>
      <c r="F60" s="345" t="s">
        <v>171</v>
      </c>
      <c r="G60" s="345"/>
      <c r="H60" s="346"/>
      <c r="I60" s="156"/>
    </row>
    <row r="61" spans="2:9" ht="30" customHeight="1" x14ac:dyDescent="0.2">
      <c r="B61" s="151"/>
      <c r="C61" s="166">
        <v>39</v>
      </c>
      <c r="D61" s="341" t="s">
        <v>172</v>
      </c>
      <c r="E61" s="342"/>
      <c r="F61" s="345" t="s">
        <v>170</v>
      </c>
      <c r="G61" s="345"/>
      <c r="H61" s="346"/>
      <c r="I61" s="156"/>
    </row>
    <row r="62" spans="2:9" ht="57" customHeight="1" x14ac:dyDescent="0.2">
      <c r="B62" s="151"/>
      <c r="C62" s="166">
        <v>40</v>
      </c>
      <c r="D62" s="341" t="s">
        <v>44</v>
      </c>
      <c r="E62" s="342"/>
      <c r="F62" s="345" t="s">
        <v>173</v>
      </c>
      <c r="G62" s="345"/>
      <c r="H62" s="346"/>
      <c r="I62" s="156"/>
    </row>
    <row r="63" spans="2:9" ht="67.5" customHeight="1" x14ac:dyDescent="0.2">
      <c r="B63" s="151"/>
      <c r="C63" s="166">
        <v>41</v>
      </c>
      <c r="D63" s="341" t="s">
        <v>174</v>
      </c>
      <c r="E63" s="342"/>
      <c r="F63" s="343" t="s">
        <v>175</v>
      </c>
      <c r="G63" s="343"/>
      <c r="H63" s="344"/>
      <c r="I63" s="156"/>
    </row>
    <row r="64" spans="2:9" ht="30" customHeight="1" x14ac:dyDescent="0.2">
      <c r="B64" s="151"/>
      <c r="C64" s="338" t="s">
        <v>176</v>
      </c>
      <c r="D64" s="339"/>
      <c r="E64" s="339"/>
      <c r="F64" s="339"/>
      <c r="G64" s="339"/>
      <c r="H64" s="340"/>
      <c r="I64" s="156"/>
    </row>
    <row r="65" spans="2:9" ht="81.75" customHeight="1" x14ac:dyDescent="0.2">
      <c r="B65" s="151"/>
      <c r="C65" s="166">
        <v>42</v>
      </c>
      <c r="D65" s="341" t="s">
        <v>177</v>
      </c>
      <c r="E65" s="342"/>
      <c r="F65" s="345" t="s">
        <v>178</v>
      </c>
      <c r="G65" s="345"/>
      <c r="H65" s="346"/>
      <c r="I65" s="156"/>
    </row>
    <row r="66" spans="2:9" ht="30" customHeight="1" x14ac:dyDescent="0.2">
      <c r="B66" s="151"/>
      <c r="C66" s="166">
        <v>43</v>
      </c>
      <c r="D66" s="341" t="s">
        <v>47</v>
      </c>
      <c r="E66" s="342"/>
      <c r="F66" s="343" t="s">
        <v>179</v>
      </c>
      <c r="G66" s="343"/>
      <c r="H66" s="344"/>
      <c r="I66" s="156"/>
    </row>
    <row r="67" spans="2:9" ht="30" customHeight="1" x14ac:dyDescent="0.2">
      <c r="B67" s="151"/>
      <c r="C67" s="166">
        <v>44</v>
      </c>
      <c r="D67" s="341" t="s">
        <v>180</v>
      </c>
      <c r="E67" s="342"/>
      <c r="F67" s="345" t="s">
        <v>181</v>
      </c>
      <c r="G67" s="345"/>
      <c r="H67" s="346"/>
      <c r="I67" s="156"/>
    </row>
    <row r="68" spans="2:9" ht="30" customHeight="1" x14ac:dyDescent="0.2">
      <c r="B68" s="151"/>
      <c r="C68" s="338" t="s">
        <v>176</v>
      </c>
      <c r="D68" s="339"/>
      <c r="E68" s="339"/>
      <c r="F68" s="339"/>
      <c r="G68" s="339"/>
      <c r="H68" s="340"/>
      <c r="I68" s="156"/>
    </row>
    <row r="69" spans="2:9" ht="30" customHeight="1" x14ac:dyDescent="0.2">
      <c r="B69" s="151"/>
      <c r="C69" s="166">
        <v>45</v>
      </c>
      <c r="D69" s="341" t="s">
        <v>182</v>
      </c>
      <c r="E69" s="342"/>
      <c r="F69" s="345" t="s">
        <v>183</v>
      </c>
      <c r="G69" s="345"/>
      <c r="H69" s="346"/>
      <c r="I69" s="156"/>
    </row>
    <row r="70" spans="2:9" ht="30" customHeight="1" x14ac:dyDescent="0.2">
      <c r="B70" s="151"/>
      <c r="C70" s="166">
        <v>46</v>
      </c>
      <c r="D70" s="341" t="s">
        <v>50</v>
      </c>
      <c r="E70" s="342"/>
      <c r="F70" s="345" t="s">
        <v>184</v>
      </c>
      <c r="G70" s="345"/>
      <c r="H70" s="346"/>
      <c r="I70" s="156"/>
    </row>
    <row r="71" spans="2:9" ht="30" customHeight="1" x14ac:dyDescent="0.2">
      <c r="B71" s="151"/>
      <c r="C71" s="166">
        <v>47</v>
      </c>
      <c r="D71" s="341" t="s">
        <v>185</v>
      </c>
      <c r="E71" s="342"/>
      <c r="F71" s="343" t="s">
        <v>186</v>
      </c>
      <c r="G71" s="343"/>
      <c r="H71" s="344"/>
      <c r="I71" s="156"/>
    </row>
    <row r="72" spans="2:9" ht="30" customHeight="1" x14ac:dyDescent="0.2">
      <c r="B72" s="151"/>
      <c r="C72" s="166">
        <v>48</v>
      </c>
      <c r="D72" s="341" t="s">
        <v>187</v>
      </c>
      <c r="E72" s="342"/>
      <c r="F72" s="343" t="s">
        <v>188</v>
      </c>
      <c r="G72" s="343"/>
      <c r="H72" s="344"/>
      <c r="I72" s="156"/>
    </row>
    <row r="73" spans="2:9" ht="30" customHeight="1" x14ac:dyDescent="0.2">
      <c r="B73" s="151"/>
      <c r="C73" s="166">
        <v>49</v>
      </c>
      <c r="D73" s="341" t="s">
        <v>189</v>
      </c>
      <c r="E73" s="342"/>
      <c r="F73" s="343" t="s">
        <v>190</v>
      </c>
      <c r="G73" s="343"/>
      <c r="H73" s="344"/>
      <c r="I73" s="156"/>
    </row>
    <row r="74" spans="2:9" ht="48.75" customHeight="1" thickBot="1" x14ac:dyDescent="0.25">
      <c r="B74" s="151"/>
      <c r="C74" s="166">
        <v>50</v>
      </c>
      <c r="D74" s="388" t="s">
        <v>191</v>
      </c>
      <c r="E74" s="388"/>
      <c r="F74" s="356" t="s">
        <v>192</v>
      </c>
      <c r="G74" s="356"/>
      <c r="H74" s="357"/>
      <c r="I74" s="156"/>
    </row>
    <row r="75" spans="2:9" ht="13.5" thickTop="1" x14ac:dyDescent="0.2">
      <c r="B75" s="151"/>
      <c r="C75" s="152"/>
      <c r="D75" s="167"/>
      <c r="E75" s="167"/>
      <c r="F75" s="168"/>
      <c r="G75" s="168"/>
      <c r="H75" s="152"/>
      <c r="I75" s="156"/>
    </row>
    <row r="76" spans="2:9" x14ac:dyDescent="0.2">
      <c r="B76" s="364" t="s">
        <v>193</v>
      </c>
      <c r="C76" s="365"/>
      <c r="D76" s="365"/>
      <c r="E76" s="365"/>
      <c r="F76" s="365"/>
      <c r="G76" s="365"/>
      <c r="H76" s="365"/>
      <c r="I76" s="366"/>
    </row>
    <row r="77" spans="2:9" ht="39" customHeight="1" x14ac:dyDescent="0.2">
      <c r="B77" s="364" t="s">
        <v>194</v>
      </c>
      <c r="C77" s="365"/>
      <c r="D77" s="365"/>
      <c r="E77" s="365"/>
      <c r="F77" s="365"/>
      <c r="G77" s="365"/>
      <c r="H77" s="365"/>
      <c r="I77" s="366"/>
    </row>
    <row r="78" spans="2:9" ht="39" customHeight="1" x14ac:dyDescent="0.2">
      <c r="B78" s="364" t="s">
        <v>195</v>
      </c>
      <c r="C78" s="365"/>
      <c r="D78" s="365"/>
      <c r="E78" s="365"/>
      <c r="F78" s="365"/>
      <c r="G78" s="365"/>
      <c r="H78" s="365"/>
      <c r="I78" s="366"/>
    </row>
    <row r="79" spans="2:9" ht="34.5" customHeight="1" x14ac:dyDescent="0.2">
      <c r="B79" s="364" t="s">
        <v>196</v>
      </c>
      <c r="C79" s="365"/>
      <c r="D79" s="365"/>
      <c r="E79" s="365"/>
      <c r="F79" s="365"/>
      <c r="G79" s="365"/>
      <c r="H79" s="365"/>
      <c r="I79" s="366"/>
    </row>
    <row r="80" spans="2:9" ht="20.25" customHeight="1" x14ac:dyDescent="0.2">
      <c r="B80" s="364" t="s">
        <v>197</v>
      </c>
      <c r="C80" s="365"/>
      <c r="D80" s="365"/>
      <c r="E80" s="365"/>
      <c r="F80" s="365"/>
      <c r="G80" s="365"/>
      <c r="H80" s="365"/>
      <c r="I80" s="366"/>
    </row>
    <row r="81" spans="2:9" ht="20.25" customHeight="1" x14ac:dyDescent="0.2">
      <c r="B81" s="364" t="s">
        <v>198</v>
      </c>
      <c r="C81" s="365"/>
      <c r="D81" s="365"/>
      <c r="E81" s="365"/>
      <c r="F81" s="365"/>
      <c r="G81" s="365"/>
      <c r="H81" s="365"/>
      <c r="I81" s="366"/>
    </row>
    <row r="82" spans="2:9" x14ac:dyDescent="0.2">
      <c r="B82" s="364" t="s">
        <v>199</v>
      </c>
      <c r="C82" s="365"/>
      <c r="D82" s="365"/>
      <c r="E82" s="365"/>
      <c r="F82" s="365"/>
      <c r="G82" s="365"/>
      <c r="H82" s="365"/>
      <c r="I82" s="366"/>
    </row>
    <row r="83" spans="2:9" ht="13.5" thickBot="1" x14ac:dyDescent="0.25">
      <c r="B83" s="157"/>
      <c r="C83" s="158"/>
      <c r="D83" s="158"/>
      <c r="E83" s="158"/>
      <c r="F83" s="158"/>
      <c r="G83" s="158"/>
      <c r="H83" s="158"/>
      <c r="I83" s="159"/>
    </row>
  </sheetData>
  <mergeCells count="128">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topLeftCell="A59" zoomScale="115" zoomScaleNormal="115" workbookViewId="0">
      <selection activeCell="D74" sqref="D74"/>
    </sheetView>
  </sheetViews>
  <sheetFormatPr baseColWidth="10" defaultColWidth="11.42578125" defaultRowHeight="14.25" x14ac:dyDescent="0.25"/>
  <cols>
    <col min="1" max="1" width="4.5703125" style="105" customWidth="1"/>
    <col min="2" max="2" width="20.140625" style="105" customWidth="1"/>
    <col min="3" max="3" width="11.42578125" style="105"/>
    <col min="4" max="4" width="81.85546875" style="105" customWidth="1"/>
    <col min="5" max="5" width="78.28515625" style="105" customWidth="1"/>
    <col min="6" max="256" width="11.42578125" style="105"/>
    <col min="257" max="257" width="4.5703125" style="105" customWidth="1"/>
    <col min="258" max="258" width="20.140625" style="105" customWidth="1"/>
    <col min="259" max="259" width="11.42578125" style="105"/>
    <col min="260" max="260" width="81.85546875" style="105" customWidth="1"/>
    <col min="261" max="261" width="78.28515625" style="105" customWidth="1"/>
    <col min="262" max="512" width="11.42578125" style="105"/>
    <col min="513" max="513" width="4.5703125" style="105" customWidth="1"/>
    <col min="514" max="514" width="20.140625" style="105" customWidth="1"/>
    <col min="515" max="515" width="11.42578125" style="105"/>
    <col min="516" max="516" width="81.85546875" style="105" customWidth="1"/>
    <col min="517" max="517" width="78.28515625" style="105" customWidth="1"/>
    <col min="518" max="768" width="11.42578125" style="105"/>
    <col min="769" max="769" width="4.5703125" style="105" customWidth="1"/>
    <col min="770" max="770" width="20.140625" style="105" customWidth="1"/>
    <col min="771" max="771" width="11.42578125" style="105"/>
    <col min="772" max="772" width="81.85546875" style="105" customWidth="1"/>
    <col min="773" max="773" width="78.28515625" style="105" customWidth="1"/>
    <col min="774" max="1024" width="11.42578125" style="105"/>
    <col min="1025" max="1025" width="4.5703125" style="105" customWidth="1"/>
    <col min="1026" max="1026" width="20.140625" style="105" customWidth="1"/>
    <col min="1027" max="1027" width="11.42578125" style="105"/>
    <col min="1028" max="1028" width="81.85546875" style="105" customWidth="1"/>
    <col min="1029" max="1029" width="78.28515625" style="105" customWidth="1"/>
    <col min="1030" max="1280" width="11.42578125" style="105"/>
    <col min="1281" max="1281" width="4.5703125" style="105" customWidth="1"/>
    <col min="1282" max="1282" width="20.140625" style="105" customWidth="1"/>
    <col min="1283" max="1283" width="11.42578125" style="105"/>
    <col min="1284" max="1284" width="81.85546875" style="105" customWidth="1"/>
    <col min="1285" max="1285" width="78.28515625" style="105" customWidth="1"/>
    <col min="1286" max="1536" width="11.42578125" style="105"/>
    <col min="1537" max="1537" width="4.5703125" style="105" customWidth="1"/>
    <col min="1538" max="1538" width="20.140625" style="105" customWidth="1"/>
    <col min="1539" max="1539" width="11.42578125" style="105"/>
    <col min="1540" max="1540" width="81.85546875" style="105" customWidth="1"/>
    <col min="1541" max="1541" width="78.28515625" style="105" customWidth="1"/>
    <col min="1542" max="1792" width="11.42578125" style="105"/>
    <col min="1793" max="1793" width="4.5703125" style="105" customWidth="1"/>
    <col min="1794" max="1794" width="20.140625" style="105" customWidth="1"/>
    <col min="1795" max="1795" width="11.42578125" style="105"/>
    <col min="1796" max="1796" width="81.85546875" style="105" customWidth="1"/>
    <col min="1797" max="1797" width="78.28515625" style="105" customWidth="1"/>
    <col min="1798" max="2048" width="11.42578125" style="105"/>
    <col min="2049" max="2049" width="4.5703125" style="105" customWidth="1"/>
    <col min="2050" max="2050" width="20.140625" style="105" customWidth="1"/>
    <col min="2051" max="2051" width="11.42578125" style="105"/>
    <col min="2052" max="2052" width="81.85546875" style="105" customWidth="1"/>
    <col min="2053" max="2053" width="78.28515625" style="105" customWidth="1"/>
    <col min="2054" max="2304" width="11.42578125" style="105"/>
    <col min="2305" max="2305" width="4.5703125" style="105" customWidth="1"/>
    <col min="2306" max="2306" width="20.140625" style="105" customWidth="1"/>
    <col min="2307" max="2307" width="11.42578125" style="105"/>
    <col min="2308" max="2308" width="81.85546875" style="105" customWidth="1"/>
    <col min="2309" max="2309" width="78.28515625" style="105" customWidth="1"/>
    <col min="2310" max="2560" width="11.42578125" style="105"/>
    <col min="2561" max="2561" width="4.5703125" style="105" customWidth="1"/>
    <col min="2562" max="2562" width="20.140625" style="105" customWidth="1"/>
    <col min="2563" max="2563" width="11.42578125" style="105"/>
    <col min="2564" max="2564" width="81.85546875" style="105" customWidth="1"/>
    <col min="2565" max="2565" width="78.28515625" style="105" customWidth="1"/>
    <col min="2566" max="2816" width="11.42578125" style="105"/>
    <col min="2817" max="2817" width="4.5703125" style="105" customWidth="1"/>
    <col min="2818" max="2818" width="20.140625" style="105" customWidth="1"/>
    <col min="2819" max="2819" width="11.42578125" style="105"/>
    <col min="2820" max="2820" width="81.85546875" style="105" customWidth="1"/>
    <col min="2821" max="2821" width="78.28515625" style="105" customWidth="1"/>
    <col min="2822" max="3072" width="11.42578125" style="105"/>
    <col min="3073" max="3073" width="4.5703125" style="105" customWidth="1"/>
    <col min="3074" max="3074" width="20.140625" style="105" customWidth="1"/>
    <col min="3075" max="3075" width="11.42578125" style="105"/>
    <col min="3076" max="3076" width="81.85546875" style="105" customWidth="1"/>
    <col min="3077" max="3077" width="78.28515625" style="105" customWidth="1"/>
    <col min="3078" max="3328" width="11.42578125" style="105"/>
    <col min="3329" max="3329" width="4.5703125" style="105" customWidth="1"/>
    <col min="3330" max="3330" width="20.140625" style="105" customWidth="1"/>
    <col min="3331" max="3331" width="11.42578125" style="105"/>
    <col min="3332" max="3332" width="81.85546875" style="105" customWidth="1"/>
    <col min="3333" max="3333" width="78.28515625" style="105" customWidth="1"/>
    <col min="3334" max="3584" width="11.42578125" style="105"/>
    <col min="3585" max="3585" width="4.5703125" style="105" customWidth="1"/>
    <col min="3586" max="3586" width="20.140625" style="105" customWidth="1"/>
    <col min="3587" max="3587" width="11.42578125" style="105"/>
    <col min="3588" max="3588" width="81.85546875" style="105" customWidth="1"/>
    <col min="3589" max="3589" width="78.28515625" style="105" customWidth="1"/>
    <col min="3590" max="3840" width="11.42578125" style="105"/>
    <col min="3841" max="3841" width="4.5703125" style="105" customWidth="1"/>
    <col min="3842" max="3842" width="20.140625" style="105" customWidth="1"/>
    <col min="3843" max="3843" width="11.42578125" style="105"/>
    <col min="3844" max="3844" width="81.85546875" style="105" customWidth="1"/>
    <col min="3845" max="3845" width="78.28515625" style="105" customWidth="1"/>
    <col min="3846" max="4096" width="11.42578125" style="105"/>
    <col min="4097" max="4097" width="4.5703125" style="105" customWidth="1"/>
    <col min="4098" max="4098" width="20.140625" style="105" customWidth="1"/>
    <col min="4099" max="4099" width="11.42578125" style="105"/>
    <col min="4100" max="4100" width="81.85546875" style="105" customWidth="1"/>
    <col min="4101" max="4101" width="78.28515625" style="105" customWidth="1"/>
    <col min="4102" max="4352" width="11.42578125" style="105"/>
    <col min="4353" max="4353" width="4.5703125" style="105" customWidth="1"/>
    <col min="4354" max="4354" width="20.140625" style="105" customWidth="1"/>
    <col min="4355" max="4355" width="11.42578125" style="105"/>
    <col min="4356" max="4356" width="81.85546875" style="105" customWidth="1"/>
    <col min="4357" max="4357" width="78.28515625" style="105" customWidth="1"/>
    <col min="4358" max="4608" width="11.42578125" style="105"/>
    <col min="4609" max="4609" width="4.5703125" style="105" customWidth="1"/>
    <col min="4610" max="4610" width="20.140625" style="105" customWidth="1"/>
    <col min="4611" max="4611" width="11.42578125" style="105"/>
    <col min="4612" max="4612" width="81.85546875" style="105" customWidth="1"/>
    <col min="4613" max="4613" width="78.28515625" style="105" customWidth="1"/>
    <col min="4614" max="4864" width="11.42578125" style="105"/>
    <col min="4865" max="4865" width="4.5703125" style="105" customWidth="1"/>
    <col min="4866" max="4866" width="20.140625" style="105" customWidth="1"/>
    <col min="4867" max="4867" width="11.42578125" style="105"/>
    <col min="4868" max="4868" width="81.85546875" style="105" customWidth="1"/>
    <col min="4869" max="4869" width="78.28515625" style="105" customWidth="1"/>
    <col min="4870" max="5120" width="11.42578125" style="105"/>
    <col min="5121" max="5121" width="4.5703125" style="105" customWidth="1"/>
    <col min="5122" max="5122" width="20.140625" style="105" customWidth="1"/>
    <col min="5123" max="5123" width="11.42578125" style="105"/>
    <col min="5124" max="5124" width="81.85546875" style="105" customWidth="1"/>
    <col min="5125" max="5125" width="78.28515625" style="105" customWidth="1"/>
    <col min="5126" max="5376" width="11.42578125" style="105"/>
    <col min="5377" max="5377" width="4.5703125" style="105" customWidth="1"/>
    <col min="5378" max="5378" width="20.140625" style="105" customWidth="1"/>
    <col min="5379" max="5379" width="11.42578125" style="105"/>
    <col min="5380" max="5380" width="81.85546875" style="105" customWidth="1"/>
    <col min="5381" max="5381" width="78.28515625" style="105" customWidth="1"/>
    <col min="5382" max="5632" width="11.42578125" style="105"/>
    <col min="5633" max="5633" width="4.5703125" style="105" customWidth="1"/>
    <col min="5634" max="5634" width="20.140625" style="105" customWidth="1"/>
    <col min="5635" max="5635" width="11.42578125" style="105"/>
    <col min="5636" max="5636" width="81.85546875" style="105" customWidth="1"/>
    <col min="5637" max="5637" width="78.28515625" style="105" customWidth="1"/>
    <col min="5638" max="5888" width="11.42578125" style="105"/>
    <col min="5889" max="5889" width="4.5703125" style="105" customWidth="1"/>
    <col min="5890" max="5890" width="20.140625" style="105" customWidth="1"/>
    <col min="5891" max="5891" width="11.42578125" style="105"/>
    <col min="5892" max="5892" width="81.85546875" style="105" customWidth="1"/>
    <col min="5893" max="5893" width="78.28515625" style="105" customWidth="1"/>
    <col min="5894" max="6144" width="11.42578125" style="105"/>
    <col min="6145" max="6145" width="4.5703125" style="105" customWidth="1"/>
    <col min="6146" max="6146" width="20.140625" style="105" customWidth="1"/>
    <col min="6147" max="6147" width="11.42578125" style="105"/>
    <col min="6148" max="6148" width="81.85546875" style="105" customWidth="1"/>
    <col min="6149" max="6149" width="78.28515625" style="105" customWidth="1"/>
    <col min="6150" max="6400" width="11.42578125" style="105"/>
    <col min="6401" max="6401" width="4.5703125" style="105" customWidth="1"/>
    <col min="6402" max="6402" width="20.140625" style="105" customWidth="1"/>
    <col min="6403" max="6403" width="11.42578125" style="105"/>
    <col min="6404" max="6404" width="81.85546875" style="105" customWidth="1"/>
    <col min="6405" max="6405" width="78.28515625" style="105" customWidth="1"/>
    <col min="6406" max="6656" width="11.42578125" style="105"/>
    <col min="6657" max="6657" width="4.5703125" style="105" customWidth="1"/>
    <col min="6658" max="6658" width="20.140625" style="105" customWidth="1"/>
    <col min="6659" max="6659" width="11.42578125" style="105"/>
    <col min="6660" max="6660" width="81.85546875" style="105" customWidth="1"/>
    <col min="6661" max="6661" width="78.28515625" style="105" customWidth="1"/>
    <col min="6662" max="6912" width="11.42578125" style="105"/>
    <col min="6913" max="6913" width="4.5703125" style="105" customWidth="1"/>
    <col min="6914" max="6914" width="20.140625" style="105" customWidth="1"/>
    <col min="6915" max="6915" width="11.42578125" style="105"/>
    <col min="6916" max="6916" width="81.85546875" style="105" customWidth="1"/>
    <col min="6917" max="6917" width="78.28515625" style="105" customWidth="1"/>
    <col min="6918" max="7168" width="11.42578125" style="105"/>
    <col min="7169" max="7169" width="4.5703125" style="105" customWidth="1"/>
    <col min="7170" max="7170" width="20.140625" style="105" customWidth="1"/>
    <col min="7171" max="7171" width="11.42578125" style="105"/>
    <col min="7172" max="7172" width="81.85546875" style="105" customWidth="1"/>
    <col min="7173" max="7173" width="78.28515625" style="105" customWidth="1"/>
    <col min="7174" max="7424" width="11.42578125" style="105"/>
    <col min="7425" max="7425" width="4.5703125" style="105" customWidth="1"/>
    <col min="7426" max="7426" width="20.140625" style="105" customWidth="1"/>
    <col min="7427" max="7427" width="11.42578125" style="105"/>
    <col min="7428" max="7428" width="81.85546875" style="105" customWidth="1"/>
    <col min="7429" max="7429" width="78.28515625" style="105" customWidth="1"/>
    <col min="7430" max="7680" width="11.42578125" style="105"/>
    <col min="7681" max="7681" width="4.5703125" style="105" customWidth="1"/>
    <col min="7682" max="7682" width="20.140625" style="105" customWidth="1"/>
    <col min="7683" max="7683" width="11.42578125" style="105"/>
    <col min="7684" max="7684" width="81.85546875" style="105" customWidth="1"/>
    <col min="7685" max="7685" width="78.28515625" style="105" customWidth="1"/>
    <col min="7686" max="7936" width="11.42578125" style="105"/>
    <col min="7937" max="7937" width="4.5703125" style="105" customWidth="1"/>
    <col min="7938" max="7938" width="20.140625" style="105" customWidth="1"/>
    <col min="7939" max="7939" width="11.42578125" style="105"/>
    <col min="7940" max="7940" width="81.85546875" style="105" customWidth="1"/>
    <col min="7941" max="7941" width="78.28515625" style="105" customWidth="1"/>
    <col min="7942" max="8192" width="11.42578125" style="105"/>
    <col min="8193" max="8193" width="4.5703125" style="105" customWidth="1"/>
    <col min="8194" max="8194" width="20.140625" style="105" customWidth="1"/>
    <col min="8195" max="8195" width="11.42578125" style="105"/>
    <col min="8196" max="8196" width="81.85546875" style="105" customWidth="1"/>
    <col min="8197" max="8197" width="78.28515625" style="105" customWidth="1"/>
    <col min="8198" max="8448" width="11.42578125" style="105"/>
    <col min="8449" max="8449" width="4.5703125" style="105" customWidth="1"/>
    <col min="8450" max="8450" width="20.140625" style="105" customWidth="1"/>
    <col min="8451" max="8451" width="11.42578125" style="105"/>
    <col min="8452" max="8452" width="81.85546875" style="105" customWidth="1"/>
    <col min="8453" max="8453" width="78.28515625" style="105" customWidth="1"/>
    <col min="8454" max="8704" width="11.42578125" style="105"/>
    <col min="8705" max="8705" width="4.5703125" style="105" customWidth="1"/>
    <col min="8706" max="8706" width="20.140625" style="105" customWidth="1"/>
    <col min="8707" max="8707" width="11.42578125" style="105"/>
    <col min="8708" max="8708" width="81.85546875" style="105" customWidth="1"/>
    <col min="8709" max="8709" width="78.28515625" style="105" customWidth="1"/>
    <col min="8710" max="8960" width="11.42578125" style="105"/>
    <col min="8961" max="8961" width="4.5703125" style="105" customWidth="1"/>
    <col min="8962" max="8962" width="20.140625" style="105" customWidth="1"/>
    <col min="8963" max="8963" width="11.42578125" style="105"/>
    <col min="8964" max="8964" width="81.85546875" style="105" customWidth="1"/>
    <col min="8965" max="8965" width="78.28515625" style="105" customWidth="1"/>
    <col min="8966" max="9216" width="11.42578125" style="105"/>
    <col min="9217" max="9217" width="4.5703125" style="105" customWidth="1"/>
    <col min="9218" max="9218" width="20.140625" style="105" customWidth="1"/>
    <col min="9219" max="9219" width="11.42578125" style="105"/>
    <col min="9220" max="9220" width="81.85546875" style="105" customWidth="1"/>
    <col min="9221" max="9221" width="78.28515625" style="105" customWidth="1"/>
    <col min="9222" max="9472" width="11.42578125" style="105"/>
    <col min="9473" max="9473" width="4.5703125" style="105" customWidth="1"/>
    <col min="9474" max="9474" width="20.140625" style="105" customWidth="1"/>
    <col min="9475" max="9475" width="11.42578125" style="105"/>
    <col min="9476" max="9476" width="81.85546875" style="105" customWidth="1"/>
    <col min="9477" max="9477" width="78.28515625" style="105" customWidth="1"/>
    <col min="9478" max="9728" width="11.42578125" style="105"/>
    <col min="9729" max="9729" width="4.5703125" style="105" customWidth="1"/>
    <col min="9730" max="9730" width="20.140625" style="105" customWidth="1"/>
    <col min="9731" max="9731" width="11.42578125" style="105"/>
    <col min="9732" max="9732" width="81.85546875" style="105" customWidth="1"/>
    <col min="9733" max="9733" width="78.28515625" style="105" customWidth="1"/>
    <col min="9734" max="9984" width="11.42578125" style="105"/>
    <col min="9985" max="9985" width="4.5703125" style="105" customWidth="1"/>
    <col min="9986" max="9986" width="20.140625" style="105" customWidth="1"/>
    <col min="9987" max="9987" width="11.42578125" style="105"/>
    <col min="9988" max="9988" width="81.85546875" style="105" customWidth="1"/>
    <col min="9989" max="9989" width="78.28515625" style="105" customWidth="1"/>
    <col min="9990" max="10240" width="11.42578125" style="105"/>
    <col min="10241" max="10241" width="4.5703125" style="105" customWidth="1"/>
    <col min="10242" max="10242" width="20.140625" style="105" customWidth="1"/>
    <col min="10243" max="10243" width="11.42578125" style="105"/>
    <col min="10244" max="10244" width="81.85546875" style="105" customWidth="1"/>
    <col min="10245" max="10245" width="78.28515625" style="105" customWidth="1"/>
    <col min="10246" max="10496" width="11.42578125" style="105"/>
    <col min="10497" max="10497" width="4.5703125" style="105" customWidth="1"/>
    <col min="10498" max="10498" width="20.140625" style="105" customWidth="1"/>
    <col min="10499" max="10499" width="11.42578125" style="105"/>
    <col min="10500" max="10500" width="81.85546875" style="105" customWidth="1"/>
    <col min="10501" max="10501" width="78.28515625" style="105" customWidth="1"/>
    <col min="10502" max="10752" width="11.42578125" style="105"/>
    <col min="10753" max="10753" width="4.5703125" style="105" customWidth="1"/>
    <col min="10754" max="10754" width="20.140625" style="105" customWidth="1"/>
    <col min="10755" max="10755" width="11.42578125" style="105"/>
    <col min="10756" max="10756" width="81.85546875" style="105" customWidth="1"/>
    <col min="10757" max="10757" width="78.28515625" style="105" customWidth="1"/>
    <col min="10758" max="11008" width="11.42578125" style="105"/>
    <col min="11009" max="11009" width="4.5703125" style="105" customWidth="1"/>
    <col min="11010" max="11010" width="20.140625" style="105" customWidth="1"/>
    <col min="11011" max="11011" width="11.42578125" style="105"/>
    <col min="11012" max="11012" width="81.85546875" style="105" customWidth="1"/>
    <col min="11013" max="11013" width="78.28515625" style="105" customWidth="1"/>
    <col min="11014" max="11264" width="11.42578125" style="105"/>
    <col min="11265" max="11265" width="4.5703125" style="105" customWidth="1"/>
    <col min="11266" max="11266" width="20.140625" style="105" customWidth="1"/>
    <col min="11267" max="11267" width="11.42578125" style="105"/>
    <col min="11268" max="11268" width="81.85546875" style="105" customWidth="1"/>
    <col min="11269" max="11269" width="78.28515625" style="105" customWidth="1"/>
    <col min="11270" max="11520" width="11.42578125" style="105"/>
    <col min="11521" max="11521" width="4.5703125" style="105" customWidth="1"/>
    <col min="11522" max="11522" width="20.140625" style="105" customWidth="1"/>
    <col min="11523" max="11523" width="11.42578125" style="105"/>
    <col min="11524" max="11524" width="81.85546875" style="105" customWidth="1"/>
    <col min="11525" max="11525" width="78.28515625" style="105" customWidth="1"/>
    <col min="11526" max="11776" width="11.42578125" style="105"/>
    <col min="11777" max="11777" width="4.5703125" style="105" customWidth="1"/>
    <col min="11778" max="11778" width="20.140625" style="105" customWidth="1"/>
    <col min="11779" max="11779" width="11.42578125" style="105"/>
    <col min="11780" max="11780" width="81.85546875" style="105" customWidth="1"/>
    <col min="11781" max="11781" width="78.28515625" style="105" customWidth="1"/>
    <col min="11782" max="12032" width="11.42578125" style="105"/>
    <col min="12033" max="12033" width="4.5703125" style="105" customWidth="1"/>
    <col min="12034" max="12034" width="20.140625" style="105" customWidth="1"/>
    <col min="12035" max="12035" width="11.42578125" style="105"/>
    <col min="12036" max="12036" width="81.85546875" style="105" customWidth="1"/>
    <col min="12037" max="12037" width="78.28515625" style="105" customWidth="1"/>
    <col min="12038" max="12288" width="11.42578125" style="105"/>
    <col min="12289" max="12289" width="4.5703125" style="105" customWidth="1"/>
    <col min="12290" max="12290" width="20.140625" style="105" customWidth="1"/>
    <col min="12291" max="12291" width="11.42578125" style="105"/>
    <col min="12292" max="12292" width="81.85546875" style="105" customWidth="1"/>
    <col min="12293" max="12293" width="78.28515625" style="105" customWidth="1"/>
    <col min="12294" max="12544" width="11.42578125" style="105"/>
    <col min="12545" max="12545" width="4.5703125" style="105" customWidth="1"/>
    <col min="12546" max="12546" width="20.140625" style="105" customWidth="1"/>
    <col min="12547" max="12547" width="11.42578125" style="105"/>
    <col min="12548" max="12548" width="81.85546875" style="105" customWidth="1"/>
    <col min="12549" max="12549" width="78.28515625" style="105" customWidth="1"/>
    <col min="12550" max="12800" width="11.42578125" style="105"/>
    <col min="12801" max="12801" width="4.5703125" style="105" customWidth="1"/>
    <col min="12802" max="12802" width="20.140625" style="105" customWidth="1"/>
    <col min="12803" max="12803" width="11.42578125" style="105"/>
    <col min="12804" max="12804" width="81.85546875" style="105" customWidth="1"/>
    <col min="12805" max="12805" width="78.28515625" style="105" customWidth="1"/>
    <col min="12806" max="13056" width="11.42578125" style="105"/>
    <col min="13057" max="13057" width="4.5703125" style="105" customWidth="1"/>
    <col min="13058" max="13058" width="20.140625" style="105" customWidth="1"/>
    <col min="13059" max="13059" width="11.42578125" style="105"/>
    <col min="13060" max="13060" width="81.85546875" style="105" customWidth="1"/>
    <col min="13061" max="13061" width="78.28515625" style="105" customWidth="1"/>
    <col min="13062" max="13312" width="11.42578125" style="105"/>
    <col min="13313" max="13313" width="4.5703125" style="105" customWidth="1"/>
    <col min="13314" max="13314" width="20.140625" style="105" customWidth="1"/>
    <col min="13315" max="13315" width="11.42578125" style="105"/>
    <col min="13316" max="13316" width="81.85546875" style="105" customWidth="1"/>
    <col min="13317" max="13317" width="78.28515625" style="105" customWidth="1"/>
    <col min="13318" max="13568" width="11.42578125" style="105"/>
    <col min="13569" max="13569" width="4.5703125" style="105" customWidth="1"/>
    <col min="13570" max="13570" width="20.140625" style="105" customWidth="1"/>
    <col min="13571" max="13571" width="11.42578125" style="105"/>
    <col min="13572" max="13572" width="81.85546875" style="105" customWidth="1"/>
    <col min="13573" max="13573" width="78.28515625" style="105" customWidth="1"/>
    <col min="13574" max="13824" width="11.42578125" style="105"/>
    <col min="13825" max="13825" width="4.5703125" style="105" customWidth="1"/>
    <col min="13826" max="13826" width="20.140625" style="105" customWidth="1"/>
    <col min="13827" max="13827" width="11.42578125" style="105"/>
    <col min="13828" max="13828" width="81.85546875" style="105" customWidth="1"/>
    <col min="13829" max="13829" width="78.28515625" style="105" customWidth="1"/>
    <col min="13830" max="14080" width="11.42578125" style="105"/>
    <col min="14081" max="14081" width="4.5703125" style="105" customWidth="1"/>
    <col min="14082" max="14082" width="20.140625" style="105" customWidth="1"/>
    <col min="14083" max="14083" width="11.42578125" style="105"/>
    <col min="14084" max="14084" width="81.85546875" style="105" customWidth="1"/>
    <col min="14085" max="14085" width="78.28515625" style="105" customWidth="1"/>
    <col min="14086" max="14336" width="11.42578125" style="105"/>
    <col min="14337" max="14337" width="4.5703125" style="105" customWidth="1"/>
    <col min="14338" max="14338" width="20.140625" style="105" customWidth="1"/>
    <col min="14339" max="14339" width="11.42578125" style="105"/>
    <col min="14340" max="14340" width="81.85546875" style="105" customWidth="1"/>
    <col min="14341" max="14341" width="78.28515625" style="105" customWidth="1"/>
    <col min="14342" max="14592" width="11.42578125" style="105"/>
    <col min="14593" max="14593" width="4.5703125" style="105" customWidth="1"/>
    <col min="14594" max="14594" width="20.140625" style="105" customWidth="1"/>
    <col min="14595" max="14595" width="11.42578125" style="105"/>
    <col min="14596" max="14596" width="81.85546875" style="105" customWidth="1"/>
    <col min="14597" max="14597" width="78.28515625" style="105" customWidth="1"/>
    <col min="14598" max="14848" width="11.42578125" style="105"/>
    <col min="14849" max="14849" width="4.5703125" style="105" customWidth="1"/>
    <col min="14850" max="14850" width="20.140625" style="105" customWidth="1"/>
    <col min="14851" max="14851" width="11.42578125" style="105"/>
    <col min="14852" max="14852" width="81.85546875" style="105" customWidth="1"/>
    <col min="14853" max="14853" width="78.28515625" style="105" customWidth="1"/>
    <col min="14854" max="15104" width="11.42578125" style="105"/>
    <col min="15105" max="15105" width="4.5703125" style="105" customWidth="1"/>
    <col min="15106" max="15106" width="20.140625" style="105" customWidth="1"/>
    <col min="15107" max="15107" width="11.42578125" style="105"/>
    <col min="15108" max="15108" width="81.85546875" style="105" customWidth="1"/>
    <col min="15109" max="15109" width="78.28515625" style="105" customWidth="1"/>
    <col min="15110" max="15360" width="11.42578125" style="105"/>
    <col min="15361" max="15361" width="4.5703125" style="105" customWidth="1"/>
    <col min="15362" max="15362" width="20.140625" style="105" customWidth="1"/>
    <col min="15363" max="15363" width="11.42578125" style="105"/>
    <col min="15364" max="15364" width="81.85546875" style="105" customWidth="1"/>
    <col min="15365" max="15365" width="78.28515625" style="105" customWidth="1"/>
    <col min="15366" max="15616" width="11.42578125" style="105"/>
    <col min="15617" max="15617" width="4.5703125" style="105" customWidth="1"/>
    <col min="15618" max="15618" width="20.140625" style="105" customWidth="1"/>
    <col min="15619" max="15619" width="11.42578125" style="105"/>
    <col min="15620" max="15620" width="81.85546875" style="105" customWidth="1"/>
    <col min="15621" max="15621" width="78.28515625" style="105" customWidth="1"/>
    <col min="15622" max="15872" width="11.42578125" style="105"/>
    <col min="15873" max="15873" width="4.5703125" style="105" customWidth="1"/>
    <col min="15874" max="15874" width="20.140625" style="105" customWidth="1"/>
    <col min="15875" max="15875" width="11.42578125" style="105"/>
    <col min="15876" max="15876" width="81.85546875" style="105" customWidth="1"/>
    <col min="15877" max="15877" width="78.28515625" style="105" customWidth="1"/>
    <col min="15878" max="16128" width="11.42578125" style="105"/>
    <col min="16129" max="16129" width="4.5703125" style="105" customWidth="1"/>
    <col min="16130" max="16130" width="20.140625" style="105" customWidth="1"/>
    <col min="16131" max="16131" width="11.42578125" style="105"/>
    <col min="16132" max="16132" width="81.85546875" style="105" customWidth="1"/>
    <col min="16133" max="16133" width="78.28515625" style="105" customWidth="1"/>
    <col min="16134" max="16384" width="11.42578125" style="105"/>
  </cols>
  <sheetData>
    <row r="1" spans="2:6" ht="22.5" customHeight="1" thickBot="1" x14ac:dyDescent="0.3"/>
    <row r="2" spans="2:6" ht="32.25" customHeight="1" thickBot="1" x14ac:dyDescent="0.3">
      <c r="B2" s="392" t="s">
        <v>200</v>
      </c>
      <c r="C2" s="393"/>
      <c r="D2" s="394"/>
    </row>
    <row r="3" spans="2:6" ht="22.5" customHeight="1" thickBot="1" x14ac:dyDescent="0.3">
      <c r="B3" s="106" t="s">
        <v>201</v>
      </c>
      <c r="C3" s="107" t="s">
        <v>202</v>
      </c>
      <c r="D3" s="107" t="s">
        <v>203</v>
      </c>
      <c r="E3" s="108"/>
    </row>
    <row r="4" spans="2:6" ht="27" customHeight="1" thickTop="1" x14ac:dyDescent="0.25">
      <c r="B4" s="395" t="s">
        <v>204</v>
      </c>
      <c r="C4" s="109" t="s">
        <v>205</v>
      </c>
      <c r="D4" s="110" t="s">
        <v>206</v>
      </c>
      <c r="E4" s="111"/>
      <c r="F4" s="112"/>
    </row>
    <row r="5" spans="2:6" ht="27" customHeight="1" x14ac:dyDescent="0.25">
      <c r="B5" s="390"/>
      <c r="C5" s="113" t="s">
        <v>207</v>
      </c>
      <c r="D5" s="114" t="s">
        <v>208</v>
      </c>
      <c r="E5" s="115"/>
      <c r="F5" s="112"/>
    </row>
    <row r="6" spans="2:6" s="116" customFormat="1" ht="27" customHeight="1" x14ac:dyDescent="0.25">
      <c r="B6" s="390"/>
      <c r="C6" s="113" t="s">
        <v>209</v>
      </c>
      <c r="D6" s="114" t="s">
        <v>210</v>
      </c>
      <c r="E6" s="115"/>
      <c r="F6" s="112"/>
    </row>
    <row r="7" spans="2:6" s="116" customFormat="1" ht="27" customHeight="1" x14ac:dyDescent="0.25">
      <c r="B7" s="390"/>
      <c r="C7" s="113" t="s">
        <v>211</v>
      </c>
      <c r="D7" s="114" t="s">
        <v>212</v>
      </c>
      <c r="E7" s="115"/>
      <c r="F7" s="112"/>
    </row>
    <row r="8" spans="2:6" s="116" customFormat="1" ht="27" customHeight="1" x14ac:dyDescent="0.25">
      <c r="B8" s="390"/>
      <c r="C8" s="113" t="s">
        <v>213</v>
      </c>
      <c r="D8" s="114" t="s">
        <v>214</v>
      </c>
      <c r="E8" s="117"/>
      <c r="F8" s="112"/>
    </row>
    <row r="9" spans="2:6" s="116" customFormat="1" ht="27" customHeight="1" x14ac:dyDescent="0.25">
      <c r="B9" s="390"/>
      <c r="C9" s="113" t="s">
        <v>215</v>
      </c>
      <c r="D9" s="114" t="s">
        <v>216</v>
      </c>
      <c r="E9" s="117"/>
      <c r="F9" s="112"/>
    </row>
    <row r="10" spans="2:6" s="116" customFormat="1" ht="27" customHeight="1" x14ac:dyDescent="0.25">
      <c r="B10" s="390"/>
      <c r="C10" s="113" t="s">
        <v>217</v>
      </c>
      <c r="D10" s="114" t="s">
        <v>218</v>
      </c>
      <c r="E10" s="115"/>
      <c r="F10" s="112"/>
    </row>
    <row r="11" spans="2:6" s="116" customFormat="1" ht="27" customHeight="1" x14ac:dyDescent="0.25">
      <c r="B11" s="390"/>
      <c r="C11" s="113" t="s">
        <v>219</v>
      </c>
      <c r="D11" s="114" t="s">
        <v>220</v>
      </c>
      <c r="E11" s="115"/>
      <c r="F11" s="112"/>
    </row>
    <row r="12" spans="2:6" s="116" customFormat="1" ht="27" customHeight="1" x14ac:dyDescent="0.25">
      <c r="B12" s="390"/>
      <c r="C12" s="113" t="s">
        <v>221</v>
      </c>
      <c r="D12" s="114" t="s">
        <v>222</v>
      </c>
      <c r="E12" s="115"/>
      <c r="F12" s="112"/>
    </row>
    <row r="13" spans="2:6" s="116" customFormat="1" ht="27" customHeight="1" x14ac:dyDescent="0.25">
      <c r="B13" s="390"/>
      <c r="C13" s="113" t="s">
        <v>223</v>
      </c>
      <c r="D13" s="114" t="s">
        <v>224</v>
      </c>
      <c r="E13" s="115"/>
      <c r="F13" s="112"/>
    </row>
    <row r="14" spans="2:6" s="116" customFormat="1" ht="27" customHeight="1" x14ac:dyDescent="0.25">
      <c r="B14" s="390"/>
      <c r="C14" s="113" t="s">
        <v>225</v>
      </c>
      <c r="D14" s="114" t="s">
        <v>226</v>
      </c>
      <c r="E14" s="115"/>
      <c r="F14" s="112"/>
    </row>
    <row r="15" spans="2:6" s="116" customFormat="1" ht="27" customHeight="1" x14ac:dyDescent="0.25">
      <c r="B15" s="390"/>
      <c r="C15" s="113" t="s">
        <v>227</v>
      </c>
      <c r="D15" s="114" t="s">
        <v>228</v>
      </c>
      <c r="E15" s="117"/>
      <c r="F15" s="112"/>
    </row>
    <row r="16" spans="2:6" s="116" customFormat="1" ht="27" customHeight="1" x14ac:dyDescent="0.25">
      <c r="B16" s="390"/>
      <c r="C16" s="113" t="s">
        <v>229</v>
      </c>
      <c r="D16" s="114" t="s">
        <v>230</v>
      </c>
      <c r="E16" s="115"/>
      <c r="F16" s="112"/>
    </row>
    <row r="17" spans="2:6" s="116" customFormat="1" ht="27" customHeight="1" x14ac:dyDescent="0.25">
      <c r="B17" s="390"/>
      <c r="C17" s="113" t="s">
        <v>231</v>
      </c>
      <c r="D17" s="114" t="s">
        <v>232</v>
      </c>
      <c r="E17" s="115"/>
      <c r="F17" s="112"/>
    </row>
    <row r="18" spans="2:6" s="116" customFormat="1" ht="27" customHeight="1" thickBot="1" x14ac:dyDescent="0.3">
      <c r="B18" s="396"/>
      <c r="C18" s="118" t="s">
        <v>233</v>
      </c>
      <c r="D18" s="119" t="s">
        <v>234</v>
      </c>
      <c r="E18" s="115"/>
      <c r="F18" s="112"/>
    </row>
    <row r="19" spans="2:6" s="116" customFormat="1" ht="27" customHeight="1" x14ac:dyDescent="0.25">
      <c r="B19" s="397" t="s">
        <v>235</v>
      </c>
      <c r="C19" s="120" t="s">
        <v>236</v>
      </c>
      <c r="D19" s="121" t="s">
        <v>237</v>
      </c>
      <c r="E19" s="115"/>
      <c r="F19" s="112"/>
    </row>
    <row r="20" spans="2:6" s="116" customFormat="1" ht="27" customHeight="1" x14ac:dyDescent="0.25">
      <c r="B20" s="390"/>
      <c r="C20" s="113" t="s">
        <v>238</v>
      </c>
      <c r="D20" s="114" t="s">
        <v>239</v>
      </c>
      <c r="E20" s="115"/>
      <c r="F20" s="112"/>
    </row>
    <row r="21" spans="2:6" s="116" customFormat="1" ht="27" customHeight="1" x14ac:dyDescent="0.25">
      <c r="B21" s="390"/>
      <c r="C21" s="113" t="s">
        <v>240</v>
      </c>
      <c r="D21" s="114" t="s">
        <v>241</v>
      </c>
      <c r="E21" s="115"/>
      <c r="F21" s="112"/>
    </row>
    <row r="22" spans="2:6" s="116" customFormat="1" ht="27" customHeight="1" x14ac:dyDescent="0.25">
      <c r="B22" s="390"/>
      <c r="C22" s="113" t="s">
        <v>242</v>
      </c>
      <c r="D22" s="114" t="s">
        <v>243</v>
      </c>
      <c r="E22" s="115"/>
      <c r="F22" s="112"/>
    </row>
    <row r="23" spans="2:6" s="116" customFormat="1" ht="27" customHeight="1" x14ac:dyDescent="0.25">
      <c r="B23" s="390"/>
      <c r="C23" s="113" t="s">
        <v>244</v>
      </c>
      <c r="D23" s="114" t="s">
        <v>245</v>
      </c>
      <c r="E23" s="115"/>
      <c r="F23" s="112"/>
    </row>
    <row r="24" spans="2:6" s="116" customFormat="1" ht="27" customHeight="1" x14ac:dyDescent="0.25">
      <c r="B24" s="390"/>
      <c r="C24" s="113" t="s">
        <v>246</v>
      </c>
      <c r="D24" s="114" t="s">
        <v>247</v>
      </c>
      <c r="E24" s="115"/>
      <c r="F24" s="112"/>
    </row>
    <row r="25" spans="2:6" s="116" customFormat="1" ht="27" customHeight="1" x14ac:dyDescent="0.25">
      <c r="B25" s="390"/>
      <c r="C25" s="113" t="s">
        <v>248</v>
      </c>
      <c r="D25" s="114" t="s">
        <v>249</v>
      </c>
      <c r="E25" s="115"/>
      <c r="F25" s="112"/>
    </row>
    <row r="26" spans="2:6" s="116" customFormat="1" ht="27" customHeight="1" x14ac:dyDescent="0.25">
      <c r="B26" s="390"/>
      <c r="C26" s="113" t="s">
        <v>250</v>
      </c>
      <c r="D26" s="114" t="s">
        <v>251</v>
      </c>
      <c r="E26" s="115"/>
      <c r="F26" s="112"/>
    </row>
    <row r="27" spans="2:6" s="116" customFormat="1" ht="27" customHeight="1" x14ac:dyDescent="0.25">
      <c r="B27" s="390"/>
      <c r="C27" s="113" t="s">
        <v>252</v>
      </c>
      <c r="D27" s="114" t="s">
        <v>253</v>
      </c>
      <c r="E27" s="117"/>
      <c r="F27" s="112"/>
    </row>
    <row r="28" spans="2:6" s="116" customFormat="1" ht="27" customHeight="1" x14ac:dyDescent="0.25">
      <c r="B28" s="390"/>
      <c r="C28" s="113" t="s">
        <v>254</v>
      </c>
      <c r="D28" s="114" t="s">
        <v>255</v>
      </c>
      <c r="E28" s="117"/>
      <c r="F28" s="112"/>
    </row>
    <row r="29" spans="2:6" s="116" customFormat="1" ht="27" customHeight="1" x14ac:dyDescent="0.25">
      <c r="B29" s="390"/>
      <c r="C29" s="113" t="s">
        <v>256</v>
      </c>
      <c r="D29" s="114" t="s">
        <v>257</v>
      </c>
      <c r="E29" s="115"/>
      <c r="F29" s="112"/>
    </row>
    <row r="30" spans="2:6" s="116" customFormat="1" ht="27" customHeight="1" x14ac:dyDescent="0.25">
      <c r="B30" s="390"/>
      <c r="C30" s="113" t="s">
        <v>258</v>
      </c>
      <c r="D30" s="114" t="s">
        <v>259</v>
      </c>
      <c r="E30" s="117"/>
      <c r="F30" s="112"/>
    </row>
    <row r="31" spans="2:6" s="116" customFormat="1" ht="27" customHeight="1" x14ac:dyDescent="0.25">
      <c r="B31" s="390"/>
      <c r="C31" s="113" t="s">
        <v>260</v>
      </c>
      <c r="D31" s="114" t="s">
        <v>261</v>
      </c>
      <c r="E31" s="117"/>
      <c r="F31" s="112"/>
    </row>
    <row r="32" spans="2:6" s="116" customFormat="1" ht="27" customHeight="1" x14ac:dyDescent="0.25">
      <c r="B32" s="390"/>
      <c r="C32" s="113" t="s">
        <v>262</v>
      </c>
      <c r="D32" s="114" t="s">
        <v>263</v>
      </c>
      <c r="E32" s="117"/>
      <c r="F32" s="112"/>
    </row>
    <row r="33" spans="2:6" s="116" customFormat="1" ht="27" customHeight="1" x14ac:dyDescent="0.25">
      <c r="B33" s="390"/>
      <c r="C33" s="113" t="s">
        <v>264</v>
      </c>
      <c r="D33" s="114" t="s">
        <v>265</v>
      </c>
      <c r="E33" s="117"/>
      <c r="F33" s="112"/>
    </row>
    <row r="34" spans="2:6" s="116" customFormat="1" ht="27" customHeight="1" x14ac:dyDescent="0.25">
      <c r="B34" s="390"/>
      <c r="C34" s="113" t="s">
        <v>266</v>
      </c>
      <c r="D34" s="114" t="s">
        <v>267</v>
      </c>
      <c r="E34" s="117"/>
      <c r="F34" s="112"/>
    </row>
    <row r="35" spans="2:6" s="116" customFormat="1" ht="27" customHeight="1" x14ac:dyDescent="0.25">
      <c r="B35" s="390"/>
      <c r="C35" s="113" t="s">
        <v>268</v>
      </c>
      <c r="D35" s="114" t="s">
        <v>269</v>
      </c>
      <c r="E35" s="117"/>
      <c r="F35" s="112"/>
    </row>
    <row r="36" spans="2:6" s="116" customFormat="1" ht="41.25" customHeight="1" x14ac:dyDescent="0.25">
      <c r="B36" s="390"/>
      <c r="C36" s="113" t="s">
        <v>270</v>
      </c>
      <c r="D36" s="114" t="s">
        <v>271</v>
      </c>
      <c r="E36" s="117"/>
      <c r="F36" s="112"/>
    </row>
    <row r="37" spans="2:6" s="116" customFormat="1" ht="46.5" customHeight="1" x14ac:dyDescent="0.25">
      <c r="B37" s="390"/>
      <c r="C37" s="113" t="s">
        <v>272</v>
      </c>
      <c r="D37" s="114" t="s">
        <v>273</v>
      </c>
      <c r="E37" s="117"/>
      <c r="F37" s="112"/>
    </row>
    <row r="38" spans="2:6" s="116" customFormat="1" ht="27" customHeight="1" x14ac:dyDescent="0.25">
      <c r="B38" s="390"/>
      <c r="C38" s="113" t="s">
        <v>274</v>
      </c>
      <c r="D38" s="122" t="s">
        <v>275</v>
      </c>
      <c r="E38" s="117"/>
      <c r="F38" s="112"/>
    </row>
    <row r="39" spans="2:6" s="116" customFormat="1" ht="27" customHeight="1" x14ac:dyDescent="0.25">
      <c r="B39" s="390"/>
      <c r="C39" s="113" t="s">
        <v>276</v>
      </c>
      <c r="D39" s="122" t="s">
        <v>277</v>
      </c>
      <c r="E39" s="117"/>
      <c r="F39" s="112"/>
    </row>
    <row r="40" spans="2:6" s="116" customFormat="1" ht="27" customHeight="1" x14ac:dyDescent="0.25">
      <c r="B40" s="390"/>
      <c r="C40" s="113" t="s">
        <v>278</v>
      </c>
      <c r="D40" s="122" t="s">
        <v>279</v>
      </c>
      <c r="E40" s="115"/>
      <c r="F40" s="112"/>
    </row>
    <row r="41" spans="2:6" s="116" customFormat="1" ht="27" customHeight="1" x14ac:dyDescent="0.25">
      <c r="B41" s="390"/>
      <c r="C41" s="113" t="s">
        <v>280</v>
      </c>
      <c r="D41" s="122" t="s">
        <v>281</v>
      </c>
      <c r="E41" s="115"/>
      <c r="F41" s="112"/>
    </row>
    <row r="42" spans="2:6" s="116" customFormat="1" ht="27" customHeight="1" x14ac:dyDescent="0.25">
      <c r="B42" s="390"/>
      <c r="C42" s="113" t="s">
        <v>282</v>
      </c>
      <c r="D42" s="122" t="s">
        <v>283</v>
      </c>
      <c r="E42" s="117"/>
      <c r="F42" s="112"/>
    </row>
    <row r="43" spans="2:6" s="116" customFormat="1" ht="27" customHeight="1" x14ac:dyDescent="0.25">
      <c r="B43" s="390"/>
      <c r="C43" s="113" t="s">
        <v>284</v>
      </c>
      <c r="D43" s="122" t="s">
        <v>285</v>
      </c>
      <c r="E43" s="115"/>
      <c r="F43" s="112"/>
    </row>
    <row r="44" spans="2:6" s="116" customFormat="1" ht="27" customHeight="1" x14ac:dyDescent="0.25">
      <c r="B44" s="390"/>
      <c r="C44" s="113" t="s">
        <v>286</v>
      </c>
      <c r="D44" s="122" t="s">
        <v>287</v>
      </c>
      <c r="E44" s="115"/>
      <c r="F44" s="112"/>
    </row>
    <row r="45" spans="2:6" s="116" customFormat="1" ht="27" customHeight="1" x14ac:dyDescent="0.25">
      <c r="B45" s="390"/>
      <c r="C45" s="113" t="s">
        <v>288</v>
      </c>
      <c r="D45" s="114" t="s">
        <v>289</v>
      </c>
      <c r="E45" s="115"/>
      <c r="F45" s="112"/>
    </row>
    <row r="46" spans="2:6" s="116" customFormat="1" ht="27" customHeight="1" x14ac:dyDescent="0.25">
      <c r="B46" s="390"/>
      <c r="C46" s="113" t="s">
        <v>290</v>
      </c>
      <c r="D46" s="114" t="s">
        <v>291</v>
      </c>
      <c r="E46" s="115"/>
      <c r="F46" s="112"/>
    </row>
    <row r="47" spans="2:6" s="116" customFormat="1" ht="27" customHeight="1" x14ac:dyDescent="0.25">
      <c r="B47" s="390"/>
      <c r="C47" s="113" t="s">
        <v>292</v>
      </c>
      <c r="D47" s="114" t="s">
        <v>293</v>
      </c>
      <c r="E47" s="117"/>
      <c r="F47" s="112"/>
    </row>
    <row r="48" spans="2:6" s="116" customFormat="1" ht="27" customHeight="1" x14ac:dyDescent="0.25">
      <c r="B48" s="390"/>
      <c r="C48" s="113" t="s">
        <v>294</v>
      </c>
      <c r="D48" s="114" t="s">
        <v>295</v>
      </c>
      <c r="E48" s="115"/>
      <c r="F48" s="112"/>
    </row>
    <row r="49" spans="2:6" s="116" customFormat="1" ht="27" customHeight="1" x14ac:dyDescent="0.25">
      <c r="B49" s="390"/>
      <c r="C49" s="113" t="s">
        <v>296</v>
      </c>
      <c r="D49" s="114" t="s">
        <v>297</v>
      </c>
      <c r="E49" s="115"/>
      <c r="F49" s="112"/>
    </row>
    <row r="50" spans="2:6" s="116" customFormat="1" ht="27" customHeight="1" x14ac:dyDescent="0.25">
      <c r="B50" s="390"/>
      <c r="C50" s="113" t="s">
        <v>298</v>
      </c>
      <c r="D50" s="114" t="s">
        <v>299</v>
      </c>
      <c r="E50" s="115"/>
      <c r="F50" s="112"/>
    </row>
    <row r="51" spans="2:6" s="116" customFormat="1" ht="27" customHeight="1" x14ac:dyDescent="0.25">
      <c r="B51" s="390"/>
      <c r="C51" s="113" t="s">
        <v>300</v>
      </c>
      <c r="D51" s="114" t="s">
        <v>301</v>
      </c>
      <c r="E51" s="115"/>
      <c r="F51" s="112"/>
    </row>
    <row r="52" spans="2:6" s="116" customFormat="1" ht="27" customHeight="1" thickBot="1" x14ac:dyDescent="0.3">
      <c r="B52" s="396"/>
      <c r="C52" s="118" t="s">
        <v>302</v>
      </c>
      <c r="D52" s="119" t="s">
        <v>303</v>
      </c>
      <c r="E52" s="115"/>
      <c r="F52" s="112"/>
    </row>
    <row r="53" spans="2:6" s="116" customFormat="1" ht="27" customHeight="1" x14ac:dyDescent="0.25">
      <c r="B53" s="397" t="s">
        <v>304</v>
      </c>
      <c r="C53" s="120" t="s">
        <v>305</v>
      </c>
      <c r="D53" s="121" t="s">
        <v>306</v>
      </c>
      <c r="E53" s="115"/>
      <c r="F53" s="112"/>
    </row>
    <row r="54" spans="2:6" s="116" customFormat="1" ht="27" customHeight="1" x14ac:dyDescent="0.25">
      <c r="B54" s="390"/>
      <c r="C54" s="113" t="s">
        <v>307</v>
      </c>
      <c r="D54" s="114" t="s">
        <v>308</v>
      </c>
      <c r="E54" s="115"/>
      <c r="F54" s="112"/>
    </row>
    <row r="55" spans="2:6" s="116" customFormat="1" ht="39" customHeight="1" x14ac:dyDescent="0.25">
      <c r="B55" s="390"/>
      <c r="C55" s="113" t="s">
        <v>309</v>
      </c>
      <c r="D55" s="114" t="s">
        <v>310</v>
      </c>
      <c r="E55" s="115"/>
      <c r="F55" s="112"/>
    </row>
    <row r="56" spans="2:6" s="116" customFormat="1" ht="27" customHeight="1" x14ac:dyDescent="0.25">
      <c r="B56" s="390"/>
      <c r="C56" s="113" t="s">
        <v>311</v>
      </c>
      <c r="D56" s="114" t="s">
        <v>312</v>
      </c>
      <c r="E56" s="117"/>
      <c r="F56" s="112"/>
    </row>
    <row r="57" spans="2:6" s="116" customFormat="1" ht="27" customHeight="1" x14ac:dyDescent="0.25">
      <c r="B57" s="390"/>
      <c r="C57" s="113" t="s">
        <v>313</v>
      </c>
      <c r="D57" s="114" t="s">
        <v>314</v>
      </c>
      <c r="E57" s="117"/>
      <c r="F57" s="112"/>
    </row>
    <row r="58" spans="2:6" s="116" customFormat="1" ht="27" customHeight="1" x14ac:dyDescent="0.25">
      <c r="B58" s="390"/>
      <c r="C58" s="113" t="s">
        <v>315</v>
      </c>
      <c r="D58" s="114" t="s">
        <v>316</v>
      </c>
      <c r="E58" s="115"/>
      <c r="F58" s="112"/>
    </row>
    <row r="59" spans="2:6" s="116" customFormat="1" ht="27" customHeight="1" x14ac:dyDescent="0.25">
      <c r="B59" s="390"/>
      <c r="C59" s="113" t="s">
        <v>317</v>
      </c>
      <c r="D59" s="114" t="s">
        <v>318</v>
      </c>
      <c r="E59" s="115"/>
      <c r="F59" s="112"/>
    </row>
    <row r="60" spans="2:6" s="116" customFormat="1" ht="27" customHeight="1" x14ac:dyDescent="0.25">
      <c r="B60" s="390"/>
      <c r="C60" s="113" t="s">
        <v>319</v>
      </c>
      <c r="D60" s="114" t="s">
        <v>320</v>
      </c>
      <c r="E60" s="115"/>
      <c r="F60" s="112"/>
    </row>
    <row r="61" spans="2:6" s="116" customFormat="1" ht="27" customHeight="1" x14ac:dyDescent="0.25">
      <c r="B61" s="390"/>
      <c r="C61" s="113" t="s">
        <v>321</v>
      </c>
      <c r="D61" s="114" t="s">
        <v>322</v>
      </c>
      <c r="E61" s="115"/>
      <c r="F61" s="112"/>
    </row>
    <row r="62" spans="2:6" s="116" customFormat="1" ht="27" customHeight="1" x14ac:dyDescent="0.25">
      <c r="B62" s="390"/>
      <c r="C62" s="282" t="s">
        <v>323</v>
      </c>
      <c r="D62" s="114" t="s">
        <v>324</v>
      </c>
      <c r="E62" s="117"/>
      <c r="F62" s="112"/>
    </row>
    <row r="63" spans="2:6" s="116" customFormat="1" ht="27" customHeight="1" x14ac:dyDescent="0.25">
      <c r="B63" s="398"/>
      <c r="C63" s="113" t="s">
        <v>325</v>
      </c>
      <c r="D63" s="123" t="s">
        <v>326</v>
      </c>
      <c r="E63" s="117"/>
      <c r="F63" s="112"/>
    </row>
    <row r="64" spans="2:6" s="116" customFormat="1" ht="27" customHeight="1" thickBot="1" x14ac:dyDescent="0.3">
      <c r="B64" s="396"/>
      <c r="C64" s="142" t="s">
        <v>327</v>
      </c>
      <c r="D64" s="119" t="s">
        <v>328</v>
      </c>
      <c r="E64" s="117"/>
      <c r="F64" s="112"/>
    </row>
    <row r="65" spans="2:6" s="116" customFormat="1" ht="27" customHeight="1" x14ac:dyDescent="0.25">
      <c r="B65" s="397" t="s">
        <v>329</v>
      </c>
      <c r="C65" s="120" t="s">
        <v>330</v>
      </c>
      <c r="D65" s="272" t="s">
        <v>331</v>
      </c>
      <c r="E65" s="117"/>
      <c r="F65" s="112"/>
    </row>
    <row r="66" spans="2:6" s="116" customFormat="1" ht="27" customHeight="1" x14ac:dyDescent="0.25">
      <c r="B66" s="390"/>
      <c r="C66" s="113" t="s">
        <v>332</v>
      </c>
      <c r="D66" s="273" t="s">
        <v>333</v>
      </c>
      <c r="E66" s="117"/>
      <c r="F66" s="112"/>
    </row>
    <row r="67" spans="2:6" s="116" customFormat="1" ht="27" customHeight="1" x14ac:dyDescent="0.25">
      <c r="B67" s="390"/>
      <c r="C67" s="282" t="s">
        <v>334</v>
      </c>
      <c r="D67" s="114" t="s">
        <v>335</v>
      </c>
      <c r="E67" s="117"/>
      <c r="F67" s="112"/>
    </row>
    <row r="68" spans="2:6" s="116" customFormat="1" ht="27" customHeight="1" x14ac:dyDescent="0.25">
      <c r="B68" s="390"/>
      <c r="C68" s="113" t="s">
        <v>336</v>
      </c>
      <c r="D68" s="273" t="s">
        <v>337</v>
      </c>
      <c r="E68" s="115"/>
      <c r="F68" s="112"/>
    </row>
    <row r="69" spans="2:6" s="116" customFormat="1" ht="27" customHeight="1" x14ac:dyDescent="0.25">
      <c r="B69" s="390"/>
      <c r="C69" s="282" t="s">
        <v>338</v>
      </c>
      <c r="D69" s="114" t="s">
        <v>339</v>
      </c>
      <c r="E69" s="115"/>
      <c r="F69" s="112"/>
    </row>
    <row r="70" spans="2:6" s="116" customFormat="1" ht="27" customHeight="1" x14ac:dyDescent="0.25">
      <c r="B70" s="390"/>
      <c r="C70" s="113" t="s">
        <v>340</v>
      </c>
      <c r="D70" s="271" t="s">
        <v>341</v>
      </c>
      <c r="E70" s="117"/>
      <c r="F70" s="112"/>
    </row>
    <row r="71" spans="2:6" s="116" customFormat="1" ht="27" customHeight="1" x14ac:dyDescent="0.25">
      <c r="B71" s="390"/>
      <c r="C71" s="113" t="s">
        <v>342</v>
      </c>
      <c r="D71" s="114" t="s">
        <v>343</v>
      </c>
      <c r="E71" s="115"/>
      <c r="F71" s="112"/>
    </row>
    <row r="72" spans="2:6" s="116" customFormat="1" ht="27" customHeight="1" x14ac:dyDescent="0.25">
      <c r="B72" s="390"/>
      <c r="C72" s="113" t="s">
        <v>344</v>
      </c>
      <c r="D72" s="114" t="s">
        <v>345</v>
      </c>
      <c r="E72" s="117"/>
      <c r="F72" s="112"/>
    </row>
    <row r="73" spans="2:6" s="116" customFormat="1" ht="27" customHeight="1" x14ac:dyDescent="0.25">
      <c r="B73" s="390"/>
      <c r="C73" s="113" t="s">
        <v>346</v>
      </c>
      <c r="D73" s="114" t="s">
        <v>347</v>
      </c>
      <c r="E73" s="115"/>
      <c r="F73" s="112"/>
    </row>
    <row r="74" spans="2:6" s="116" customFormat="1" ht="27" customHeight="1" x14ac:dyDescent="0.25">
      <c r="B74" s="390"/>
      <c r="C74" s="113" t="s">
        <v>348</v>
      </c>
      <c r="D74" s="114" t="s">
        <v>349</v>
      </c>
      <c r="E74" s="115"/>
      <c r="F74" s="112"/>
    </row>
    <row r="75" spans="2:6" s="116" customFormat="1" ht="27" customHeight="1" x14ac:dyDescent="0.25">
      <c r="B75" s="390"/>
      <c r="C75" s="113" t="s">
        <v>350</v>
      </c>
      <c r="D75" s="271" t="s">
        <v>351</v>
      </c>
      <c r="E75" s="124"/>
      <c r="F75" s="112"/>
    </row>
    <row r="76" spans="2:6" s="116" customFormat="1" ht="27" customHeight="1" x14ac:dyDescent="0.25">
      <c r="B76" s="390"/>
      <c r="C76" s="113" t="s">
        <v>352</v>
      </c>
      <c r="D76" s="114" t="s">
        <v>353</v>
      </c>
      <c r="E76" s="124"/>
      <c r="F76" s="112"/>
    </row>
    <row r="77" spans="2:6" s="116" customFormat="1" ht="27" customHeight="1" x14ac:dyDescent="0.25">
      <c r="B77" s="390"/>
      <c r="C77" s="113" t="s">
        <v>354</v>
      </c>
      <c r="D77" s="114" t="s">
        <v>355</v>
      </c>
      <c r="E77" s="124"/>
      <c r="F77" s="112"/>
    </row>
    <row r="78" spans="2:6" s="116" customFormat="1" ht="27" customHeight="1" x14ac:dyDescent="0.25">
      <c r="B78" s="390"/>
      <c r="C78" s="113" t="s">
        <v>356</v>
      </c>
      <c r="D78" s="114" t="s">
        <v>357</v>
      </c>
      <c r="E78" s="124"/>
      <c r="F78" s="112"/>
    </row>
    <row r="79" spans="2:6" s="116" customFormat="1" ht="27" customHeight="1" x14ac:dyDescent="0.25">
      <c r="B79" s="390"/>
      <c r="C79" s="113" t="s">
        <v>358</v>
      </c>
      <c r="D79" s="114" t="s">
        <v>359</v>
      </c>
      <c r="E79" s="124"/>
      <c r="F79" s="112"/>
    </row>
    <row r="80" spans="2:6" s="116" customFormat="1" ht="27" customHeight="1" x14ac:dyDescent="0.25">
      <c r="B80" s="390"/>
      <c r="C80" s="113" t="s">
        <v>360</v>
      </c>
      <c r="D80" s="114" t="s">
        <v>361</v>
      </c>
      <c r="E80" s="124"/>
      <c r="F80" s="112"/>
    </row>
    <row r="81" spans="2:6" s="116" customFormat="1" ht="27" customHeight="1" x14ac:dyDescent="0.25">
      <c r="B81" s="390"/>
      <c r="C81" s="113" t="s">
        <v>362</v>
      </c>
      <c r="D81" s="114" t="s">
        <v>363</v>
      </c>
      <c r="E81" s="124"/>
      <c r="F81" s="112"/>
    </row>
    <row r="82" spans="2:6" s="116" customFormat="1" ht="27" customHeight="1" x14ac:dyDescent="0.25">
      <c r="B82" s="390"/>
      <c r="C82" s="113" t="s">
        <v>364</v>
      </c>
      <c r="D82" s="114" t="s">
        <v>365</v>
      </c>
      <c r="E82" s="124"/>
      <c r="F82" s="112"/>
    </row>
    <row r="83" spans="2:6" s="116" customFormat="1" ht="27" customHeight="1" x14ac:dyDescent="0.25">
      <c r="B83" s="390"/>
      <c r="C83" s="113" t="s">
        <v>366</v>
      </c>
      <c r="D83" s="271" t="s">
        <v>367</v>
      </c>
      <c r="E83" s="124"/>
      <c r="F83" s="112"/>
    </row>
    <row r="84" spans="2:6" s="116" customFormat="1" ht="27" customHeight="1" x14ac:dyDescent="0.25">
      <c r="B84" s="390"/>
      <c r="C84" s="113" t="s">
        <v>368</v>
      </c>
      <c r="D84" s="114" t="s">
        <v>369</v>
      </c>
      <c r="E84" s="115"/>
      <c r="F84" s="112"/>
    </row>
    <row r="85" spans="2:6" s="116" customFormat="1" ht="27" customHeight="1" x14ac:dyDescent="0.25">
      <c r="B85" s="390"/>
      <c r="C85" s="113" t="s">
        <v>370</v>
      </c>
      <c r="D85" s="114" t="s">
        <v>371</v>
      </c>
      <c r="E85" s="115"/>
      <c r="F85" s="112"/>
    </row>
    <row r="86" spans="2:6" s="116" customFormat="1" ht="27" customHeight="1" x14ac:dyDescent="0.25">
      <c r="B86" s="390"/>
      <c r="C86" s="113" t="s">
        <v>372</v>
      </c>
      <c r="D86" s="273" t="s">
        <v>373</v>
      </c>
      <c r="E86" s="115"/>
      <c r="F86" s="112"/>
    </row>
    <row r="87" spans="2:6" s="116" customFormat="1" ht="27" customHeight="1" x14ac:dyDescent="0.25">
      <c r="B87" s="390"/>
      <c r="C87" s="113" t="s">
        <v>374</v>
      </c>
      <c r="D87" s="114" t="s">
        <v>375</v>
      </c>
      <c r="E87" s="115"/>
      <c r="F87" s="112"/>
    </row>
    <row r="88" spans="2:6" s="116" customFormat="1" ht="27" customHeight="1" x14ac:dyDescent="0.25">
      <c r="B88" s="390"/>
      <c r="C88" s="113" t="s">
        <v>376</v>
      </c>
      <c r="D88" s="114" t="s">
        <v>377</v>
      </c>
      <c r="E88" s="117"/>
      <c r="F88" s="112"/>
    </row>
    <row r="89" spans="2:6" s="116" customFormat="1" ht="27" customHeight="1" x14ac:dyDescent="0.25">
      <c r="B89" s="390"/>
      <c r="C89" s="113" t="s">
        <v>378</v>
      </c>
      <c r="D89" s="114" t="s">
        <v>379</v>
      </c>
      <c r="E89" s="117"/>
      <c r="F89" s="112"/>
    </row>
    <row r="90" spans="2:6" s="116" customFormat="1" ht="27" customHeight="1" x14ac:dyDescent="0.25">
      <c r="B90" s="390"/>
      <c r="C90" s="113" t="s">
        <v>380</v>
      </c>
      <c r="D90" s="114" t="s">
        <v>381</v>
      </c>
      <c r="E90" s="115"/>
      <c r="F90" s="112"/>
    </row>
    <row r="91" spans="2:6" s="116" customFormat="1" ht="27" customHeight="1" x14ac:dyDescent="0.25">
      <c r="B91" s="390"/>
      <c r="C91" s="113" t="s">
        <v>382</v>
      </c>
      <c r="D91" s="114" t="s">
        <v>383</v>
      </c>
      <c r="E91" s="115"/>
      <c r="F91" s="112"/>
    </row>
    <row r="92" spans="2:6" s="116" customFormat="1" ht="27" customHeight="1" x14ac:dyDescent="0.25">
      <c r="B92" s="390"/>
      <c r="C92" s="113" t="s">
        <v>384</v>
      </c>
      <c r="D92" s="114" t="s">
        <v>385</v>
      </c>
      <c r="E92" s="115"/>
      <c r="F92" s="112"/>
    </row>
    <row r="93" spans="2:6" s="116" customFormat="1" ht="27" customHeight="1" x14ac:dyDescent="0.25">
      <c r="B93" s="390"/>
      <c r="C93" s="113" t="s">
        <v>386</v>
      </c>
      <c r="D93" s="114" t="s">
        <v>387</v>
      </c>
      <c r="E93" s="115"/>
      <c r="F93" s="112"/>
    </row>
    <row r="94" spans="2:6" s="116" customFormat="1" ht="27" customHeight="1" x14ac:dyDescent="0.25">
      <c r="B94" s="390"/>
      <c r="C94" s="113" t="s">
        <v>388</v>
      </c>
      <c r="D94" s="114" t="s">
        <v>389</v>
      </c>
      <c r="E94" s="115"/>
      <c r="F94" s="112"/>
    </row>
    <row r="95" spans="2:6" s="116" customFormat="1" ht="27" customHeight="1" x14ac:dyDescent="0.25">
      <c r="B95" s="390"/>
      <c r="C95" s="113" t="s">
        <v>390</v>
      </c>
      <c r="D95" s="114" t="s">
        <v>391</v>
      </c>
      <c r="E95" s="115"/>
      <c r="F95" s="112"/>
    </row>
    <row r="96" spans="2:6" s="116" customFormat="1" ht="27" customHeight="1" x14ac:dyDescent="0.25">
      <c r="B96" s="390"/>
      <c r="C96" s="282" t="s">
        <v>392</v>
      </c>
      <c r="D96" s="114" t="s">
        <v>393</v>
      </c>
      <c r="E96" s="117"/>
      <c r="F96" s="112"/>
    </row>
    <row r="97" spans="2:6" s="116" customFormat="1" ht="27" customHeight="1" x14ac:dyDescent="0.25">
      <c r="B97" s="390"/>
      <c r="C97" s="113" t="s">
        <v>394</v>
      </c>
      <c r="D97" s="114" t="s">
        <v>395</v>
      </c>
      <c r="E97" s="115"/>
      <c r="F97" s="112"/>
    </row>
    <row r="98" spans="2:6" s="116" customFormat="1" ht="27" customHeight="1" x14ac:dyDescent="0.25">
      <c r="B98" s="390"/>
      <c r="C98" s="113" t="s">
        <v>396</v>
      </c>
      <c r="D98" s="114" t="s">
        <v>397</v>
      </c>
      <c r="E98" s="115"/>
      <c r="F98" s="112"/>
    </row>
    <row r="99" spans="2:6" s="116" customFormat="1" ht="27" customHeight="1" x14ac:dyDescent="0.25">
      <c r="B99" s="390"/>
      <c r="C99" s="113" t="s">
        <v>398</v>
      </c>
      <c r="D99" s="114" t="s">
        <v>399</v>
      </c>
      <c r="E99" s="115"/>
      <c r="F99" s="112"/>
    </row>
    <row r="100" spans="2:6" s="116" customFormat="1" ht="27" customHeight="1" x14ac:dyDescent="0.25">
      <c r="B100" s="390"/>
      <c r="C100" s="113" t="s">
        <v>400</v>
      </c>
      <c r="D100" s="114" t="s">
        <v>401</v>
      </c>
      <c r="E100" s="115"/>
      <c r="F100" s="112"/>
    </row>
    <row r="101" spans="2:6" s="116" customFormat="1" ht="27" customHeight="1" x14ac:dyDescent="0.25">
      <c r="B101" s="390"/>
      <c r="C101" s="113" t="s">
        <v>402</v>
      </c>
      <c r="D101" s="114" t="s">
        <v>403</v>
      </c>
      <c r="E101" s="117"/>
      <c r="F101" s="112"/>
    </row>
    <row r="102" spans="2:6" s="116" customFormat="1" ht="27" customHeight="1" x14ac:dyDescent="0.25">
      <c r="B102" s="390"/>
      <c r="C102" s="113" t="s">
        <v>404</v>
      </c>
      <c r="D102" s="122" t="s">
        <v>405</v>
      </c>
      <c r="E102" s="117"/>
      <c r="F102" s="112"/>
    </row>
    <row r="103" spans="2:6" s="116" customFormat="1" ht="27" customHeight="1" thickBot="1" x14ac:dyDescent="0.3">
      <c r="B103" s="391"/>
      <c r="C103" s="118" t="s">
        <v>406</v>
      </c>
      <c r="D103" s="119" t="s">
        <v>407</v>
      </c>
      <c r="E103" s="117"/>
      <c r="F103" s="112"/>
    </row>
    <row r="104" spans="2:6" s="116" customFormat="1" ht="27" customHeight="1" x14ac:dyDescent="0.25">
      <c r="B104" s="389" t="s">
        <v>408</v>
      </c>
      <c r="C104" s="125" t="s">
        <v>409</v>
      </c>
      <c r="D104" s="270" t="s">
        <v>410</v>
      </c>
      <c r="E104" s="126"/>
      <c r="F104" s="127"/>
    </row>
    <row r="105" spans="2:6" ht="27" customHeight="1" x14ac:dyDescent="0.25">
      <c r="B105" s="390"/>
      <c r="C105" s="113" t="s">
        <v>411</v>
      </c>
      <c r="D105" s="271" t="s">
        <v>412</v>
      </c>
    </row>
    <row r="106" spans="2:6" ht="27" customHeight="1" x14ac:dyDescent="0.25">
      <c r="B106" s="390"/>
      <c r="C106" s="113" t="s">
        <v>413</v>
      </c>
      <c r="D106" s="114" t="s">
        <v>414</v>
      </c>
    </row>
    <row r="107" spans="2:6" ht="27" customHeight="1" x14ac:dyDescent="0.25">
      <c r="B107" s="390"/>
      <c r="C107" s="113" t="s">
        <v>415</v>
      </c>
      <c r="D107" s="114" t="s">
        <v>416</v>
      </c>
    </row>
    <row r="108" spans="2:6" ht="27" customHeight="1" x14ac:dyDescent="0.25">
      <c r="B108" s="390"/>
      <c r="C108" s="113" t="s">
        <v>417</v>
      </c>
      <c r="D108" s="114" t="s">
        <v>418</v>
      </c>
    </row>
    <row r="109" spans="2:6" ht="27" customHeight="1" x14ac:dyDescent="0.25">
      <c r="B109" s="390"/>
      <c r="C109" s="113" t="s">
        <v>419</v>
      </c>
      <c r="D109" s="114" t="s">
        <v>420</v>
      </c>
    </row>
    <row r="110" spans="2:6" ht="27" customHeight="1" x14ac:dyDescent="0.25">
      <c r="B110" s="390"/>
      <c r="C110" s="113" t="s">
        <v>421</v>
      </c>
      <c r="D110" s="114" t="s">
        <v>422</v>
      </c>
    </row>
    <row r="111" spans="2:6" ht="27" customHeight="1" x14ac:dyDescent="0.25">
      <c r="B111" s="390"/>
      <c r="C111" s="113" t="s">
        <v>423</v>
      </c>
      <c r="D111" s="114" t="s">
        <v>424</v>
      </c>
    </row>
    <row r="112" spans="2:6" ht="27" customHeight="1" x14ac:dyDescent="0.25">
      <c r="B112" s="390"/>
      <c r="C112" s="113" t="s">
        <v>425</v>
      </c>
      <c r="D112" s="114" t="s">
        <v>426</v>
      </c>
    </row>
    <row r="113" spans="2:4" ht="27" customHeight="1" x14ac:dyDescent="0.25">
      <c r="B113" s="390"/>
      <c r="C113" s="113" t="s">
        <v>427</v>
      </c>
      <c r="D113" s="122" t="s">
        <v>428</v>
      </c>
    </row>
    <row r="114" spans="2:4" ht="27" customHeight="1" thickBot="1" x14ac:dyDescent="0.3">
      <c r="B114" s="391"/>
      <c r="C114" s="118" t="s">
        <v>429</v>
      </c>
      <c r="D114" s="119" t="s">
        <v>430</v>
      </c>
    </row>
    <row r="115" spans="2:4" ht="22.5" customHeight="1" x14ac:dyDescent="0.25">
      <c r="B115" s="128"/>
      <c r="C115" s="128"/>
    </row>
    <row r="116" spans="2:4" ht="22.5" customHeight="1" x14ac:dyDescent="0.25">
      <c r="B116" s="128"/>
      <c r="C116" s="128"/>
    </row>
    <row r="117" spans="2:4" ht="22.5" customHeight="1" x14ac:dyDescent="0.25">
      <c r="B117" s="128"/>
      <c r="C117" s="128"/>
    </row>
    <row r="118" spans="2:4" ht="22.5" customHeight="1" x14ac:dyDescent="0.25">
      <c r="B118" s="128"/>
      <c r="C118" s="128"/>
    </row>
    <row r="119" spans="2:4" ht="22.5" customHeight="1" x14ac:dyDescent="0.25">
      <c r="B119" s="128"/>
      <c r="C119" s="128"/>
    </row>
    <row r="120" spans="2:4" ht="22.5" customHeight="1" x14ac:dyDescent="0.25">
      <c r="B120" s="128"/>
      <c r="C120" s="128"/>
    </row>
    <row r="121" spans="2:4" ht="22.5" customHeight="1" x14ac:dyDescent="0.25">
      <c r="B121" s="128"/>
      <c r="C121" s="128"/>
    </row>
    <row r="122" spans="2:4" ht="22.5" customHeight="1" x14ac:dyDescent="0.25">
      <c r="B122" s="128"/>
      <c r="C122" s="128"/>
    </row>
    <row r="123" spans="2:4" ht="22.5" customHeight="1" x14ac:dyDescent="0.25">
      <c r="B123" s="128"/>
      <c r="C123" s="128"/>
    </row>
    <row r="124" spans="2:4" ht="22.5" customHeight="1" x14ac:dyDescent="0.25">
      <c r="B124" s="128"/>
      <c r="C124" s="128"/>
    </row>
    <row r="125" spans="2:4" ht="22.5" customHeight="1" x14ac:dyDescent="0.25">
      <c r="B125" s="128"/>
      <c r="C125" s="128"/>
    </row>
  </sheetData>
  <mergeCells count="6">
    <mergeCell ref="B104:B114"/>
    <mergeCell ref="B2:D2"/>
    <mergeCell ref="B4:B18"/>
    <mergeCell ref="B19:B52"/>
    <mergeCell ref="B53:B64"/>
    <mergeCell ref="B65:B10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showGridLines="0" topLeftCell="A14" zoomScaleNormal="100" workbookViewId="0">
      <selection activeCell="D39" sqref="D39"/>
    </sheetView>
  </sheetViews>
  <sheetFormatPr baseColWidth="10" defaultColWidth="10.85546875" defaultRowHeight="15" x14ac:dyDescent="0.25"/>
  <cols>
    <col min="1" max="1" width="6.140625" style="129" customWidth="1"/>
    <col min="2" max="2" width="35.28515625" style="129" customWidth="1"/>
    <col min="3" max="3" width="10.85546875" style="130"/>
    <col min="4" max="4" width="61.7109375" style="129" customWidth="1"/>
    <col min="5" max="256" width="10.85546875" style="129"/>
    <col min="257" max="257" width="6.140625" style="129" customWidth="1"/>
    <col min="258" max="258" width="35.28515625" style="129" customWidth="1"/>
    <col min="259" max="259" width="10.85546875" style="129"/>
    <col min="260" max="260" width="61.7109375" style="129" customWidth="1"/>
    <col min="261" max="512" width="10.85546875" style="129"/>
    <col min="513" max="513" width="6.140625" style="129" customWidth="1"/>
    <col min="514" max="514" width="35.28515625" style="129" customWidth="1"/>
    <col min="515" max="515" width="10.85546875" style="129"/>
    <col min="516" max="516" width="61.7109375" style="129" customWidth="1"/>
    <col min="517" max="768" width="10.85546875" style="129"/>
    <col min="769" max="769" width="6.140625" style="129" customWidth="1"/>
    <col min="770" max="770" width="35.28515625" style="129" customWidth="1"/>
    <col min="771" max="771" width="10.85546875" style="129"/>
    <col min="772" max="772" width="61.7109375" style="129" customWidth="1"/>
    <col min="773" max="1024" width="10.85546875" style="129"/>
    <col min="1025" max="1025" width="6.140625" style="129" customWidth="1"/>
    <col min="1026" max="1026" width="35.28515625" style="129" customWidth="1"/>
    <col min="1027" max="1027" width="10.85546875" style="129"/>
    <col min="1028" max="1028" width="61.7109375" style="129" customWidth="1"/>
    <col min="1029" max="1280" width="10.85546875" style="129"/>
    <col min="1281" max="1281" width="6.140625" style="129" customWidth="1"/>
    <col min="1282" max="1282" width="35.28515625" style="129" customWidth="1"/>
    <col min="1283" max="1283" width="10.85546875" style="129"/>
    <col min="1284" max="1284" width="61.7109375" style="129" customWidth="1"/>
    <col min="1285" max="1536" width="10.85546875" style="129"/>
    <col min="1537" max="1537" width="6.140625" style="129" customWidth="1"/>
    <col min="1538" max="1538" width="35.28515625" style="129" customWidth="1"/>
    <col min="1539" max="1539" width="10.85546875" style="129"/>
    <col min="1540" max="1540" width="61.7109375" style="129" customWidth="1"/>
    <col min="1541" max="1792" width="10.85546875" style="129"/>
    <col min="1793" max="1793" width="6.140625" style="129" customWidth="1"/>
    <col min="1794" max="1794" width="35.28515625" style="129" customWidth="1"/>
    <col min="1795" max="1795" width="10.85546875" style="129"/>
    <col min="1796" max="1796" width="61.7109375" style="129" customWidth="1"/>
    <col min="1797" max="2048" width="10.85546875" style="129"/>
    <col min="2049" max="2049" width="6.140625" style="129" customWidth="1"/>
    <col min="2050" max="2050" width="35.28515625" style="129" customWidth="1"/>
    <col min="2051" max="2051" width="10.85546875" style="129"/>
    <col min="2052" max="2052" width="61.7109375" style="129" customWidth="1"/>
    <col min="2053" max="2304" width="10.85546875" style="129"/>
    <col min="2305" max="2305" width="6.140625" style="129" customWidth="1"/>
    <col min="2306" max="2306" width="35.28515625" style="129" customWidth="1"/>
    <col min="2307" max="2307" width="10.85546875" style="129"/>
    <col min="2308" max="2308" width="61.7109375" style="129" customWidth="1"/>
    <col min="2309" max="2560" width="10.85546875" style="129"/>
    <col min="2561" max="2561" width="6.140625" style="129" customWidth="1"/>
    <col min="2562" max="2562" width="35.28515625" style="129" customWidth="1"/>
    <col min="2563" max="2563" width="10.85546875" style="129"/>
    <col min="2564" max="2564" width="61.7109375" style="129" customWidth="1"/>
    <col min="2565" max="2816" width="10.85546875" style="129"/>
    <col min="2817" max="2817" width="6.140625" style="129" customWidth="1"/>
    <col min="2818" max="2818" width="35.28515625" style="129" customWidth="1"/>
    <col min="2819" max="2819" width="10.85546875" style="129"/>
    <col min="2820" max="2820" width="61.7109375" style="129" customWidth="1"/>
    <col min="2821" max="3072" width="10.85546875" style="129"/>
    <col min="3073" max="3073" width="6.140625" style="129" customWidth="1"/>
    <col min="3074" max="3074" width="35.28515625" style="129" customWidth="1"/>
    <col min="3075" max="3075" width="10.85546875" style="129"/>
    <col min="3076" max="3076" width="61.7109375" style="129" customWidth="1"/>
    <col min="3077" max="3328" width="10.85546875" style="129"/>
    <col min="3329" max="3329" width="6.140625" style="129" customWidth="1"/>
    <col min="3330" max="3330" width="35.28515625" style="129" customWidth="1"/>
    <col min="3331" max="3331" width="10.85546875" style="129"/>
    <col min="3332" max="3332" width="61.7109375" style="129" customWidth="1"/>
    <col min="3333" max="3584" width="10.85546875" style="129"/>
    <col min="3585" max="3585" width="6.140625" style="129" customWidth="1"/>
    <col min="3586" max="3586" width="35.28515625" style="129" customWidth="1"/>
    <col min="3587" max="3587" width="10.85546875" style="129"/>
    <col min="3588" max="3588" width="61.7109375" style="129" customWidth="1"/>
    <col min="3589" max="3840" width="10.85546875" style="129"/>
    <col min="3841" max="3841" width="6.140625" style="129" customWidth="1"/>
    <col min="3842" max="3842" width="35.28515625" style="129" customWidth="1"/>
    <col min="3843" max="3843" width="10.85546875" style="129"/>
    <col min="3844" max="3844" width="61.7109375" style="129" customWidth="1"/>
    <col min="3845" max="4096" width="10.85546875" style="129"/>
    <col min="4097" max="4097" width="6.140625" style="129" customWidth="1"/>
    <col min="4098" max="4098" width="35.28515625" style="129" customWidth="1"/>
    <col min="4099" max="4099" width="10.85546875" style="129"/>
    <col min="4100" max="4100" width="61.7109375" style="129" customWidth="1"/>
    <col min="4101" max="4352" width="10.85546875" style="129"/>
    <col min="4353" max="4353" width="6.140625" style="129" customWidth="1"/>
    <col min="4354" max="4354" width="35.28515625" style="129" customWidth="1"/>
    <col min="4355" max="4355" width="10.85546875" style="129"/>
    <col min="4356" max="4356" width="61.7109375" style="129" customWidth="1"/>
    <col min="4357" max="4608" width="10.85546875" style="129"/>
    <col min="4609" max="4609" width="6.140625" style="129" customWidth="1"/>
    <col min="4610" max="4610" width="35.28515625" style="129" customWidth="1"/>
    <col min="4611" max="4611" width="10.85546875" style="129"/>
    <col min="4612" max="4612" width="61.7109375" style="129" customWidth="1"/>
    <col min="4613" max="4864" width="10.85546875" style="129"/>
    <col min="4865" max="4865" width="6.140625" style="129" customWidth="1"/>
    <col min="4866" max="4866" width="35.28515625" style="129" customWidth="1"/>
    <col min="4867" max="4867" width="10.85546875" style="129"/>
    <col min="4868" max="4868" width="61.7109375" style="129" customWidth="1"/>
    <col min="4869" max="5120" width="10.85546875" style="129"/>
    <col min="5121" max="5121" width="6.140625" style="129" customWidth="1"/>
    <col min="5122" max="5122" width="35.28515625" style="129" customWidth="1"/>
    <col min="5123" max="5123" width="10.85546875" style="129"/>
    <col min="5124" max="5124" width="61.7109375" style="129" customWidth="1"/>
    <col min="5125" max="5376" width="10.85546875" style="129"/>
    <col min="5377" max="5377" width="6.140625" style="129" customWidth="1"/>
    <col min="5378" max="5378" width="35.28515625" style="129" customWidth="1"/>
    <col min="5379" max="5379" width="10.85546875" style="129"/>
    <col min="5380" max="5380" width="61.7109375" style="129" customWidth="1"/>
    <col min="5381" max="5632" width="10.85546875" style="129"/>
    <col min="5633" max="5633" width="6.140625" style="129" customWidth="1"/>
    <col min="5634" max="5634" width="35.28515625" style="129" customWidth="1"/>
    <col min="5635" max="5635" width="10.85546875" style="129"/>
    <col min="5636" max="5636" width="61.7109375" style="129" customWidth="1"/>
    <col min="5637" max="5888" width="10.85546875" style="129"/>
    <col min="5889" max="5889" width="6.140625" style="129" customWidth="1"/>
    <col min="5890" max="5890" width="35.28515625" style="129" customWidth="1"/>
    <col min="5891" max="5891" width="10.85546875" style="129"/>
    <col min="5892" max="5892" width="61.7109375" style="129" customWidth="1"/>
    <col min="5893" max="6144" width="10.85546875" style="129"/>
    <col min="6145" max="6145" width="6.140625" style="129" customWidth="1"/>
    <col min="6146" max="6146" width="35.28515625" style="129" customWidth="1"/>
    <col min="6147" max="6147" width="10.85546875" style="129"/>
    <col min="6148" max="6148" width="61.7109375" style="129" customWidth="1"/>
    <col min="6149" max="6400" width="10.85546875" style="129"/>
    <col min="6401" max="6401" width="6.140625" style="129" customWidth="1"/>
    <col min="6402" max="6402" width="35.28515625" style="129" customWidth="1"/>
    <col min="6403" max="6403" width="10.85546875" style="129"/>
    <col min="6404" max="6404" width="61.7109375" style="129" customWidth="1"/>
    <col min="6405" max="6656" width="10.85546875" style="129"/>
    <col min="6657" max="6657" width="6.140625" style="129" customWidth="1"/>
    <col min="6658" max="6658" width="35.28515625" style="129" customWidth="1"/>
    <col min="6659" max="6659" width="10.85546875" style="129"/>
    <col min="6660" max="6660" width="61.7109375" style="129" customWidth="1"/>
    <col min="6661" max="6912" width="10.85546875" style="129"/>
    <col min="6913" max="6913" width="6.140625" style="129" customWidth="1"/>
    <col min="6914" max="6914" width="35.28515625" style="129" customWidth="1"/>
    <col min="6915" max="6915" width="10.85546875" style="129"/>
    <col min="6916" max="6916" width="61.7109375" style="129" customWidth="1"/>
    <col min="6917" max="7168" width="10.85546875" style="129"/>
    <col min="7169" max="7169" width="6.140625" style="129" customWidth="1"/>
    <col min="7170" max="7170" width="35.28515625" style="129" customWidth="1"/>
    <col min="7171" max="7171" width="10.85546875" style="129"/>
    <col min="7172" max="7172" width="61.7109375" style="129" customWidth="1"/>
    <col min="7173" max="7424" width="10.85546875" style="129"/>
    <col min="7425" max="7425" width="6.140625" style="129" customWidth="1"/>
    <col min="7426" max="7426" width="35.28515625" style="129" customWidth="1"/>
    <col min="7427" max="7427" width="10.85546875" style="129"/>
    <col min="7428" max="7428" width="61.7109375" style="129" customWidth="1"/>
    <col min="7429" max="7680" width="10.85546875" style="129"/>
    <col min="7681" max="7681" width="6.140625" style="129" customWidth="1"/>
    <col min="7682" max="7682" width="35.28515625" style="129" customWidth="1"/>
    <col min="7683" max="7683" width="10.85546875" style="129"/>
    <col min="7684" max="7684" width="61.7109375" style="129" customWidth="1"/>
    <col min="7685" max="7936" width="10.85546875" style="129"/>
    <col min="7937" max="7937" width="6.140625" style="129" customWidth="1"/>
    <col min="7938" max="7938" width="35.28515625" style="129" customWidth="1"/>
    <col min="7939" max="7939" width="10.85546875" style="129"/>
    <col min="7940" max="7940" width="61.7109375" style="129" customWidth="1"/>
    <col min="7941" max="8192" width="10.85546875" style="129"/>
    <col min="8193" max="8193" width="6.140625" style="129" customWidth="1"/>
    <col min="8194" max="8194" width="35.28515625" style="129" customWidth="1"/>
    <col min="8195" max="8195" width="10.85546875" style="129"/>
    <col min="8196" max="8196" width="61.7109375" style="129" customWidth="1"/>
    <col min="8197" max="8448" width="10.85546875" style="129"/>
    <col min="8449" max="8449" width="6.140625" style="129" customWidth="1"/>
    <col min="8450" max="8450" width="35.28515625" style="129" customWidth="1"/>
    <col min="8451" max="8451" width="10.85546875" style="129"/>
    <col min="8452" max="8452" width="61.7109375" style="129" customWidth="1"/>
    <col min="8453" max="8704" width="10.85546875" style="129"/>
    <col min="8705" max="8705" width="6.140625" style="129" customWidth="1"/>
    <col min="8706" max="8706" width="35.28515625" style="129" customWidth="1"/>
    <col min="8707" max="8707" width="10.85546875" style="129"/>
    <col min="8708" max="8708" width="61.7109375" style="129" customWidth="1"/>
    <col min="8709" max="8960" width="10.85546875" style="129"/>
    <col min="8961" max="8961" width="6.140625" style="129" customWidth="1"/>
    <col min="8962" max="8962" width="35.28515625" style="129" customWidth="1"/>
    <col min="8963" max="8963" width="10.85546875" style="129"/>
    <col min="8964" max="8964" width="61.7109375" style="129" customWidth="1"/>
    <col min="8965" max="9216" width="10.85546875" style="129"/>
    <col min="9217" max="9217" width="6.140625" style="129" customWidth="1"/>
    <col min="9218" max="9218" width="35.28515625" style="129" customWidth="1"/>
    <col min="9219" max="9219" width="10.85546875" style="129"/>
    <col min="9220" max="9220" width="61.7109375" style="129" customWidth="1"/>
    <col min="9221" max="9472" width="10.85546875" style="129"/>
    <col min="9473" max="9473" width="6.140625" style="129" customWidth="1"/>
    <col min="9474" max="9474" width="35.28515625" style="129" customWidth="1"/>
    <col min="9475" max="9475" width="10.85546875" style="129"/>
    <col min="9476" max="9476" width="61.7109375" style="129" customWidth="1"/>
    <col min="9477" max="9728" width="10.85546875" style="129"/>
    <col min="9729" max="9729" width="6.140625" style="129" customWidth="1"/>
    <col min="9730" max="9730" width="35.28515625" style="129" customWidth="1"/>
    <col min="9731" max="9731" width="10.85546875" style="129"/>
    <col min="9732" max="9732" width="61.7109375" style="129" customWidth="1"/>
    <col min="9733" max="9984" width="10.85546875" style="129"/>
    <col min="9985" max="9985" width="6.140625" style="129" customWidth="1"/>
    <col min="9986" max="9986" width="35.28515625" style="129" customWidth="1"/>
    <col min="9987" max="9987" width="10.85546875" style="129"/>
    <col min="9988" max="9988" width="61.7109375" style="129" customWidth="1"/>
    <col min="9989" max="10240" width="10.85546875" style="129"/>
    <col min="10241" max="10241" width="6.140625" style="129" customWidth="1"/>
    <col min="10242" max="10242" width="35.28515625" style="129" customWidth="1"/>
    <col min="10243" max="10243" width="10.85546875" style="129"/>
    <col min="10244" max="10244" width="61.7109375" style="129" customWidth="1"/>
    <col min="10245" max="10496" width="10.85546875" style="129"/>
    <col min="10497" max="10497" width="6.140625" style="129" customWidth="1"/>
    <col min="10498" max="10498" width="35.28515625" style="129" customWidth="1"/>
    <col min="10499" max="10499" width="10.85546875" style="129"/>
    <col min="10500" max="10500" width="61.7109375" style="129" customWidth="1"/>
    <col min="10501" max="10752" width="10.85546875" style="129"/>
    <col min="10753" max="10753" width="6.140625" style="129" customWidth="1"/>
    <col min="10754" max="10754" width="35.28515625" style="129" customWidth="1"/>
    <col min="10755" max="10755" width="10.85546875" style="129"/>
    <col min="10756" max="10756" width="61.7109375" style="129" customWidth="1"/>
    <col min="10757" max="11008" width="10.85546875" style="129"/>
    <col min="11009" max="11009" width="6.140625" style="129" customWidth="1"/>
    <col min="11010" max="11010" width="35.28515625" style="129" customWidth="1"/>
    <col min="11011" max="11011" width="10.85546875" style="129"/>
    <col min="11012" max="11012" width="61.7109375" style="129" customWidth="1"/>
    <col min="11013" max="11264" width="10.85546875" style="129"/>
    <col min="11265" max="11265" width="6.140625" style="129" customWidth="1"/>
    <col min="11266" max="11266" width="35.28515625" style="129" customWidth="1"/>
    <col min="11267" max="11267" width="10.85546875" style="129"/>
    <col min="11268" max="11268" width="61.7109375" style="129" customWidth="1"/>
    <col min="11269" max="11520" width="10.85546875" style="129"/>
    <col min="11521" max="11521" width="6.140625" style="129" customWidth="1"/>
    <col min="11522" max="11522" width="35.28515625" style="129" customWidth="1"/>
    <col min="11523" max="11523" width="10.85546875" style="129"/>
    <col min="11524" max="11524" width="61.7109375" style="129" customWidth="1"/>
    <col min="11525" max="11776" width="10.85546875" style="129"/>
    <col min="11777" max="11777" width="6.140625" style="129" customWidth="1"/>
    <col min="11778" max="11778" width="35.28515625" style="129" customWidth="1"/>
    <col min="11779" max="11779" width="10.85546875" style="129"/>
    <col min="11780" max="11780" width="61.7109375" style="129" customWidth="1"/>
    <col min="11781" max="12032" width="10.85546875" style="129"/>
    <col min="12033" max="12033" width="6.140625" style="129" customWidth="1"/>
    <col min="12034" max="12034" width="35.28515625" style="129" customWidth="1"/>
    <col min="12035" max="12035" width="10.85546875" style="129"/>
    <col min="12036" max="12036" width="61.7109375" style="129" customWidth="1"/>
    <col min="12037" max="12288" width="10.85546875" style="129"/>
    <col min="12289" max="12289" width="6.140625" style="129" customWidth="1"/>
    <col min="12290" max="12290" width="35.28515625" style="129" customWidth="1"/>
    <col min="12291" max="12291" width="10.85546875" style="129"/>
    <col min="12292" max="12292" width="61.7109375" style="129" customWidth="1"/>
    <col min="12293" max="12544" width="10.85546875" style="129"/>
    <col min="12545" max="12545" width="6.140625" style="129" customWidth="1"/>
    <col min="12546" max="12546" width="35.28515625" style="129" customWidth="1"/>
    <col min="12547" max="12547" width="10.85546875" style="129"/>
    <col min="12548" max="12548" width="61.7109375" style="129" customWidth="1"/>
    <col min="12549" max="12800" width="10.85546875" style="129"/>
    <col min="12801" max="12801" width="6.140625" style="129" customWidth="1"/>
    <col min="12802" max="12802" width="35.28515625" style="129" customWidth="1"/>
    <col min="12803" max="12803" width="10.85546875" style="129"/>
    <col min="12804" max="12804" width="61.7109375" style="129" customWidth="1"/>
    <col min="12805" max="13056" width="10.85546875" style="129"/>
    <col min="13057" max="13057" width="6.140625" style="129" customWidth="1"/>
    <col min="13058" max="13058" width="35.28515625" style="129" customWidth="1"/>
    <col min="13059" max="13059" width="10.85546875" style="129"/>
    <col min="13060" max="13060" width="61.7109375" style="129" customWidth="1"/>
    <col min="13061" max="13312" width="10.85546875" style="129"/>
    <col min="13313" max="13313" width="6.140625" style="129" customWidth="1"/>
    <col min="13314" max="13314" width="35.28515625" style="129" customWidth="1"/>
    <col min="13315" max="13315" width="10.85546875" style="129"/>
    <col min="13316" max="13316" width="61.7109375" style="129" customWidth="1"/>
    <col min="13317" max="13568" width="10.85546875" style="129"/>
    <col min="13569" max="13569" width="6.140625" style="129" customWidth="1"/>
    <col min="13570" max="13570" width="35.28515625" style="129" customWidth="1"/>
    <col min="13571" max="13571" width="10.85546875" style="129"/>
    <col min="13572" max="13572" width="61.7109375" style="129" customWidth="1"/>
    <col min="13573" max="13824" width="10.85546875" style="129"/>
    <col min="13825" max="13825" width="6.140625" style="129" customWidth="1"/>
    <col min="13826" max="13826" width="35.28515625" style="129" customWidth="1"/>
    <col min="13827" max="13827" width="10.85546875" style="129"/>
    <col min="13828" max="13828" width="61.7109375" style="129" customWidth="1"/>
    <col min="13829" max="14080" width="10.85546875" style="129"/>
    <col min="14081" max="14081" width="6.140625" style="129" customWidth="1"/>
    <col min="14082" max="14082" width="35.28515625" style="129" customWidth="1"/>
    <col min="14083" max="14083" width="10.85546875" style="129"/>
    <col min="14084" max="14084" width="61.7109375" style="129" customWidth="1"/>
    <col min="14085" max="14336" width="10.85546875" style="129"/>
    <col min="14337" max="14337" width="6.140625" style="129" customWidth="1"/>
    <col min="14338" max="14338" width="35.28515625" style="129" customWidth="1"/>
    <col min="14339" max="14339" width="10.85546875" style="129"/>
    <col min="14340" max="14340" width="61.7109375" style="129" customWidth="1"/>
    <col min="14341" max="14592" width="10.85546875" style="129"/>
    <col min="14593" max="14593" width="6.140625" style="129" customWidth="1"/>
    <col min="14594" max="14594" width="35.28515625" style="129" customWidth="1"/>
    <col min="14595" max="14595" width="10.85546875" style="129"/>
    <col min="14596" max="14596" width="61.7109375" style="129" customWidth="1"/>
    <col min="14597" max="14848" width="10.85546875" style="129"/>
    <col min="14849" max="14849" width="6.140625" style="129" customWidth="1"/>
    <col min="14850" max="14850" width="35.28515625" style="129" customWidth="1"/>
    <col min="14851" max="14851" width="10.85546875" style="129"/>
    <col min="14852" max="14852" width="61.7109375" style="129" customWidth="1"/>
    <col min="14853" max="15104" width="10.85546875" style="129"/>
    <col min="15105" max="15105" width="6.140625" style="129" customWidth="1"/>
    <col min="15106" max="15106" width="35.28515625" style="129" customWidth="1"/>
    <col min="15107" max="15107" width="10.85546875" style="129"/>
    <col min="15108" max="15108" width="61.7109375" style="129" customWidth="1"/>
    <col min="15109" max="15360" width="10.85546875" style="129"/>
    <col min="15361" max="15361" width="6.140625" style="129" customWidth="1"/>
    <col min="15362" max="15362" width="35.28515625" style="129" customWidth="1"/>
    <col min="15363" max="15363" width="10.85546875" style="129"/>
    <col min="15364" max="15364" width="61.7109375" style="129" customWidth="1"/>
    <col min="15365" max="15616" width="10.85546875" style="129"/>
    <col min="15617" max="15617" width="6.140625" style="129" customWidth="1"/>
    <col min="15618" max="15618" width="35.28515625" style="129" customWidth="1"/>
    <col min="15619" max="15619" width="10.85546875" style="129"/>
    <col min="15620" max="15620" width="61.7109375" style="129" customWidth="1"/>
    <col min="15621" max="15872" width="10.85546875" style="129"/>
    <col min="15873" max="15873" width="6.140625" style="129" customWidth="1"/>
    <col min="15874" max="15874" width="35.28515625" style="129" customWidth="1"/>
    <col min="15875" max="15875" width="10.85546875" style="129"/>
    <col min="15876" max="15876" width="61.7109375" style="129" customWidth="1"/>
    <col min="15877" max="16128" width="10.85546875" style="129"/>
    <col min="16129" max="16129" width="6.140625" style="129" customWidth="1"/>
    <col min="16130" max="16130" width="35.28515625" style="129" customWidth="1"/>
    <col min="16131" max="16131" width="10.85546875" style="129"/>
    <col min="16132" max="16132" width="61.7109375" style="129" customWidth="1"/>
    <col min="16133" max="16384" width="10.85546875" style="129"/>
  </cols>
  <sheetData>
    <row r="1" spans="2:4" ht="15.75" thickBot="1" x14ac:dyDescent="0.3"/>
    <row r="2" spans="2:4" ht="23.25" customHeight="1" thickBot="1" x14ac:dyDescent="0.25">
      <c r="B2" s="399" t="s">
        <v>431</v>
      </c>
      <c r="C2" s="400"/>
      <c r="D2" s="401"/>
    </row>
    <row r="3" spans="2:4" thickBot="1" x14ac:dyDescent="0.25">
      <c r="B3" s="131" t="s">
        <v>432</v>
      </c>
      <c r="C3" s="132" t="s">
        <v>202</v>
      </c>
      <c r="D3" s="132" t="s">
        <v>433</v>
      </c>
    </row>
    <row r="4" spans="2:4" ht="14.25" x14ac:dyDescent="0.2">
      <c r="B4" s="402" t="s">
        <v>434</v>
      </c>
      <c r="C4" s="133" t="s">
        <v>205</v>
      </c>
      <c r="D4" s="134" t="s">
        <v>435</v>
      </c>
    </row>
    <row r="5" spans="2:4" ht="14.25" x14ac:dyDescent="0.2">
      <c r="B5" s="403"/>
      <c r="C5" s="135" t="s">
        <v>207</v>
      </c>
      <c r="D5" s="136" t="s">
        <v>436</v>
      </c>
    </row>
    <row r="6" spans="2:4" ht="14.25" x14ac:dyDescent="0.2">
      <c r="B6" s="403"/>
      <c r="C6" s="135" t="s">
        <v>209</v>
      </c>
      <c r="D6" s="136" t="s">
        <v>437</v>
      </c>
    </row>
    <row r="7" spans="2:4" ht="14.25" x14ac:dyDescent="0.2">
      <c r="B7" s="403"/>
      <c r="C7" s="135" t="s">
        <v>211</v>
      </c>
      <c r="D7" s="136" t="s">
        <v>438</v>
      </c>
    </row>
    <row r="8" spans="2:4" ht="14.25" x14ac:dyDescent="0.2">
      <c r="B8" s="403"/>
      <c r="C8" s="135" t="s">
        <v>213</v>
      </c>
      <c r="D8" s="136" t="s">
        <v>439</v>
      </c>
    </row>
    <row r="9" spans="2:4" ht="14.25" x14ac:dyDescent="0.2">
      <c r="B9" s="403"/>
      <c r="C9" s="135" t="s">
        <v>215</v>
      </c>
      <c r="D9" s="136" t="s">
        <v>440</v>
      </c>
    </row>
    <row r="10" spans="2:4" ht="14.25" x14ac:dyDescent="0.2">
      <c r="B10" s="403"/>
      <c r="C10" s="135" t="s">
        <v>217</v>
      </c>
      <c r="D10" s="136" t="s">
        <v>441</v>
      </c>
    </row>
    <row r="11" spans="2:4" ht="14.25" x14ac:dyDescent="0.2">
      <c r="B11" s="403"/>
      <c r="C11" s="135" t="s">
        <v>219</v>
      </c>
      <c r="D11" s="136" t="s">
        <v>442</v>
      </c>
    </row>
    <row r="12" spans="2:4" ht="33.75" customHeight="1" thickBot="1" x14ac:dyDescent="0.25">
      <c r="B12" s="404"/>
      <c r="C12" s="137" t="s">
        <v>221</v>
      </c>
      <c r="D12" s="138" t="s">
        <v>443</v>
      </c>
    </row>
    <row r="13" spans="2:4" ht="14.25" x14ac:dyDescent="0.2">
      <c r="B13" s="402" t="s">
        <v>444</v>
      </c>
      <c r="C13" s="133" t="s">
        <v>236</v>
      </c>
      <c r="D13" s="134" t="s">
        <v>445</v>
      </c>
    </row>
    <row r="14" spans="2:4" ht="27.75" customHeight="1" x14ac:dyDescent="0.2">
      <c r="B14" s="403"/>
      <c r="C14" s="135" t="s">
        <v>238</v>
      </c>
      <c r="D14" s="136" t="s">
        <v>446</v>
      </c>
    </row>
    <row r="15" spans="2:4" ht="14.25" x14ac:dyDescent="0.2">
      <c r="B15" s="403"/>
      <c r="C15" s="135" t="s">
        <v>240</v>
      </c>
      <c r="D15" s="136" t="s">
        <v>447</v>
      </c>
    </row>
    <row r="16" spans="2:4" ht="14.25" x14ac:dyDescent="0.2">
      <c r="B16" s="403"/>
      <c r="C16" s="135" t="s">
        <v>242</v>
      </c>
      <c r="D16" s="136" t="s">
        <v>448</v>
      </c>
    </row>
    <row r="17" spans="2:4" ht="14.25" x14ac:dyDescent="0.2">
      <c r="B17" s="403"/>
      <c r="C17" s="135" t="s">
        <v>244</v>
      </c>
      <c r="D17" s="136" t="s">
        <v>449</v>
      </c>
    </row>
    <row r="18" spans="2:4" ht="14.25" x14ac:dyDescent="0.2">
      <c r="B18" s="403"/>
      <c r="C18" s="135" t="s">
        <v>246</v>
      </c>
      <c r="D18" s="136" t="s">
        <v>450</v>
      </c>
    </row>
    <row r="19" spans="2:4" ht="14.25" x14ac:dyDescent="0.2">
      <c r="B19" s="403"/>
      <c r="C19" s="135" t="s">
        <v>248</v>
      </c>
      <c r="D19" s="136" t="s">
        <v>451</v>
      </c>
    </row>
    <row r="20" spans="2:4" ht="14.25" x14ac:dyDescent="0.2">
      <c r="B20" s="403"/>
      <c r="C20" s="135" t="s">
        <v>250</v>
      </c>
      <c r="D20" s="136" t="s">
        <v>452</v>
      </c>
    </row>
    <row r="21" spans="2:4" ht="15" customHeight="1" x14ac:dyDescent="0.2">
      <c r="B21" s="403"/>
      <c r="C21" s="135" t="s">
        <v>252</v>
      </c>
      <c r="D21" s="136" t="s">
        <v>453</v>
      </c>
    </row>
    <row r="22" spans="2:4" ht="15" customHeight="1" x14ac:dyDescent="0.2">
      <c r="B22" s="403"/>
      <c r="C22" s="135" t="s">
        <v>254</v>
      </c>
      <c r="D22" s="136" t="s">
        <v>454</v>
      </c>
    </row>
    <row r="23" spans="2:4" ht="15" customHeight="1" x14ac:dyDescent="0.2">
      <c r="B23" s="403"/>
      <c r="C23" s="135" t="s">
        <v>256</v>
      </c>
      <c r="D23" s="136" t="s">
        <v>455</v>
      </c>
    </row>
    <row r="24" spans="2:4" ht="15" customHeight="1" x14ac:dyDescent="0.2">
      <c r="B24" s="403"/>
      <c r="C24" s="135" t="s">
        <v>258</v>
      </c>
      <c r="D24" s="136" t="s">
        <v>456</v>
      </c>
    </row>
    <row r="25" spans="2:4" ht="14.25" customHeight="1" x14ac:dyDescent="0.2">
      <c r="B25" s="403"/>
      <c r="C25" s="135" t="s">
        <v>260</v>
      </c>
      <c r="D25" s="136" t="s">
        <v>457</v>
      </c>
    </row>
    <row r="26" spans="2:4" thickBot="1" x14ac:dyDescent="0.25">
      <c r="B26" s="404"/>
      <c r="C26" s="137" t="s">
        <v>262</v>
      </c>
      <c r="D26" s="138" t="s">
        <v>458</v>
      </c>
    </row>
    <row r="27" spans="2:4" ht="26.25" customHeight="1" x14ac:dyDescent="0.2">
      <c r="B27" s="402" t="s">
        <v>459</v>
      </c>
      <c r="C27" s="133" t="s">
        <v>305</v>
      </c>
      <c r="D27" s="134" t="s">
        <v>460</v>
      </c>
    </row>
    <row r="28" spans="2:4" ht="14.25" x14ac:dyDescent="0.2">
      <c r="B28" s="403"/>
      <c r="C28" s="135" t="s">
        <v>307</v>
      </c>
      <c r="D28" s="136" t="s">
        <v>461</v>
      </c>
    </row>
    <row r="29" spans="2:4" ht="27" customHeight="1" x14ac:dyDescent="0.2">
      <c r="B29" s="403"/>
      <c r="C29" s="135" t="s">
        <v>309</v>
      </c>
      <c r="D29" s="136" t="s">
        <v>436</v>
      </c>
    </row>
    <row r="30" spans="2:4" ht="15" customHeight="1" x14ac:dyDescent="0.2">
      <c r="B30" s="403"/>
      <c r="C30" s="135" t="s">
        <v>311</v>
      </c>
      <c r="D30" s="136" t="s">
        <v>462</v>
      </c>
    </row>
    <row r="31" spans="2:4" ht="27.75" customHeight="1" x14ac:dyDescent="0.2">
      <c r="B31" s="403"/>
      <c r="C31" s="135" t="s">
        <v>313</v>
      </c>
      <c r="D31" s="136" t="s">
        <v>463</v>
      </c>
    </row>
    <row r="32" spans="2:4" ht="15" customHeight="1" x14ac:dyDescent="0.2">
      <c r="B32" s="403"/>
      <c r="C32" s="264" t="s">
        <v>315</v>
      </c>
      <c r="D32" s="265" t="s">
        <v>464</v>
      </c>
    </row>
    <row r="33" spans="2:4" ht="15" customHeight="1" x14ac:dyDescent="0.2">
      <c r="B33" s="403"/>
      <c r="C33" s="135" t="s">
        <v>317</v>
      </c>
      <c r="D33" s="136" t="s">
        <v>465</v>
      </c>
    </row>
    <row r="34" spans="2:4" ht="27" customHeight="1" x14ac:dyDescent="0.2">
      <c r="B34" s="403"/>
      <c r="C34" s="135" t="s">
        <v>319</v>
      </c>
      <c r="D34" s="136" t="s">
        <v>466</v>
      </c>
    </row>
    <row r="35" spans="2:4" ht="15" customHeight="1" x14ac:dyDescent="0.2">
      <c r="B35" s="403"/>
      <c r="C35" s="135" t="s">
        <v>321</v>
      </c>
      <c r="D35" s="136" t="s">
        <v>467</v>
      </c>
    </row>
    <row r="36" spans="2:4" ht="27.75" customHeight="1" x14ac:dyDescent="0.2">
      <c r="B36" s="403"/>
      <c r="C36" s="135" t="s">
        <v>323</v>
      </c>
      <c r="D36" s="136" t="s">
        <v>468</v>
      </c>
    </row>
    <row r="37" spans="2:4" ht="14.25" x14ac:dyDescent="0.2">
      <c r="B37" s="403"/>
      <c r="C37" s="135" t="s">
        <v>325</v>
      </c>
      <c r="D37" s="136" t="s">
        <v>469</v>
      </c>
    </row>
    <row r="38" spans="2:4" ht="14.25" x14ac:dyDescent="0.2">
      <c r="B38" s="403"/>
      <c r="C38" s="264" t="s">
        <v>327</v>
      </c>
      <c r="D38" s="265" t="s">
        <v>470</v>
      </c>
    </row>
    <row r="39" spans="2:4" ht="14.25" x14ac:dyDescent="0.2">
      <c r="B39" s="403"/>
      <c r="C39" s="269" t="s">
        <v>471</v>
      </c>
      <c r="D39" s="268" t="s">
        <v>472</v>
      </c>
    </row>
    <row r="40" spans="2:4" ht="14.25" x14ac:dyDescent="0.2">
      <c r="B40" s="403"/>
      <c r="C40" s="135" t="s">
        <v>473</v>
      </c>
      <c r="D40" s="136" t="s">
        <v>474</v>
      </c>
    </row>
    <row r="41" spans="2:4" ht="14.25" x14ac:dyDescent="0.2">
      <c r="B41" s="403"/>
      <c r="C41" s="269" t="s">
        <v>475</v>
      </c>
      <c r="D41" s="268" t="s">
        <v>476</v>
      </c>
    </row>
    <row r="42" spans="2:4" thickBot="1" x14ac:dyDescent="0.25">
      <c r="B42" s="404"/>
      <c r="C42" s="137" t="s">
        <v>477</v>
      </c>
      <c r="D42" s="138" t="s">
        <v>478</v>
      </c>
    </row>
    <row r="43" spans="2:4" ht="14.25" x14ac:dyDescent="0.2">
      <c r="B43" s="405" t="s">
        <v>479</v>
      </c>
      <c r="C43" s="139" t="s">
        <v>330</v>
      </c>
      <c r="D43" s="134" t="s">
        <v>480</v>
      </c>
    </row>
    <row r="44" spans="2:4" ht="14.25" x14ac:dyDescent="0.2">
      <c r="B44" s="406"/>
      <c r="C44" s="267" t="s">
        <v>332</v>
      </c>
      <c r="D44" s="268" t="s">
        <v>481</v>
      </c>
    </row>
    <row r="45" spans="2:4" ht="14.25" x14ac:dyDescent="0.2">
      <c r="B45" s="406"/>
      <c r="C45" s="140" t="s">
        <v>334</v>
      </c>
      <c r="D45" s="136" t="s">
        <v>450</v>
      </c>
    </row>
    <row r="46" spans="2:4" ht="25.5" x14ac:dyDescent="0.2">
      <c r="B46" s="406"/>
      <c r="C46" s="140" t="s">
        <v>336</v>
      </c>
      <c r="D46" s="136" t="s">
        <v>482</v>
      </c>
    </row>
    <row r="47" spans="2:4" ht="14.25" x14ac:dyDescent="0.2">
      <c r="B47" s="406"/>
      <c r="C47" s="140" t="s">
        <v>338</v>
      </c>
      <c r="D47" s="136" t="s">
        <v>483</v>
      </c>
    </row>
    <row r="48" spans="2:4" ht="14.25" x14ac:dyDescent="0.2">
      <c r="B48" s="406"/>
      <c r="C48" s="266" t="s">
        <v>340</v>
      </c>
      <c r="D48" s="265" t="s">
        <v>484</v>
      </c>
    </row>
    <row r="49" spans="2:4" ht="26.25" thickBot="1" x14ac:dyDescent="0.25">
      <c r="B49" s="407"/>
      <c r="C49" s="141" t="s">
        <v>342</v>
      </c>
      <c r="D49" s="138" t="s">
        <v>485</v>
      </c>
    </row>
  </sheetData>
  <mergeCells count="5">
    <mergeCell ref="B2:D2"/>
    <mergeCell ref="B4:B12"/>
    <mergeCell ref="B13:B26"/>
    <mergeCell ref="B27:B42"/>
    <mergeCell ref="B43:B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B1:AL114"/>
  <sheetViews>
    <sheetView view="pageBreakPreview" topLeftCell="A8" zoomScale="77" zoomScaleNormal="77" zoomScaleSheetLayoutView="77" workbookViewId="0">
      <pane xSplit="3" ySplit="5" topLeftCell="D56" activePane="bottomRight" state="frozen"/>
      <selection pane="topRight" activeCell="D8" sqref="D8"/>
      <selection pane="bottomLeft" activeCell="A13" sqref="A13"/>
      <selection pane="bottomRight" activeCell="D58" sqref="D58"/>
    </sheetView>
  </sheetViews>
  <sheetFormatPr baseColWidth="10" defaultColWidth="12.5703125" defaultRowHeight="18" x14ac:dyDescent="0.2"/>
  <cols>
    <col min="1" max="1" width="2.5703125" style="173" customWidth="1"/>
    <col min="2" max="2" width="20.42578125" style="239" customWidth="1"/>
    <col min="3" max="3" width="41.85546875" style="240" customWidth="1"/>
    <col min="4" max="4" width="64.85546875" style="241" customWidth="1"/>
    <col min="5" max="5" width="6.42578125" style="242" customWidth="1"/>
    <col min="6" max="6" width="7" style="242" customWidth="1"/>
    <col min="7" max="7" width="67.7109375" style="242" customWidth="1"/>
    <col min="8" max="8" width="57.85546875" style="242" customWidth="1"/>
    <col min="9" max="9" width="5.28515625" style="173" customWidth="1"/>
    <col min="10" max="10" width="5" style="173" customWidth="1"/>
    <col min="11" max="11" width="7.5703125" style="173" customWidth="1"/>
    <col min="12" max="12" width="9.28515625" style="173" customWidth="1"/>
    <col min="13" max="13" width="5.28515625" style="173" customWidth="1"/>
    <col min="14" max="14" width="11.140625" style="173" customWidth="1"/>
    <col min="15" max="15" width="6.28515625" style="173" customWidth="1"/>
    <col min="16" max="16" width="7" style="173" customWidth="1"/>
    <col min="17" max="17" width="6.28515625" style="173" customWidth="1"/>
    <col min="18" max="18" width="6.7109375" style="173" customWidth="1"/>
    <col min="19" max="20" width="6.140625" style="173" customWidth="1"/>
    <col min="21" max="21" width="5.5703125" style="173" customWidth="1"/>
    <col min="22" max="22" width="13.42578125" style="173" customWidth="1"/>
    <col min="23" max="23" width="5.28515625" style="173" customWidth="1"/>
    <col min="24" max="26" width="5.140625" style="173" customWidth="1"/>
    <col min="27" max="27" width="5" style="173" customWidth="1"/>
    <col min="28" max="28" width="7.7109375" style="173" customWidth="1"/>
    <col min="29" max="29" width="10.42578125" style="173" customWidth="1"/>
    <col min="30" max="30" width="8.85546875" style="173" customWidth="1"/>
    <col min="31" max="31" width="5.7109375" style="173" customWidth="1"/>
    <col min="32" max="32" width="6.28515625" style="173" customWidth="1"/>
    <col min="33" max="33" width="7" style="173" customWidth="1"/>
    <col min="34" max="34" width="5.5703125" style="173" customWidth="1"/>
    <col min="35" max="35" width="5.85546875" style="173" customWidth="1"/>
    <col min="36" max="36" width="6.42578125" style="173" customWidth="1"/>
    <col min="37" max="37" width="5.85546875" style="173" customWidth="1"/>
    <col min="38" max="38" width="5.5703125" style="173" customWidth="1"/>
    <col min="39" max="16384" width="12.5703125" style="173"/>
  </cols>
  <sheetData>
    <row r="1" spans="2:38" ht="40.9" customHeight="1" thickTop="1" thickBot="1" x14ac:dyDescent="0.25">
      <c r="B1" s="474"/>
      <c r="C1" s="476"/>
      <c r="D1" s="494" t="s">
        <v>486</v>
      </c>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74"/>
      <c r="AH1" s="475"/>
      <c r="AI1" s="475"/>
      <c r="AJ1" s="475"/>
      <c r="AK1" s="475"/>
      <c r="AL1" s="476"/>
    </row>
    <row r="2" spans="2:38" ht="36" customHeight="1" thickTop="1" thickBot="1" x14ac:dyDescent="0.25">
      <c r="B2" s="477"/>
      <c r="C2" s="479"/>
      <c r="D2" s="483" t="s">
        <v>1</v>
      </c>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77"/>
      <c r="AH2" s="478"/>
      <c r="AI2" s="478"/>
      <c r="AJ2" s="478"/>
      <c r="AK2" s="478"/>
      <c r="AL2" s="479"/>
    </row>
    <row r="3" spans="2:38" ht="65.25" customHeight="1" thickBot="1" x14ac:dyDescent="0.25">
      <c r="B3" s="480"/>
      <c r="C3" s="482"/>
      <c r="D3" s="484" t="s">
        <v>2</v>
      </c>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6"/>
      <c r="AG3" s="480"/>
      <c r="AH3" s="481"/>
      <c r="AI3" s="481"/>
      <c r="AJ3" s="481"/>
      <c r="AK3" s="481"/>
      <c r="AL3" s="482"/>
    </row>
    <row r="4" spans="2:38" ht="21" customHeight="1" thickBot="1"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8"/>
      <c r="AE4" s="488"/>
      <c r="AF4" s="488"/>
      <c r="AG4" s="488"/>
      <c r="AH4" s="488"/>
      <c r="AI4" s="488"/>
      <c r="AJ4" s="488"/>
      <c r="AK4" s="488"/>
      <c r="AL4" s="489"/>
    </row>
    <row r="5" spans="2:38" ht="49.5" customHeight="1" thickBot="1" x14ac:dyDescent="0.25">
      <c r="B5" s="465" t="s">
        <v>487</v>
      </c>
      <c r="C5" s="466"/>
      <c r="D5" s="466"/>
      <c r="E5" s="466"/>
      <c r="F5" s="466"/>
      <c r="G5" s="466"/>
      <c r="H5" s="467"/>
      <c r="I5" s="471" t="s">
        <v>488</v>
      </c>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3"/>
    </row>
    <row r="6" spans="2:38" ht="15.95" customHeight="1" x14ac:dyDescent="0.2">
      <c r="B6" s="468"/>
      <c r="C6" s="469"/>
      <c r="D6" s="469"/>
      <c r="E6" s="469"/>
      <c r="F6" s="469"/>
      <c r="G6" s="469"/>
      <c r="H6" s="470"/>
      <c r="I6" s="495" t="s">
        <v>489</v>
      </c>
      <c r="J6" s="496"/>
      <c r="K6" s="496"/>
      <c r="L6" s="499" t="s">
        <v>490</v>
      </c>
      <c r="M6" s="499"/>
      <c r="N6" s="499"/>
      <c r="O6" s="501" t="s">
        <v>491</v>
      </c>
      <c r="P6" s="501"/>
      <c r="Q6" s="501"/>
      <c r="R6" s="501"/>
      <c r="S6" s="501"/>
      <c r="T6" s="503" t="s">
        <v>492</v>
      </c>
      <c r="U6" s="503"/>
      <c r="V6" s="503"/>
      <c r="W6" s="503"/>
      <c r="X6" s="503"/>
      <c r="Y6" s="503"/>
      <c r="Z6" s="503"/>
      <c r="AA6" s="503"/>
      <c r="AB6" s="503"/>
      <c r="AC6" s="503"/>
      <c r="AD6" s="503"/>
      <c r="AE6" s="503"/>
      <c r="AF6" s="503"/>
      <c r="AG6" s="503"/>
      <c r="AH6" s="503"/>
      <c r="AI6" s="505" t="s">
        <v>493</v>
      </c>
      <c r="AJ6" s="505"/>
      <c r="AK6" s="505"/>
      <c r="AL6" s="506"/>
    </row>
    <row r="7" spans="2:38" ht="15.95" customHeight="1" x14ac:dyDescent="0.2">
      <c r="B7" s="468"/>
      <c r="C7" s="469"/>
      <c r="D7" s="469"/>
      <c r="E7" s="469"/>
      <c r="F7" s="469"/>
      <c r="G7" s="469"/>
      <c r="H7" s="470"/>
      <c r="I7" s="497"/>
      <c r="J7" s="498"/>
      <c r="K7" s="498"/>
      <c r="L7" s="500"/>
      <c r="M7" s="500"/>
      <c r="N7" s="500"/>
      <c r="O7" s="502"/>
      <c r="P7" s="502"/>
      <c r="Q7" s="502"/>
      <c r="R7" s="502"/>
      <c r="S7" s="502"/>
      <c r="T7" s="504"/>
      <c r="U7" s="504"/>
      <c r="V7" s="504"/>
      <c r="W7" s="504"/>
      <c r="X7" s="504"/>
      <c r="Y7" s="504"/>
      <c r="Z7" s="504"/>
      <c r="AA7" s="504"/>
      <c r="AB7" s="504"/>
      <c r="AC7" s="504"/>
      <c r="AD7" s="504"/>
      <c r="AE7" s="504"/>
      <c r="AF7" s="504"/>
      <c r="AG7" s="504"/>
      <c r="AH7" s="504"/>
      <c r="AI7" s="507"/>
      <c r="AJ7" s="507"/>
      <c r="AK7" s="507"/>
      <c r="AL7" s="508"/>
    </row>
    <row r="8" spans="2:38" ht="60.95" customHeight="1" x14ac:dyDescent="0.2">
      <c r="B8" s="468"/>
      <c r="C8" s="469"/>
      <c r="D8" s="469"/>
      <c r="E8" s="469"/>
      <c r="F8" s="469"/>
      <c r="G8" s="469"/>
      <c r="H8" s="470"/>
      <c r="I8" s="497"/>
      <c r="J8" s="498"/>
      <c r="K8" s="498"/>
      <c r="L8" s="500"/>
      <c r="M8" s="500"/>
      <c r="N8" s="500"/>
      <c r="O8" s="502"/>
      <c r="P8" s="502"/>
      <c r="Q8" s="502"/>
      <c r="R8" s="502"/>
      <c r="S8" s="502"/>
      <c r="T8" s="504"/>
      <c r="U8" s="504"/>
      <c r="V8" s="504"/>
      <c r="W8" s="504"/>
      <c r="X8" s="504"/>
      <c r="Y8" s="504"/>
      <c r="Z8" s="504"/>
      <c r="AA8" s="504"/>
      <c r="AB8" s="504"/>
      <c r="AC8" s="504"/>
      <c r="AD8" s="504"/>
      <c r="AE8" s="504"/>
      <c r="AF8" s="504"/>
      <c r="AG8" s="504"/>
      <c r="AH8" s="504"/>
      <c r="AI8" s="507"/>
      <c r="AJ8" s="507"/>
      <c r="AK8" s="507"/>
      <c r="AL8" s="508"/>
    </row>
    <row r="9" spans="2:38" ht="15" x14ac:dyDescent="0.2">
      <c r="B9" s="468"/>
      <c r="C9" s="469"/>
      <c r="D9" s="469"/>
      <c r="E9" s="469"/>
      <c r="F9" s="469"/>
      <c r="G9" s="469"/>
      <c r="H9" s="470"/>
      <c r="I9" s="497"/>
      <c r="J9" s="498"/>
      <c r="K9" s="498"/>
      <c r="L9" s="500"/>
      <c r="M9" s="500"/>
      <c r="N9" s="500"/>
      <c r="O9" s="502"/>
      <c r="P9" s="502"/>
      <c r="Q9" s="502"/>
      <c r="R9" s="502"/>
      <c r="S9" s="502"/>
      <c r="T9" s="504"/>
      <c r="U9" s="504"/>
      <c r="V9" s="504"/>
      <c r="W9" s="504"/>
      <c r="X9" s="504"/>
      <c r="Y9" s="504"/>
      <c r="Z9" s="504"/>
      <c r="AA9" s="504"/>
      <c r="AB9" s="504"/>
      <c r="AC9" s="504"/>
      <c r="AD9" s="504"/>
      <c r="AE9" s="504"/>
      <c r="AF9" s="504"/>
      <c r="AG9" s="504"/>
      <c r="AH9" s="504"/>
      <c r="AI9" s="507"/>
      <c r="AJ9" s="507"/>
      <c r="AK9" s="507"/>
      <c r="AL9" s="508"/>
    </row>
    <row r="10" spans="2:38" ht="15" x14ac:dyDescent="0.2">
      <c r="B10" s="468"/>
      <c r="C10" s="469"/>
      <c r="D10" s="469"/>
      <c r="E10" s="469"/>
      <c r="F10" s="469"/>
      <c r="G10" s="469"/>
      <c r="H10" s="470"/>
      <c r="I10" s="490" t="s">
        <v>494</v>
      </c>
      <c r="J10" s="492" t="s">
        <v>495</v>
      </c>
      <c r="K10" s="492" t="s">
        <v>496</v>
      </c>
      <c r="L10" s="461" t="s">
        <v>497</v>
      </c>
      <c r="M10" s="461" t="s">
        <v>498</v>
      </c>
      <c r="N10" s="461" t="s">
        <v>499</v>
      </c>
      <c r="O10" s="463" t="s">
        <v>500</v>
      </c>
      <c r="P10" s="463" t="s">
        <v>501</v>
      </c>
      <c r="Q10" s="463" t="s">
        <v>502</v>
      </c>
      <c r="R10" s="463" t="s">
        <v>503</v>
      </c>
      <c r="S10" s="463" t="s">
        <v>504</v>
      </c>
      <c r="T10" s="457" t="s">
        <v>505</v>
      </c>
      <c r="U10" s="457" t="s">
        <v>506</v>
      </c>
      <c r="V10" s="457" t="s">
        <v>507</v>
      </c>
      <c r="W10" s="457" t="s">
        <v>508</v>
      </c>
      <c r="X10" s="457" t="s">
        <v>509</v>
      </c>
      <c r="Y10" s="457" t="s">
        <v>510</v>
      </c>
      <c r="Z10" s="457" t="s">
        <v>511</v>
      </c>
      <c r="AA10" s="457" t="s">
        <v>512</v>
      </c>
      <c r="AB10" s="457" t="s">
        <v>513</v>
      </c>
      <c r="AC10" s="457" t="s">
        <v>514</v>
      </c>
      <c r="AD10" s="457" t="s">
        <v>515</v>
      </c>
      <c r="AE10" s="457" t="s">
        <v>516</v>
      </c>
      <c r="AF10" s="457" t="s">
        <v>517</v>
      </c>
      <c r="AG10" s="457" t="s">
        <v>518</v>
      </c>
      <c r="AH10" s="457" t="s">
        <v>519</v>
      </c>
      <c r="AI10" s="459" t="s">
        <v>520</v>
      </c>
      <c r="AJ10" s="459" t="s">
        <v>521</v>
      </c>
      <c r="AK10" s="459" t="s">
        <v>522</v>
      </c>
      <c r="AL10" s="451" t="s">
        <v>523</v>
      </c>
    </row>
    <row r="11" spans="2:38" ht="48" thickBot="1" x14ac:dyDescent="0.25">
      <c r="B11" s="175" t="s">
        <v>524</v>
      </c>
      <c r="C11" s="176" t="s">
        <v>525</v>
      </c>
      <c r="D11" s="176" t="s">
        <v>526</v>
      </c>
      <c r="E11" s="453" t="s">
        <v>527</v>
      </c>
      <c r="F11" s="454"/>
      <c r="G11" s="176" t="s">
        <v>528</v>
      </c>
      <c r="H11" s="177" t="s">
        <v>529</v>
      </c>
      <c r="I11" s="491"/>
      <c r="J11" s="493"/>
      <c r="K11" s="493"/>
      <c r="L11" s="462"/>
      <c r="M11" s="462"/>
      <c r="N11" s="462"/>
      <c r="O11" s="464"/>
      <c r="P11" s="464"/>
      <c r="Q11" s="464"/>
      <c r="R11" s="464"/>
      <c r="S11" s="464"/>
      <c r="T11" s="458"/>
      <c r="U11" s="458"/>
      <c r="V11" s="458"/>
      <c r="W11" s="458"/>
      <c r="X11" s="458"/>
      <c r="Y11" s="458"/>
      <c r="Z11" s="458"/>
      <c r="AA11" s="458"/>
      <c r="AB11" s="458"/>
      <c r="AC11" s="458"/>
      <c r="AD11" s="458"/>
      <c r="AE11" s="458"/>
      <c r="AF11" s="458"/>
      <c r="AG11" s="458"/>
      <c r="AH11" s="458"/>
      <c r="AI11" s="460"/>
      <c r="AJ11" s="460"/>
      <c r="AK11" s="460"/>
      <c r="AL11" s="452"/>
    </row>
    <row r="12" spans="2:38" ht="21" thickBot="1" x14ac:dyDescent="0.25">
      <c r="B12" s="455" t="s">
        <v>530</v>
      </c>
      <c r="C12" s="456"/>
      <c r="D12" s="456"/>
      <c r="E12" s="456"/>
      <c r="F12" s="456"/>
      <c r="G12" s="456"/>
      <c r="H12" s="456"/>
      <c r="I12" s="178"/>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80"/>
    </row>
    <row r="13" spans="2:38" ht="277.5" customHeight="1" x14ac:dyDescent="0.2">
      <c r="B13" s="181" t="s">
        <v>409</v>
      </c>
      <c r="C13" s="182" t="s">
        <v>531</v>
      </c>
      <c r="D13" s="183" t="s">
        <v>532</v>
      </c>
      <c r="E13" s="184" t="s">
        <v>533</v>
      </c>
      <c r="F13" s="184"/>
      <c r="G13" s="184" t="s">
        <v>534</v>
      </c>
      <c r="H13" s="185" t="s">
        <v>535</v>
      </c>
      <c r="I13" s="186" t="s">
        <v>533</v>
      </c>
      <c r="J13" s="187"/>
      <c r="K13" s="187"/>
      <c r="L13" s="188" t="s">
        <v>533</v>
      </c>
      <c r="M13" s="188" t="s">
        <v>533</v>
      </c>
      <c r="N13" s="188" t="s">
        <v>533</v>
      </c>
      <c r="O13" s="189" t="s">
        <v>533</v>
      </c>
      <c r="P13" s="189"/>
      <c r="Q13" s="189"/>
      <c r="R13" s="189"/>
      <c r="S13" s="189"/>
      <c r="T13" s="190" t="s">
        <v>533</v>
      </c>
      <c r="U13" s="190"/>
      <c r="V13" s="190"/>
      <c r="W13" s="190"/>
      <c r="X13" s="190"/>
      <c r="Y13" s="190"/>
      <c r="Z13" s="190"/>
      <c r="AA13" s="190"/>
      <c r="AB13" s="190"/>
      <c r="AC13" s="190"/>
      <c r="AD13" s="190"/>
      <c r="AE13" s="190"/>
      <c r="AF13" s="190"/>
      <c r="AG13" s="190"/>
      <c r="AH13" s="190"/>
      <c r="AI13" s="191" t="s">
        <v>533</v>
      </c>
      <c r="AJ13" s="191"/>
      <c r="AK13" s="191"/>
      <c r="AL13" s="191" t="s">
        <v>533</v>
      </c>
    </row>
    <row r="14" spans="2:38" ht="109.5" customHeight="1" x14ac:dyDescent="0.2">
      <c r="B14" s="181" t="s">
        <v>411</v>
      </c>
      <c r="C14" s="182" t="s">
        <v>536</v>
      </c>
      <c r="D14" s="183" t="s">
        <v>537</v>
      </c>
      <c r="E14" s="184" t="s">
        <v>533</v>
      </c>
      <c r="F14" s="184"/>
      <c r="G14" s="184" t="s">
        <v>538</v>
      </c>
      <c r="H14" s="185" t="s">
        <v>539</v>
      </c>
      <c r="I14" s="192" t="s">
        <v>533</v>
      </c>
      <c r="J14" s="193"/>
      <c r="K14" s="193"/>
      <c r="L14" s="194" t="s">
        <v>533</v>
      </c>
      <c r="M14" s="194" t="s">
        <v>533</v>
      </c>
      <c r="N14" s="194" t="s">
        <v>533</v>
      </c>
      <c r="O14" s="195" t="s">
        <v>533</v>
      </c>
      <c r="P14" s="195"/>
      <c r="Q14" s="195"/>
      <c r="R14" s="195"/>
      <c r="S14" s="195"/>
      <c r="T14" s="196" t="s">
        <v>533</v>
      </c>
      <c r="U14" s="196"/>
      <c r="V14" s="196"/>
      <c r="W14" s="196"/>
      <c r="X14" s="196"/>
      <c r="Y14" s="196"/>
      <c r="Z14" s="196"/>
      <c r="AA14" s="196"/>
      <c r="AB14" s="196"/>
      <c r="AC14" s="196"/>
      <c r="AD14" s="196"/>
      <c r="AE14" s="196"/>
      <c r="AF14" s="196"/>
      <c r="AG14" s="196"/>
      <c r="AH14" s="196"/>
      <c r="AI14" s="197" t="s">
        <v>533</v>
      </c>
      <c r="AJ14" s="197" t="s">
        <v>533</v>
      </c>
      <c r="AK14" s="197"/>
      <c r="AL14" s="197" t="s">
        <v>533</v>
      </c>
    </row>
    <row r="15" spans="2:38" ht="109.15" customHeight="1" x14ac:dyDescent="0.2">
      <c r="B15" s="181" t="s">
        <v>413</v>
      </c>
      <c r="C15" s="182" t="s">
        <v>540</v>
      </c>
      <c r="D15" s="183" t="s">
        <v>541</v>
      </c>
      <c r="E15" s="184" t="s">
        <v>533</v>
      </c>
      <c r="F15" s="184"/>
      <c r="G15" s="184" t="s">
        <v>538</v>
      </c>
      <c r="H15" s="185" t="s">
        <v>542</v>
      </c>
      <c r="I15" s="192" t="s">
        <v>533</v>
      </c>
      <c r="J15" s="193"/>
      <c r="K15" s="193"/>
      <c r="L15" s="194" t="s">
        <v>533</v>
      </c>
      <c r="M15" s="194" t="s">
        <v>533</v>
      </c>
      <c r="N15" s="194" t="s">
        <v>533</v>
      </c>
      <c r="O15" s="195"/>
      <c r="P15" s="195" t="s">
        <v>533</v>
      </c>
      <c r="Q15" s="195"/>
      <c r="R15" s="195"/>
      <c r="S15" s="195"/>
      <c r="T15" s="196" t="s">
        <v>533</v>
      </c>
      <c r="U15" s="196"/>
      <c r="V15" s="196"/>
      <c r="W15" s="196"/>
      <c r="X15" s="196"/>
      <c r="Y15" s="196"/>
      <c r="Z15" s="196"/>
      <c r="AA15" s="196"/>
      <c r="AB15" s="196" t="s">
        <v>533</v>
      </c>
      <c r="AC15" s="196"/>
      <c r="AD15" s="196"/>
      <c r="AE15" s="196"/>
      <c r="AF15" s="196"/>
      <c r="AG15" s="196"/>
      <c r="AH15" s="196"/>
      <c r="AI15" s="197" t="s">
        <v>533</v>
      </c>
      <c r="AJ15" s="197"/>
      <c r="AK15" s="197"/>
      <c r="AL15" s="197"/>
    </row>
    <row r="16" spans="2:38" ht="168" customHeight="1" x14ac:dyDescent="0.2">
      <c r="B16" s="181" t="s">
        <v>415</v>
      </c>
      <c r="C16" s="182" t="s">
        <v>543</v>
      </c>
      <c r="D16" s="183" t="s">
        <v>544</v>
      </c>
      <c r="E16" s="184" t="s">
        <v>533</v>
      </c>
      <c r="F16" s="184"/>
      <c r="G16" s="184" t="s">
        <v>545</v>
      </c>
      <c r="H16" s="185" t="s">
        <v>546</v>
      </c>
      <c r="I16" s="192" t="s">
        <v>533</v>
      </c>
      <c r="J16" s="193"/>
      <c r="K16" s="193"/>
      <c r="L16" s="194" t="s">
        <v>533</v>
      </c>
      <c r="M16" s="194" t="s">
        <v>533</v>
      </c>
      <c r="N16" s="194" t="s">
        <v>533</v>
      </c>
      <c r="O16" s="195" t="s">
        <v>533</v>
      </c>
      <c r="P16" s="195"/>
      <c r="Q16" s="195"/>
      <c r="R16" s="195"/>
      <c r="S16" s="195"/>
      <c r="T16" s="196" t="s">
        <v>533</v>
      </c>
      <c r="U16" s="196"/>
      <c r="V16" s="196"/>
      <c r="W16" s="196"/>
      <c r="X16" s="196"/>
      <c r="Y16" s="196"/>
      <c r="Z16" s="196"/>
      <c r="AA16" s="196"/>
      <c r="AB16" s="196"/>
      <c r="AC16" s="196"/>
      <c r="AD16" s="196"/>
      <c r="AE16" s="196"/>
      <c r="AF16" s="196"/>
      <c r="AG16" s="196"/>
      <c r="AH16" s="196"/>
      <c r="AI16" s="197" t="s">
        <v>533</v>
      </c>
      <c r="AJ16" s="197"/>
      <c r="AK16" s="197"/>
      <c r="AL16" s="197"/>
    </row>
    <row r="17" spans="2:38" ht="174.75" customHeight="1" x14ac:dyDescent="0.2">
      <c r="B17" s="181" t="s">
        <v>417</v>
      </c>
      <c r="C17" s="182" t="s">
        <v>547</v>
      </c>
      <c r="D17" s="183" t="s">
        <v>548</v>
      </c>
      <c r="E17" s="184" t="s">
        <v>533</v>
      </c>
      <c r="F17" s="184"/>
      <c r="G17" s="184" t="s">
        <v>549</v>
      </c>
      <c r="H17" s="185" t="s">
        <v>550</v>
      </c>
      <c r="I17" s="192" t="s">
        <v>533</v>
      </c>
      <c r="J17" s="193"/>
      <c r="K17" s="193" t="s">
        <v>533</v>
      </c>
      <c r="L17" s="194" t="s">
        <v>533</v>
      </c>
      <c r="M17" s="194" t="s">
        <v>533</v>
      </c>
      <c r="N17" s="194" t="s">
        <v>533</v>
      </c>
      <c r="O17" s="195" t="s">
        <v>533</v>
      </c>
      <c r="P17" s="195" t="s">
        <v>533</v>
      </c>
      <c r="Q17" s="195"/>
      <c r="R17" s="195" t="s">
        <v>533</v>
      </c>
      <c r="S17" s="195" t="s">
        <v>533</v>
      </c>
      <c r="T17" s="196" t="s">
        <v>533</v>
      </c>
      <c r="U17" s="196"/>
      <c r="V17" s="196"/>
      <c r="W17" s="196"/>
      <c r="X17" s="196"/>
      <c r="Y17" s="196"/>
      <c r="Z17" s="196"/>
      <c r="AA17" s="196"/>
      <c r="AB17" s="196"/>
      <c r="AC17" s="196"/>
      <c r="AD17" s="196"/>
      <c r="AE17" s="196"/>
      <c r="AF17" s="196"/>
      <c r="AG17" s="196"/>
      <c r="AH17" s="196"/>
      <c r="AI17" s="197"/>
      <c r="AJ17" s="197"/>
      <c r="AK17" s="197" t="s">
        <v>533</v>
      </c>
      <c r="AL17" s="197" t="s">
        <v>533</v>
      </c>
    </row>
    <row r="18" spans="2:38" ht="174.75" customHeight="1" x14ac:dyDescent="0.2">
      <c r="B18" s="181" t="s">
        <v>419</v>
      </c>
      <c r="C18" s="182" t="s">
        <v>551</v>
      </c>
      <c r="D18" s="183" t="s">
        <v>552</v>
      </c>
      <c r="E18" s="184" t="s">
        <v>533</v>
      </c>
      <c r="F18" s="184"/>
      <c r="G18" s="184" t="s">
        <v>549</v>
      </c>
      <c r="H18" s="185" t="s">
        <v>550</v>
      </c>
      <c r="I18" s="192" t="s">
        <v>533</v>
      </c>
      <c r="J18" s="193"/>
      <c r="K18" s="193" t="s">
        <v>533</v>
      </c>
      <c r="L18" s="194" t="s">
        <v>533</v>
      </c>
      <c r="M18" s="194" t="s">
        <v>533</v>
      </c>
      <c r="N18" s="194" t="s">
        <v>533</v>
      </c>
      <c r="O18" s="195"/>
      <c r="P18" s="195" t="s">
        <v>533</v>
      </c>
      <c r="Q18" s="195"/>
      <c r="R18" s="195" t="s">
        <v>533</v>
      </c>
      <c r="S18" s="195" t="s">
        <v>533</v>
      </c>
      <c r="T18" s="196" t="s">
        <v>533</v>
      </c>
      <c r="U18" s="196"/>
      <c r="V18" s="196"/>
      <c r="W18" s="196"/>
      <c r="X18" s="196"/>
      <c r="Y18" s="196"/>
      <c r="Z18" s="196"/>
      <c r="AA18" s="196"/>
      <c r="AB18" s="196"/>
      <c r="AC18" s="196"/>
      <c r="AD18" s="196"/>
      <c r="AE18" s="196"/>
      <c r="AF18" s="196"/>
      <c r="AG18" s="196"/>
      <c r="AH18" s="196"/>
      <c r="AI18" s="197"/>
      <c r="AJ18" s="197"/>
      <c r="AK18" s="197" t="s">
        <v>533</v>
      </c>
      <c r="AL18" s="197"/>
    </row>
    <row r="19" spans="2:38" ht="137.25" customHeight="1" x14ac:dyDescent="0.2">
      <c r="B19" s="181" t="s">
        <v>421</v>
      </c>
      <c r="C19" s="182" t="s">
        <v>553</v>
      </c>
      <c r="D19" s="183" t="s">
        <v>554</v>
      </c>
      <c r="E19" s="184" t="s">
        <v>533</v>
      </c>
      <c r="F19" s="184"/>
      <c r="G19" s="184" t="s">
        <v>555</v>
      </c>
      <c r="H19" s="185" t="s">
        <v>556</v>
      </c>
      <c r="I19" s="192" t="s">
        <v>533</v>
      </c>
      <c r="J19" s="193" t="s">
        <v>533</v>
      </c>
      <c r="K19" s="193" t="s">
        <v>533</v>
      </c>
      <c r="L19" s="194" t="s">
        <v>533</v>
      </c>
      <c r="M19" s="194" t="s">
        <v>533</v>
      </c>
      <c r="N19" s="194" t="s">
        <v>533</v>
      </c>
      <c r="O19" s="195" t="s">
        <v>533</v>
      </c>
      <c r="P19" s="195"/>
      <c r="Q19" s="195" t="s">
        <v>533</v>
      </c>
      <c r="R19" s="195" t="s">
        <v>533</v>
      </c>
      <c r="S19" s="195"/>
      <c r="T19" s="196"/>
      <c r="U19" s="196"/>
      <c r="V19" s="196"/>
      <c r="W19" s="196"/>
      <c r="X19" s="196"/>
      <c r="Y19" s="196"/>
      <c r="Z19" s="196"/>
      <c r="AA19" s="196"/>
      <c r="AB19" s="196"/>
      <c r="AC19" s="196" t="s">
        <v>533</v>
      </c>
      <c r="AD19" s="196"/>
      <c r="AE19" s="196"/>
      <c r="AF19" s="196"/>
      <c r="AG19" s="196"/>
      <c r="AH19" s="196"/>
      <c r="AI19" s="197"/>
      <c r="AJ19" s="197"/>
      <c r="AK19" s="197" t="s">
        <v>533</v>
      </c>
      <c r="AL19" s="197" t="s">
        <v>533</v>
      </c>
    </row>
    <row r="20" spans="2:38" ht="114.6" customHeight="1" x14ac:dyDescent="0.2">
      <c r="B20" s="181" t="s">
        <v>423</v>
      </c>
      <c r="C20" s="182" t="s">
        <v>557</v>
      </c>
      <c r="D20" s="183" t="s">
        <v>558</v>
      </c>
      <c r="E20" s="184" t="s">
        <v>533</v>
      </c>
      <c r="F20" s="184"/>
      <c r="G20" s="184" t="s">
        <v>559</v>
      </c>
      <c r="H20" s="198" t="s">
        <v>560</v>
      </c>
      <c r="I20" s="192" t="s">
        <v>533</v>
      </c>
      <c r="J20" s="193"/>
      <c r="K20" s="193"/>
      <c r="L20" s="194" t="s">
        <v>533</v>
      </c>
      <c r="M20" s="194" t="s">
        <v>533</v>
      </c>
      <c r="N20" s="194" t="s">
        <v>533</v>
      </c>
      <c r="O20" s="195" t="s">
        <v>533</v>
      </c>
      <c r="P20" s="195" t="s">
        <v>533</v>
      </c>
      <c r="Q20" s="195"/>
      <c r="R20" s="195"/>
      <c r="S20" s="195"/>
      <c r="T20" s="196" t="s">
        <v>533</v>
      </c>
      <c r="U20" s="196"/>
      <c r="V20" s="196"/>
      <c r="W20" s="196"/>
      <c r="X20" s="196"/>
      <c r="Y20" s="196"/>
      <c r="Z20" s="196"/>
      <c r="AA20" s="196"/>
      <c r="AB20" s="196"/>
      <c r="AC20" s="196"/>
      <c r="AD20" s="196"/>
      <c r="AE20" s="196"/>
      <c r="AF20" s="196"/>
      <c r="AG20" s="196"/>
      <c r="AH20" s="196"/>
      <c r="AI20" s="197" t="s">
        <v>533</v>
      </c>
      <c r="AJ20" s="197" t="s">
        <v>533</v>
      </c>
      <c r="AK20" s="197"/>
      <c r="AL20" s="197"/>
    </row>
    <row r="21" spans="2:38" ht="108.75" customHeight="1" x14ac:dyDescent="0.2">
      <c r="B21" s="181" t="s">
        <v>425</v>
      </c>
      <c r="C21" s="182" t="s">
        <v>561</v>
      </c>
      <c r="D21" s="199" t="s">
        <v>562</v>
      </c>
      <c r="E21" s="184" t="s">
        <v>533</v>
      </c>
      <c r="F21" s="184"/>
      <c r="G21" s="184" t="s">
        <v>563</v>
      </c>
      <c r="H21" s="198" t="s">
        <v>564</v>
      </c>
      <c r="I21" s="192" t="s">
        <v>533</v>
      </c>
      <c r="J21" s="193"/>
      <c r="K21" s="193"/>
      <c r="L21" s="194" t="s">
        <v>533</v>
      </c>
      <c r="M21" s="194" t="s">
        <v>533</v>
      </c>
      <c r="N21" s="194" t="s">
        <v>533</v>
      </c>
      <c r="O21" s="195" t="s">
        <v>533</v>
      </c>
      <c r="P21" s="195"/>
      <c r="Q21" s="195"/>
      <c r="R21" s="195"/>
      <c r="S21" s="195"/>
      <c r="T21" s="196"/>
      <c r="U21" s="196" t="s">
        <v>533</v>
      </c>
      <c r="V21" s="196"/>
      <c r="W21" s="196"/>
      <c r="X21" s="196"/>
      <c r="Y21" s="196"/>
      <c r="Z21" s="196"/>
      <c r="AA21" s="196"/>
      <c r="AB21" s="196"/>
      <c r="AC21" s="196"/>
      <c r="AD21" s="196"/>
      <c r="AE21" s="196"/>
      <c r="AF21" s="196"/>
      <c r="AG21" s="196"/>
      <c r="AH21" s="196"/>
      <c r="AI21" s="197"/>
      <c r="AJ21" s="197"/>
      <c r="AK21" s="197"/>
      <c r="AL21" s="197"/>
    </row>
    <row r="22" spans="2:38" ht="100.5" customHeight="1" x14ac:dyDescent="0.2">
      <c r="B22" s="181" t="s">
        <v>427</v>
      </c>
      <c r="C22" s="182" t="s">
        <v>565</v>
      </c>
      <c r="D22" s="199" t="s">
        <v>566</v>
      </c>
      <c r="E22" s="184" t="s">
        <v>533</v>
      </c>
      <c r="F22" s="184"/>
      <c r="G22" s="184" t="s">
        <v>559</v>
      </c>
      <c r="H22" s="198" t="s">
        <v>567</v>
      </c>
      <c r="I22" s="192" t="s">
        <v>533</v>
      </c>
      <c r="J22" s="193"/>
      <c r="K22" s="193"/>
      <c r="L22" s="194" t="s">
        <v>533</v>
      </c>
      <c r="M22" s="194" t="s">
        <v>533</v>
      </c>
      <c r="N22" s="194" t="s">
        <v>533</v>
      </c>
      <c r="O22" s="195"/>
      <c r="P22" s="195" t="s">
        <v>533</v>
      </c>
      <c r="Q22" s="195"/>
      <c r="R22" s="195"/>
      <c r="S22" s="195"/>
      <c r="T22" s="196"/>
      <c r="U22" s="196" t="s">
        <v>533</v>
      </c>
      <c r="V22" s="196" t="s">
        <v>533</v>
      </c>
      <c r="W22" s="196"/>
      <c r="X22" s="196"/>
      <c r="Y22" s="196"/>
      <c r="Z22" s="196"/>
      <c r="AA22" s="196"/>
      <c r="AB22" s="196"/>
      <c r="AC22" s="196"/>
      <c r="AD22" s="196"/>
      <c r="AE22" s="196"/>
      <c r="AF22" s="196"/>
      <c r="AG22" s="196"/>
      <c r="AH22" s="196"/>
      <c r="AI22" s="197" t="s">
        <v>533</v>
      </c>
      <c r="AJ22" s="197" t="s">
        <v>533</v>
      </c>
      <c r="AK22" s="197"/>
      <c r="AL22" s="197"/>
    </row>
    <row r="23" spans="2:38" ht="154.5" customHeight="1" x14ac:dyDescent="0.2">
      <c r="B23" s="181" t="s">
        <v>429</v>
      </c>
      <c r="C23" s="182" t="s">
        <v>568</v>
      </c>
      <c r="D23" s="183" t="s">
        <v>569</v>
      </c>
      <c r="E23" s="184" t="s">
        <v>533</v>
      </c>
      <c r="F23" s="184"/>
      <c r="G23" s="184" t="s">
        <v>559</v>
      </c>
      <c r="H23" s="200" t="s">
        <v>570</v>
      </c>
      <c r="I23" s="192" t="s">
        <v>533</v>
      </c>
      <c r="J23" s="193"/>
      <c r="K23" s="193"/>
      <c r="L23" s="194" t="s">
        <v>533</v>
      </c>
      <c r="M23" s="194" t="s">
        <v>533</v>
      </c>
      <c r="N23" s="194" t="s">
        <v>533</v>
      </c>
      <c r="O23" s="195"/>
      <c r="P23" s="195" t="s">
        <v>533</v>
      </c>
      <c r="Q23" s="195"/>
      <c r="R23" s="195"/>
      <c r="S23" s="195"/>
      <c r="T23" s="196"/>
      <c r="U23" s="196" t="s">
        <v>533</v>
      </c>
      <c r="V23" s="196"/>
      <c r="W23" s="196"/>
      <c r="X23" s="196"/>
      <c r="Y23" s="196"/>
      <c r="Z23" s="196"/>
      <c r="AA23" s="196"/>
      <c r="AB23" s="196"/>
      <c r="AC23" s="196"/>
      <c r="AD23" s="196"/>
      <c r="AE23" s="196"/>
      <c r="AF23" s="196"/>
      <c r="AG23" s="196"/>
      <c r="AH23" s="196"/>
      <c r="AI23" s="197"/>
      <c r="AJ23" s="197" t="s">
        <v>533</v>
      </c>
      <c r="AK23" s="197"/>
      <c r="AL23" s="197"/>
    </row>
    <row r="24" spans="2:38" ht="152.25" customHeight="1" x14ac:dyDescent="0.2">
      <c r="B24" s="181" t="s">
        <v>571</v>
      </c>
      <c r="C24" s="182" t="s">
        <v>572</v>
      </c>
      <c r="D24" s="183" t="s">
        <v>573</v>
      </c>
      <c r="E24" s="184" t="s">
        <v>533</v>
      </c>
      <c r="F24" s="184"/>
      <c r="G24" s="184" t="s">
        <v>559</v>
      </c>
      <c r="H24" s="200" t="s">
        <v>574</v>
      </c>
      <c r="I24" s="201" t="s">
        <v>533</v>
      </c>
      <c r="J24" s="202"/>
      <c r="K24" s="202"/>
      <c r="L24" s="203" t="s">
        <v>533</v>
      </c>
      <c r="M24" s="203" t="s">
        <v>533</v>
      </c>
      <c r="N24" s="203" t="s">
        <v>533</v>
      </c>
      <c r="O24" s="204" t="s">
        <v>533</v>
      </c>
      <c r="P24" s="204"/>
      <c r="Q24" s="204"/>
      <c r="R24" s="204"/>
      <c r="S24" s="204"/>
      <c r="T24" s="205"/>
      <c r="U24" s="205"/>
      <c r="V24" s="205" t="s">
        <v>533</v>
      </c>
      <c r="W24" s="205"/>
      <c r="X24" s="205"/>
      <c r="Y24" s="205"/>
      <c r="Z24" s="205"/>
      <c r="AA24" s="205"/>
      <c r="AB24" s="205"/>
      <c r="AC24" s="205"/>
      <c r="AD24" s="205"/>
      <c r="AE24" s="205"/>
      <c r="AF24" s="205"/>
      <c r="AG24" s="205"/>
      <c r="AH24" s="205"/>
      <c r="AI24" s="206"/>
      <c r="AJ24" s="206" t="s">
        <v>533</v>
      </c>
      <c r="AK24" s="206" t="s">
        <v>533</v>
      </c>
      <c r="AL24" s="207"/>
    </row>
    <row r="25" spans="2:38" ht="147" customHeight="1" x14ac:dyDescent="0.2">
      <c r="B25" s="181" t="s">
        <v>575</v>
      </c>
      <c r="C25" s="182" t="s">
        <v>576</v>
      </c>
      <c r="D25" s="183" t="s">
        <v>577</v>
      </c>
      <c r="E25" s="184" t="s">
        <v>533</v>
      </c>
      <c r="F25" s="184"/>
      <c r="G25" s="184" t="s">
        <v>559</v>
      </c>
      <c r="H25" s="200" t="s">
        <v>578</v>
      </c>
      <c r="I25" s="201" t="s">
        <v>533</v>
      </c>
      <c r="J25" s="202"/>
      <c r="K25" s="202"/>
      <c r="L25" s="203" t="s">
        <v>533</v>
      </c>
      <c r="M25" s="203" t="s">
        <v>533</v>
      </c>
      <c r="N25" s="203" t="s">
        <v>533</v>
      </c>
      <c r="O25" s="204"/>
      <c r="P25" s="204" t="s">
        <v>533</v>
      </c>
      <c r="Q25" s="204"/>
      <c r="R25" s="204"/>
      <c r="S25" s="204"/>
      <c r="T25" s="205"/>
      <c r="U25" s="205"/>
      <c r="V25" s="205" t="s">
        <v>533</v>
      </c>
      <c r="W25" s="205"/>
      <c r="X25" s="205"/>
      <c r="Y25" s="205"/>
      <c r="Z25" s="205"/>
      <c r="AA25" s="205"/>
      <c r="AB25" s="205"/>
      <c r="AC25" s="205"/>
      <c r="AD25" s="205"/>
      <c r="AE25" s="205"/>
      <c r="AF25" s="205"/>
      <c r="AG25" s="205"/>
      <c r="AH25" s="205"/>
      <c r="AI25" s="206"/>
      <c r="AJ25" s="206" t="s">
        <v>533</v>
      </c>
      <c r="AK25" s="206" t="s">
        <v>533</v>
      </c>
      <c r="AL25" s="206"/>
    </row>
    <row r="26" spans="2:38" ht="127.5" customHeight="1" x14ac:dyDescent="0.2">
      <c r="B26" s="181" t="s">
        <v>579</v>
      </c>
      <c r="C26" s="182" t="s">
        <v>580</v>
      </c>
      <c r="D26" s="183" t="s">
        <v>581</v>
      </c>
      <c r="E26" s="184" t="s">
        <v>533</v>
      </c>
      <c r="F26" s="184"/>
      <c r="G26" s="184" t="s">
        <v>559</v>
      </c>
      <c r="H26" s="200" t="s">
        <v>582</v>
      </c>
      <c r="I26" s="201" t="s">
        <v>533</v>
      </c>
      <c r="J26" s="202"/>
      <c r="K26" s="202"/>
      <c r="L26" s="203" t="s">
        <v>533</v>
      </c>
      <c r="M26" s="203" t="s">
        <v>533</v>
      </c>
      <c r="N26" s="203" t="s">
        <v>533</v>
      </c>
      <c r="O26" s="204"/>
      <c r="P26" s="204" t="s">
        <v>533</v>
      </c>
      <c r="Q26" s="204"/>
      <c r="R26" s="204"/>
      <c r="S26" s="204"/>
      <c r="T26" s="205"/>
      <c r="U26" s="205" t="s">
        <v>533</v>
      </c>
      <c r="V26" s="205" t="s">
        <v>533</v>
      </c>
      <c r="W26" s="205"/>
      <c r="X26" s="205"/>
      <c r="Y26" s="205"/>
      <c r="Z26" s="205"/>
      <c r="AA26" s="205"/>
      <c r="AB26" s="205"/>
      <c r="AC26" s="205"/>
      <c r="AD26" s="205"/>
      <c r="AE26" s="205"/>
      <c r="AF26" s="205"/>
      <c r="AG26" s="205"/>
      <c r="AH26" s="205"/>
      <c r="AI26" s="206"/>
      <c r="AJ26" s="206" t="s">
        <v>533</v>
      </c>
      <c r="AK26" s="206"/>
      <c r="AL26" s="206"/>
    </row>
    <row r="27" spans="2:38" ht="114" customHeight="1" x14ac:dyDescent="0.2">
      <c r="B27" s="181" t="s">
        <v>583</v>
      </c>
      <c r="C27" s="182" t="s">
        <v>584</v>
      </c>
      <c r="D27" s="183" t="s">
        <v>585</v>
      </c>
      <c r="E27" s="184" t="s">
        <v>533</v>
      </c>
      <c r="F27" s="184"/>
      <c r="G27" s="184" t="s">
        <v>586</v>
      </c>
      <c r="H27" s="200" t="s">
        <v>587</v>
      </c>
      <c r="I27" s="201" t="s">
        <v>533</v>
      </c>
      <c r="J27" s="202"/>
      <c r="K27" s="202"/>
      <c r="L27" s="203" t="s">
        <v>533</v>
      </c>
      <c r="M27" s="203" t="s">
        <v>533</v>
      </c>
      <c r="N27" s="203" t="s">
        <v>533</v>
      </c>
      <c r="O27" s="204"/>
      <c r="P27" s="204" t="s">
        <v>533</v>
      </c>
      <c r="Q27" s="204"/>
      <c r="R27" s="204"/>
      <c r="S27" s="204"/>
      <c r="T27" s="205"/>
      <c r="U27" s="205"/>
      <c r="V27" s="205"/>
      <c r="W27" s="205"/>
      <c r="X27" s="205"/>
      <c r="Y27" s="205"/>
      <c r="Z27" s="205"/>
      <c r="AA27" s="205"/>
      <c r="AB27" s="205" t="s">
        <v>533</v>
      </c>
      <c r="AC27" s="205"/>
      <c r="AD27" s="205"/>
      <c r="AE27" s="205"/>
      <c r="AF27" s="205"/>
      <c r="AG27" s="205"/>
      <c r="AH27" s="205"/>
      <c r="AI27" s="206"/>
      <c r="AJ27" s="206" t="s">
        <v>533</v>
      </c>
      <c r="AK27" s="206"/>
      <c r="AL27" s="206"/>
    </row>
    <row r="28" spans="2:38" ht="159.75" customHeight="1" x14ac:dyDescent="0.2">
      <c r="B28" s="181" t="s">
        <v>588</v>
      </c>
      <c r="C28" s="182" t="s">
        <v>589</v>
      </c>
      <c r="D28" s="183" t="s">
        <v>590</v>
      </c>
      <c r="E28" s="184" t="s">
        <v>533</v>
      </c>
      <c r="F28" s="184"/>
      <c r="G28" s="184" t="s">
        <v>591</v>
      </c>
      <c r="H28" s="200" t="s">
        <v>592</v>
      </c>
      <c r="I28" s="201" t="s">
        <v>533</v>
      </c>
      <c r="J28" s="202"/>
      <c r="K28" s="202"/>
      <c r="L28" s="203" t="s">
        <v>533</v>
      </c>
      <c r="M28" s="203" t="s">
        <v>533</v>
      </c>
      <c r="N28" s="203" t="s">
        <v>533</v>
      </c>
      <c r="O28" s="204"/>
      <c r="P28" s="204" t="s">
        <v>533</v>
      </c>
      <c r="Q28" s="204"/>
      <c r="R28" s="204"/>
      <c r="S28" s="204"/>
      <c r="T28" s="205"/>
      <c r="U28" s="205"/>
      <c r="V28" s="205"/>
      <c r="W28" s="205"/>
      <c r="X28" s="205"/>
      <c r="Y28" s="205"/>
      <c r="Z28" s="205"/>
      <c r="AA28" s="205"/>
      <c r="AB28" s="205" t="s">
        <v>533</v>
      </c>
      <c r="AC28" s="205"/>
      <c r="AD28" s="205"/>
      <c r="AE28" s="205"/>
      <c r="AF28" s="205"/>
      <c r="AG28" s="205"/>
      <c r="AH28" s="205"/>
      <c r="AI28" s="206"/>
      <c r="AJ28" s="206" t="s">
        <v>533</v>
      </c>
      <c r="AK28" s="206"/>
      <c r="AL28" s="206"/>
    </row>
    <row r="29" spans="2:38" ht="188.25" customHeight="1" x14ac:dyDescent="0.2">
      <c r="B29" s="181" t="s">
        <v>593</v>
      </c>
      <c r="C29" s="182" t="s">
        <v>594</v>
      </c>
      <c r="D29" s="183" t="s">
        <v>595</v>
      </c>
      <c r="E29" s="184" t="s">
        <v>533</v>
      </c>
      <c r="F29" s="184"/>
      <c r="G29" s="184" t="s">
        <v>591</v>
      </c>
      <c r="H29" s="200" t="s">
        <v>596</v>
      </c>
      <c r="I29" s="201" t="s">
        <v>533</v>
      </c>
      <c r="J29" s="202"/>
      <c r="K29" s="202"/>
      <c r="L29" s="203" t="s">
        <v>533</v>
      </c>
      <c r="M29" s="203" t="s">
        <v>533</v>
      </c>
      <c r="N29" s="203" t="s">
        <v>533</v>
      </c>
      <c r="O29" s="204"/>
      <c r="P29" s="204" t="s">
        <v>533</v>
      </c>
      <c r="Q29" s="204"/>
      <c r="R29" s="204"/>
      <c r="S29" s="204"/>
      <c r="T29" s="205"/>
      <c r="U29" s="205"/>
      <c r="V29" s="205"/>
      <c r="W29" s="205"/>
      <c r="X29" s="205"/>
      <c r="Y29" s="205"/>
      <c r="Z29" s="205"/>
      <c r="AA29" s="205"/>
      <c r="AB29" s="205" t="s">
        <v>533</v>
      </c>
      <c r="AC29" s="205"/>
      <c r="AD29" s="205"/>
      <c r="AE29" s="205"/>
      <c r="AF29" s="205"/>
      <c r="AG29" s="205"/>
      <c r="AH29" s="205"/>
      <c r="AI29" s="206"/>
      <c r="AJ29" s="206" t="s">
        <v>533</v>
      </c>
      <c r="AK29" s="206"/>
      <c r="AL29" s="206"/>
    </row>
    <row r="30" spans="2:38" ht="140.25" customHeight="1" x14ac:dyDescent="0.2">
      <c r="B30" s="181" t="s">
        <v>597</v>
      </c>
      <c r="C30" s="182" t="s">
        <v>598</v>
      </c>
      <c r="D30" s="183" t="s">
        <v>599</v>
      </c>
      <c r="E30" s="184" t="s">
        <v>533</v>
      </c>
      <c r="F30" s="184"/>
      <c r="G30" s="184" t="s">
        <v>600</v>
      </c>
      <c r="H30" s="200" t="s">
        <v>601</v>
      </c>
      <c r="I30" s="201" t="s">
        <v>533</v>
      </c>
      <c r="J30" s="202"/>
      <c r="K30" s="202"/>
      <c r="L30" s="203" t="s">
        <v>533</v>
      </c>
      <c r="M30" s="203" t="s">
        <v>533</v>
      </c>
      <c r="N30" s="203" t="s">
        <v>533</v>
      </c>
      <c r="O30" s="204"/>
      <c r="P30" s="204" t="s">
        <v>533</v>
      </c>
      <c r="Q30" s="204"/>
      <c r="R30" s="204"/>
      <c r="S30" s="204"/>
      <c r="T30" s="205"/>
      <c r="U30" s="205"/>
      <c r="V30" s="205"/>
      <c r="W30" s="205"/>
      <c r="X30" s="205"/>
      <c r="Y30" s="205"/>
      <c r="Z30" s="205"/>
      <c r="AA30" s="205"/>
      <c r="AB30" s="205" t="s">
        <v>533</v>
      </c>
      <c r="AC30" s="205"/>
      <c r="AD30" s="205"/>
      <c r="AE30" s="205"/>
      <c r="AF30" s="205"/>
      <c r="AG30" s="205"/>
      <c r="AH30" s="205"/>
      <c r="AI30" s="206"/>
      <c r="AJ30" s="206" t="s">
        <v>533</v>
      </c>
      <c r="AK30" s="206"/>
      <c r="AL30" s="206"/>
    </row>
    <row r="31" spans="2:38" ht="123.75" customHeight="1" x14ac:dyDescent="0.2">
      <c r="B31" s="181" t="s">
        <v>602</v>
      </c>
      <c r="C31" s="182" t="s">
        <v>603</v>
      </c>
      <c r="D31" s="182" t="s">
        <v>604</v>
      </c>
      <c r="E31" s="184" t="s">
        <v>533</v>
      </c>
      <c r="F31" s="182"/>
      <c r="G31" s="184" t="s">
        <v>559</v>
      </c>
      <c r="H31" s="208" t="s">
        <v>605</v>
      </c>
      <c r="I31" s="201" t="s">
        <v>533</v>
      </c>
      <c r="J31" s="202"/>
      <c r="K31" s="202"/>
      <c r="L31" s="203" t="s">
        <v>533</v>
      </c>
      <c r="M31" s="203" t="s">
        <v>533</v>
      </c>
      <c r="N31" s="203" t="s">
        <v>533</v>
      </c>
      <c r="O31" s="204" t="s">
        <v>533</v>
      </c>
      <c r="P31" s="204"/>
      <c r="Q31" s="204"/>
      <c r="R31" s="204"/>
      <c r="S31" s="204"/>
      <c r="T31" s="205"/>
      <c r="U31" s="205"/>
      <c r="V31" s="205"/>
      <c r="W31" s="205"/>
      <c r="X31" s="205"/>
      <c r="Y31" s="205"/>
      <c r="Z31" s="205"/>
      <c r="AA31" s="205"/>
      <c r="AB31" s="205"/>
      <c r="AC31" s="205"/>
      <c r="AD31" s="205"/>
      <c r="AE31" s="205" t="s">
        <v>533</v>
      </c>
      <c r="AF31" s="205"/>
      <c r="AG31" s="205"/>
      <c r="AH31" s="205"/>
      <c r="AI31" s="206" t="s">
        <v>533</v>
      </c>
      <c r="AJ31" s="206" t="s">
        <v>533</v>
      </c>
      <c r="AK31" s="206"/>
      <c r="AL31" s="206"/>
    </row>
    <row r="32" spans="2:38" ht="101.25" customHeight="1" x14ac:dyDescent="0.2">
      <c r="B32" s="181" t="s">
        <v>606</v>
      </c>
      <c r="C32" s="182" t="s">
        <v>607</v>
      </c>
      <c r="D32" s="182" t="s">
        <v>608</v>
      </c>
      <c r="E32" s="184" t="s">
        <v>533</v>
      </c>
      <c r="F32" s="182"/>
      <c r="G32" s="184" t="s">
        <v>559</v>
      </c>
      <c r="H32" s="208" t="s">
        <v>609</v>
      </c>
      <c r="I32" s="201" t="s">
        <v>533</v>
      </c>
      <c r="J32" s="202"/>
      <c r="K32" s="202"/>
      <c r="L32" s="203" t="s">
        <v>533</v>
      </c>
      <c r="M32" s="203" t="s">
        <v>533</v>
      </c>
      <c r="N32" s="203" t="s">
        <v>533</v>
      </c>
      <c r="O32" s="204" t="s">
        <v>533</v>
      </c>
      <c r="P32" s="204"/>
      <c r="Q32" s="204"/>
      <c r="R32" s="204"/>
      <c r="S32" s="204"/>
      <c r="T32" s="205"/>
      <c r="U32" s="205"/>
      <c r="V32" s="205"/>
      <c r="W32" s="205"/>
      <c r="X32" s="205"/>
      <c r="Y32" s="205"/>
      <c r="Z32" s="205"/>
      <c r="AA32" s="205"/>
      <c r="AB32" s="205"/>
      <c r="AC32" s="205"/>
      <c r="AD32" s="205"/>
      <c r="AE32" s="205" t="s">
        <v>533</v>
      </c>
      <c r="AF32" s="205"/>
      <c r="AG32" s="205"/>
      <c r="AH32" s="205"/>
      <c r="AI32" s="206" t="s">
        <v>533</v>
      </c>
      <c r="AJ32" s="206" t="s">
        <v>533</v>
      </c>
      <c r="AK32" s="206"/>
      <c r="AL32" s="206"/>
    </row>
    <row r="33" spans="2:38" ht="105.75" customHeight="1" x14ac:dyDescent="0.2">
      <c r="B33" s="181" t="s">
        <v>610</v>
      </c>
      <c r="C33" s="182" t="s">
        <v>611</v>
      </c>
      <c r="D33" s="182" t="s">
        <v>612</v>
      </c>
      <c r="E33" s="184" t="s">
        <v>533</v>
      </c>
      <c r="F33" s="182"/>
      <c r="G33" s="184" t="s">
        <v>559</v>
      </c>
      <c r="H33" s="208" t="s">
        <v>605</v>
      </c>
      <c r="I33" s="201" t="s">
        <v>533</v>
      </c>
      <c r="J33" s="202"/>
      <c r="K33" s="202"/>
      <c r="L33" s="203" t="s">
        <v>533</v>
      </c>
      <c r="M33" s="203" t="s">
        <v>533</v>
      </c>
      <c r="N33" s="203" t="s">
        <v>533</v>
      </c>
      <c r="O33" s="204" t="s">
        <v>533</v>
      </c>
      <c r="P33" s="204"/>
      <c r="Q33" s="204"/>
      <c r="R33" s="204"/>
      <c r="S33" s="204"/>
      <c r="T33" s="205"/>
      <c r="U33" s="205"/>
      <c r="V33" s="205"/>
      <c r="W33" s="205"/>
      <c r="X33" s="205"/>
      <c r="Y33" s="205"/>
      <c r="Z33" s="205"/>
      <c r="AA33" s="205"/>
      <c r="AB33" s="205"/>
      <c r="AC33" s="205"/>
      <c r="AD33" s="205"/>
      <c r="AE33" s="205" t="s">
        <v>533</v>
      </c>
      <c r="AF33" s="205"/>
      <c r="AG33" s="205"/>
      <c r="AH33" s="205"/>
      <c r="AI33" s="206" t="s">
        <v>533</v>
      </c>
      <c r="AJ33" s="206" t="s">
        <v>533</v>
      </c>
      <c r="AK33" s="206"/>
      <c r="AL33" s="206"/>
    </row>
    <row r="34" spans="2:38" ht="147.75" customHeight="1" x14ac:dyDescent="0.2">
      <c r="B34" s="181" t="s">
        <v>613</v>
      </c>
      <c r="C34" s="182" t="s">
        <v>614</v>
      </c>
      <c r="D34" s="182" t="s">
        <v>615</v>
      </c>
      <c r="E34" s="184" t="s">
        <v>533</v>
      </c>
      <c r="F34" s="182"/>
      <c r="G34" s="184" t="s">
        <v>559</v>
      </c>
      <c r="H34" s="209" t="s">
        <v>616</v>
      </c>
      <c r="I34" s="201" t="s">
        <v>533</v>
      </c>
      <c r="J34" s="202"/>
      <c r="K34" s="202"/>
      <c r="L34" s="203" t="s">
        <v>533</v>
      </c>
      <c r="M34" s="203" t="s">
        <v>533</v>
      </c>
      <c r="N34" s="203" t="s">
        <v>533</v>
      </c>
      <c r="O34" s="204" t="s">
        <v>533</v>
      </c>
      <c r="P34" s="204"/>
      <c r="Q34" s="204"/>
      <c r="R34" s="204"/>
      <c r="S34" s="204"/>
      <c r="T34" s="205"/>
      <c r="U34" s="205"/>
      <c r="V34" s="205"/>
      <c r="W34" s="205"/>
      <c r="X34" s="205"/>
      <c r="Y34" s="205"/>
      <c r="Z34" s="205"/>
      <c r="AA34" s="205"/>
      <c r="AB34" s="205"/>
      <c r="AC34" s="205"/>
      <c r="AD34" s="205"/>
      <c r="AE34" s="205" t="s">
        <v>533</v>
      </c>
      <c r="AF34" s="205"/>
      <c r="AG34" s="205"/>
      <c r="AH34" s="205"/>
      <c r="AI34" s="206" t="s">
        <v>533</v>
      </c>
      <c r="AJ34" s="206" t="s">
        <v>533</v>
      </c>
      <c r="AK34" s="206" t="s">
        <v>533</v>
      </c>
      <c r="AL34" s="206" t="s">
        <v>533</v>
      </c>
    </row>
    <row r="35" spans="2:38" ht="117" customHeight="1" x14ac:dyDescent="0.2">
      <c r="B35" s="181" t="s">
        <v>617</v>
      </c>
      <c r="C35" s="182" t="s">
        <v>618</v>
      </c>
      <c r="D35" s="183" t="s">
        <v>619</v>
      </c>
      <c r="E35" s="184" t="s">
        <v>533</v>
      </c>
      <c r="F35" s="184"/>
      <c r="G35" s="184" t="s">
        <v>620</v>
      </c>
      <c r="H35" s="200" t="s">
        <v>621</v>
      </c>
      <c r="I35" s="201" t="s">
        <v>533</v>
      </c>
      <c r="J35" s="210"/>
      <c r="K35" s="210"/>
      <c r="L35" s="203" t="s">
        <v>533</v>
      </c>
      <c r="M35" s="203" t="s">
        <v>533</v>
      </c>
      <c r="N35" s="203" t="s">
        <v>533</v>
      </c>
      <c r="O35" s="211"/>
      <c r="P35" s="204" t="s">
        <v>533</v>
      </c>
      <c r="Q35" s="211"/>
      <c r="R35" s="211"/>
      <c r="S35" s="211"/>
      <c r="T35" s="212"/>
      <c r="U35" s="212"/>
      <c r="V35" s="212"/>
      <c r="W35" s="212"/>
      <c r="X35" s="212"/>
      <c r="Y35" s="212"/>
      <c r="Z35" s="212"/>
      <c r="AA35" s="212"/>
      <c r="AB35" s="212"/>
      <c r="AC35" s="212"/>
      <c r="AD35" s="212"/>
      <c r="AE35" s="205" t="s">
        <v>533</v>
      </c>
      <c r="AF35" s="212"/>
      <c r="AG35" s="212"/>
      <c r="AH35" s="212"/>
      <c r="AI35" s="206" t="s">
        <v>533</v>
      </c>
      <c r="AJ35" s="206" t="s">
        <v>533</v>
      </c>
      <c r="AK35" s="213"/>
      <c r="AL35" s="213"/>
    </row>
    <row r="36" spans="2:38" ht="150" customHeight="1" x14ac:dyDescent="0.2">
      <c r="B36" s="181" t="s">
        <v>622</v>
      </c>
      <c r="C36" s="182" t="s">
        <v>623</v>
      </c>
      <c r="D36" s="183" t="s">
        <v>624</v>
      </c>
      <c r="E36" s="184" t="s">
        <v>533</v>
      </c>
      <c r="F36" s="184"/>
      <c r="G36" s="184" t="s">
        <v>559</v>
      </c>
      <c r="H36" s="198" t="s">
        <v>625</v>
      </c>
      <c r="I36" s="201"/>
      <c r="J36" s="214"/>
      <c r="K36" s="214" t="s">
        <v>533</v>
      </c>
      <c r="L36" s="203" t="s">
        <v>533</v>
      </c>
      <c r="M36" s="203" t="s">
        <v>533</v>
      </c>
      <c r="N36" s="203" t="s">
        <v>533</v>
      </c>
      <c r="O36" s="204"/>
      <c r="P36" s="215"/>
      <c r="Q36" s="215"/>
      <c r="R36" s="215" t="s">
        <v>533</v>
      </c>
      <c r="S36" s="215" t="s">
        <v>533</v>
      </c>
      <c r="T36" s="216" t="s">
        <v>533</v>
      </c>
      <c r="U36" s="216"/>
      <c r="V36" s="216"/>
      <c r="W36" s="216"/>
      <c r="X36" s="216"/>
      <c r="Y36" s="216"/>
      <c r="Z36" s="216"/>
      <c r="AA36" s="216"/>
      <c r="AB36" s="216"/>
      <c r="AC36" s="216"/>
      <c r="AD36" s="216"/>
      <c r="AE36" s="216"/>
      <c r="AF36" s="216"/>
      <c r="AG36" s="216" t="s">
        <v>533</v>
      </c>
      <c r="AH36" s="216"/>
      <c r="AI36" s="206"/>
      <c r="AJ36" s="207"/>
      <c r="AK36" s="207" t="s">
        <v>533</v>
      </c>
      <c r="AL36" s="207" t="s">
        <v>533</v>
      </c>
    </row>
    <row r="37" spans="2:38" ht="94.5" customHeight="1" x14ac:dyDescent="0.2">
      <c r="B37" s="181" t="s">
        <v>626</v>
      </c>
      <c r="C37" s="182" t="s">
        <v>627</v>
      </c>
      <c r="D37" s="183" t="s">
        <v>628</v>
      </c>
      <c r="E37" s="184" t="s">
        <v>533</v>
      </c>
      <c r="F37" s="184"/>
      <c r="G37" s="184" t="s">
        <v>559</v>
      </c>
      <c r="H37" s="198" t="s">
        <v>625</v>
      </c>
      <c r="I37" s="217"/>
      <c r="J37" s="214" t="s">
        <v>533</v>
      </c>
      <c r="K37" s="214"/>
      <c r="L37" s="218" t="s">
        <v>533</v>
      </c>
      <c r="M37" s="218" t="s">
        <v>533</v>
      </c>
      <c r="N37" s="218" t="s">
        <v>533</v>
      </c>
      <c r="O37" s="215"/>
      <c r="P37" s="215"/>
      <c r="Q37" s="215" t="s">
        <v>533</v>
      </c>
      <c r="R37" s="215"/>
      <c r="S37" s="215"/>
      <c r="T37" s="216" t="s">
        <v>533</v>
      </c>
      <c r="U37" s="216"/>
      <c r="V37" s="216"/>
      <c r="W37" s="216"/>
      <c r="X37" s="216"/>
      <c r="Y37" s="216"/>
      <c r="Z37" s="216"/>
      <c r="AA37" s="216"/>
      <c r="AB37" s="216"/>
      <c r="AC37" s="216"/>
      <c r="AD37" s="216"/>
      <c r="AE37" s="216"/>
      <c r="AF37" s="216"/>
      <c r="AG37" s="216" t="s">
        <v>533</v>
      </c>
      <c r="AH37" s="216"/>
      <c r="AI37" s="207"/>
      <c r="AJ37" s="207"/>
      <c r="AK37" s="207" t="s">
        <v>533</v>
      </c>
      <c r="AL37" s="207"/>
    </row>
    <row r="38" spans="2:38" ht="90" customHeight="1" x14ac:dyDescent="0.2">
      <c r="B38" s="181" t="s">
        <v>629</v>
      </c>
      <c r="C38" s="182" t="s">
        <v>630</v>
      </c>
      <c r="D38" s="183" t="s">
        <v>631</v>
      </c>
      <c r="E38" s="184" t="s">
        <v>533</v>
      </c>
      <c r="F38" s="184"/>
      <c r="G38" s="184" t="s">
        <v>559</v>
      </c>
      <c r="H38" s="198" t="s">
        <v>625</v>
      </c>
      <c r="I38" s="217"/>
      <c r="J38" s="214" t="s">
        <v>533</v>
      </c>
      <c r="K38" s="214"/>
      <c r="L38" s="218" t="s">
        <v>533</v>
      </c>
      <c r="M38" s="218" t="s">
        <v>533</v>
      </c>
      <c r="N38" s="218" t="s">
        <v>533</v>
      </c>
      <c r="O38" s="215"/>
      <c r="P38" s="215"/>
      <c r="Q38" s="215"/>
      <c r="R38" s="215" t="s">
        <v>533</v>
      </c>
      <c r="S38" s="215" t="s">
        <v>533</v>
      </c>
      <c r="T38" s="216"/>
      <c r="U38" s="216"/>
      <c r="V38" s="216"/>
      <c r="W38" s="216"/>
      <c r="X38" s="216"/>
      <c r="Y38" s="216"/>
      <c r="Z38" s="216"/>
      <c r="AA38" s="216"/>
      <c r="AB38" s="216"/>
      <c r="AC38" s="216"/>
      <c r="AD38" s="216"/>
      <c r="AE38" s="216"/>
      <c r="AF38" s="216"/>
      <c r="AG38" s="216" t="s">
        <v>533</v>
      </c>
      <c r="AH38" s="216"/>
      <c r="AI38" s="207"/>
      <c r="AJ38" s="207"/>
      <c r="AK38" s="207" t="s">
        <v>533</v>
      </c>
      <c r="AL38" s="207"/>
    </row>
    <row r="39" spans="2:38" ht="110.25" customHeight="1" x14ac:dyDescent="0.2">
      <c r="B39" s="181" t="s">
        <v>632</v>
      </c>
      <c r="C39" s="182" t="s">
        <v>633</v>
      </c>
      <c r="D39" s="183" t="s">
        <v>634</v>
      </c>
      <c r="E39" s="184" t="s">
        <v>533</v>
      </c>
      <c r="F39" s="184"/>
      <c r="G39" s="184" t="s">
        <v>559</v>
      </c>
      <c r="H39" s="198" t="s">
        <v>625</v>
      </c>
      <c r="I39" s="217" t="s">
        <v>533</v>
      </c>
      <c r="J39" s="214"/>
      <c r="K39" s="214"/>
      <c r="L39" s="218" t="s">
        <v>533</v>
      </c>
      <c r="M39" s="218" t="s">
        <v>533</v>
      </c>
      <c r="N39" s="218" t="s">
        <v>533</v>
      </c>
      <c r="O39" s="215" t="s">
        <v>533</v>
      </c>
      <c r="P39" s="215"/>
      <c r="Q39" s="215"/>
      <c r="R39" s="215" t="s">
        <v>533</v>
      </c>
      <c r="S39" s="215"/>
      <c r="T39" s="216"/>
      <c r="U39" s="216"/>
      <c r="V39" s="216"/>
      <c r="W39" s="216"/>
      <c r="X39" s="216"/>
      <c r="Y39" s="216"/>
      <c r="Z39" s="216"/>
      <c r="AA39" s="216"/>
      <c r="AB39" s="216"/>
      <c r="AC39" s="216"/>
      <c r="AD39" s="216"/>
      <c r="AE39" s="216"/>
      <c r="AF39" s="216"/>
      <c r="AG39" s="216" t="s">
        <v>533</v>
      </c>
      <c r="AH39" s="216"/>
      <c r="AI39" s="207"/>
      <c r="AJ39" s="207"/>
      <c r="AK39" s="207" t="s">
        <v>533</v>
      </c>
      <c r="AL39" s="207"/>
    </row>
    <row r="40" spans="2:38" ht="132" customHeight="1" x14ac:dyDescent="0.2">
      <c r="B40" s="181" t="s">
        <v>635</v>
      </c>
      <c r="C40" s="182" t="s">
        <v>636</v>
      </c>
      <c r="D40" s="183" t="s">
        <v>637</v>
      </c>
      <c r="E40" s="184" t="s">
        <v>533</v>
      </c>
      <c r="F40" s="184"/>
      <c r="G40" s="184" t="s">
        <v>559</v>
      </c>
      <c r="H40" s="198" t="s">
        <v>625</v>
      </c>
      <c r="I40" s="217"/>
      <c r="J40" s="214"/>
      <c r="K40" s="214" t="s">
        <v>533</v>
      </c>
      <c r="L40" s="218" t="s">
        <v>533</v>
      </c>
      <c r="M40" s="218" t="s">
        <v>533</v>
      </c>
      <c r="N40" s="218" t="s">
        <v>533</v>
      </c>
      <c r="O40" s="215" t="s">
        <v>533</v>
      </c>
      <c r="P40" s="215" t="s">
        <v>533</v>
      </c>
      <c r="Q40" s="215"/>
      <c r="R40" s="215"/>
      <c r="S40" s="215"/>
      <c r="T40" s="216"/>
      <c r="U40" s="216"/>
      <c r="V40" s="216"/>
      <c r="W40" s="216"/>
      <c r="X40" s="216"/>
      <c r="Y40" s="216"/>
      <c r="Z40" s="216"/>
      <c r="AA40" s="216"/>
      <c r="AB40" s="216"/>
      <c r="AC40" s="216"/>
      <c r="AD40" s="216"/>
      <c r="AE40" s="216"/>
      <c r="AF40" s="216"/>
      <c r="AG40" s="216" t="s">
        <v>533</v>
      </c>
      <c r="AH40" s="216"/>
      <c r="AI40" s="207"/>
      <c r="AJ40" s="207"/>
      <c r="AK40" s="207" t="s">
        <v>533</v>
      </c>
      <c r="AL40" s="207"/>
    </row>
    <row r="41" spans="2:38" ht="103.5" customHeight="1" x14ac:dyDescent="0.2">
      <c r="B41" s="181" t="s">
        <v>638</v>
      </c>
      <c r="C41" s="182" t="s">
        <v>639</v>
      </c>
      <c r="D41" s="183" t="s">
        <v>640</v>
      </c>
      <c r="E41" s="184" t="s">
        <v>533</v>
      </c>
      <c r="F41" s="184"/>
      <c r="G41" s="184" t="s">
        <v>641</v>
      </c>
      <c r="H41" s="200" t="s">
        <v>642</v>
      </c>
      <c r="I41" s="217" t="s">
        <v>533</v>
      </c>
      <c r="J41" s="214"/>
      <c r="K41" s="214" t="s">
        <v>533</v>
      </c>
      <c r="L41" s="218" t="s">
        <v>533</v>
      </c>
      <c r="M41" s="218" t="s">
        <v>533</v>
      </c>
      <c r="N41" s="218" t="s">
        <v>533</v>
      </c>
      <c r="O41" s="215"/>
      <c r="P41" s="215" t="s">
        <v>533</v>
      </c>
      <c r="Q41" s="215"/>
      <c r="R41" s="215" t="s">
        <v>533</v>
      </c>
      <c r="S41" s="215"/>
      <c r="T41" s="216"/>
      <c r="U41" s="216"/>
      <c r="V41" s="216"/>
      <c r="W41" s="216"/>
      <c r="X41" s="216"/>
      <c r="Y41" s="216"/>
      <c r="Z41" s="216"/>
      <c r="AA41" s="216"/>
      <c r="AB41" s="216"/>
      <c r="AC41" s="216"/>
      <c r="AD41" s="216" t="s">
        <v>533</v>
      </c>
      <c r="AE41" s="216"/>
      <c r="AF41" s="216"/>
      <c r="AG41" s="216"/>
      <c r="AH41" s="216"/>
      <c r="AI41" s="207"/>
      <c r="AJ41" s="207" t="s">
        <v>533</v>
      </c>
      <c r="AK41" s="207"/>
      <c r="AL41" s="207" t="s">
        <v>533</v>
      </c>
    </row>
    <row r="42" spans="2:38" ht="123" customHeight="1" x14ac:dyDescent="0.2">
      <c r="B42" s="181" t="s">
        <v>643</v>
      </c>
      <c r="C42" s="182" t="s">
        <v>644</v>
      </c>
      <c r="D42" s="183" t="s">
        <v>645</v>
      </c>
      <c r="E42" s="184" t="s">
        <v>533</v>
      </c>
      <c r="F42" s="184"/>
      <c r="G42" s="184" t="s">
        <v>641</v>
      </c>
      <c r="H42" s="200" t="s">
        <v>646</v>
      </c>
      <c r="I42" s="217"/>
      <c r="J42" s="214"/>
      <c r="K42" s="214" t="s">
        <v>533</v>
      </c>
      <c r="L42" s="218"/>
      <c r="M42" s="218"/>
      <c r="N42" s="218" t="s">
        <v>533</v>
      </c>
      <c r="O42" s="215"/>
      <c r="P42" s="215"/>
      <c r="Q42" s="215"/>
      <c r="R42" s="215" t="s">
        <v>533</v>
      </c>
      <c r="S42" s="215"/>
      <c r="T42" s="216"/>
      <c r="U42" s="216"/>
      <c r="V42" s="216"/>
      <c r="W42" s="216"/>
      <c r="X42" s="216"/>
      <c r="Y42" s="216"/>
      <c r="Z42" s="216"/>
      <c r="AA42" s="216"/>
      <c r="AB42" s="216"/>
      <c r="AC42" s="216"/>
      <c r="AD42" s="216" t="s">
        <v>533</v>
      </c>
      <c r="AE42" s="216"/>
      <c r="AF42" s="216"/>
      <c r="AG42" s="216"/>
      <c r="AH42" s="216"/>
      <c r="AI42" s="207"/>
      <c r="AJ42" s="207"/>
      <c r="AK42" s="207"/>
      <c r="AL42" s="207" t="s">
        <v>533</v>
      </c>
    </row>
    <row r="43" spans="2:38" ht="159.6" customHeight="1" x14ac:dyDescent="0.2">
      <c r="B43" s="181" t="s">
        <v>647</v>
      </c>
      <c r="C43" s="182" t="s">
        <v>648</v>
      </c>
      <c r="D43" s="183" t="s">
        <v>649</v>
      </c>
      <c r="E43" s="184" t="s">
        <v>533</v>
      </c>
      <c r="F43" s="184"/>
      <c r="G43" s="184" t="s">
        <v>559</v>
      </c>
      <c r="H43" s="200" t="s">
        <v>650</v>
      </c>
      <c r="I43" s="217" t="s">
        <v>533</v>
      </c>
      <c r="J43" s="214"/>
      <c r="K43" s="214"/>
      <c r="L43" s="218" t="s">
        <v>533</v>
      </c>
      <c r="M43" s="218" t="s">
        <v>533</v>
      </c>
      <c r="N43" s="218" t="s">
        <v>533</v>
      </c>
      <c r="O43" s="215" t="s">
        <v>533</v>
      </c>
      <c r="P43" s="215"/>
      <c r="Q43" s="215"/>
      <c r="R43" s="215"/>
      <c r="S43" s="215"/>
      <c r="T43" s="216"/>
      <c r="U43" s="216"/>
      <c r="V43" s="216"/>
      <c r="W43" s="216"/>
      <c r="X43" s="216"/>
      <c r="Y43" s="216"/>
      <c r="Z43" s="216"/>
      <c r="AA43" s="216"/>
      <c r="AB43" s="216"/>
      <c r="AC43" s="216"/>
      <c r="AD43" s="216"/>
      <c r="AE43" s="216"/>
      <c r="AF43" s="216" t="s">
        <v>533</v>
      </c>
      <c r="AG43" s="216"/>
      <c r="AH43" s="216"/>
      <c r="AI43" s="207" t="s">
        <v>533</v>
      </c>
      <c r="AJ43" s="207"/>
      <c r="AK43" s="207"/>
      <c r="AL43" s="207"/>
    </row>
    <row r="44" spans="2:38" ht="123" customHeight="1" x14ac:dyDescent="0.2">
      <c r="B44" s="181" t="s">
        <v>651</v>
      </c>
      <c r="C44" s="182" t="s">
        <v>652</v>
      </c>
      <c r="D44" s="183" t="s">
        <v>653</v>
      </c>
      <c r="E44" s="184" t="s">
        <v>533</v>
      </c>
      <c r="F44" s="184"/>
      <c r="G44" s="184" t="s">
        <v>654</v>
      </c>
      <c r="H44" s="230" t="s">
        <v>655</v>
      </c>
      <c r="I44" s="217" t="s">
        <v>533</v>
      </c>
      <c r="J44" s="214"/>
      <c r="K44" s="214"/>
      <c r="L44" s="218" t="s">
        <v>533</v>
      </c>
      <c r="M44" s="218" t="s">
        <v>533</v>
      </c>
      <c r="N44" s="218" t="s">
        <v>533</v>
      </c>
      <c r="O44" s="215" t="s">
        <v>533</v>
      </c>
      <c r="P44" s="215"/>
      <c r="Q44" s="215"/>
      <c r="R44" s="215"/>
      <c r="S44" s="215"/>
      <c r="T44" s="216"/>
      <c r="U44" s="216"/>
      <c r="V44" s="216"/>
      <c r="W44" s="216"/>
      <c r="X44" s="216"/>
      <c r="Y44" s="216"/>
      <c r="Z44" s="216"/>
      <c r="AA44" s="216"/>
      <c r="AB44" s="216"/>
      <c r="AC44" s="216"/>
      <c r="AD44" s="216"/>
      <c r="AE44" s="216"/>
      <c r="AF44" s="216" t="s">
        <v>533</v>
      </c>
      <c r="AG44" s="216"/>
      <c r="AH44" s="216"/>
      <c r="AI44" s="207" t="s">
        <v>533</v>
      </c>
      <c r="AJ44" s="207"/>
      <c r="AK44" s="207"/>
      <c r="AL44" s="207"/>
    </row>
    <row r="45" spans="2:38" ht="165.75" customHeight="1" x14ac:dyDescent="0.2">
      <c r="B45" s="181" t="s">
        <v>656</v>
      </c>
      <c r="C45" s="182" t="s">
        <v>657</v>
      </c>
      <c r="D45" s="183" t="s">
        <v>658</v>
      </c>
      <c r="E45" s="184" t="s">
        <v>533</v>
      </c>
      <c r="F45" s="184"/>
      <c r="G45" s="184" t="s">
        <v>659</v>
      </c>
      <c r="H45" s="184" t="s">
        <v>660</v>
      </c>
      <c r="I45" s="217" t="s">
        <v>533</v>
      </c>
      <c r="J45" s="214"/>
      <c r="K45" s="214"/>
      <c r="L45" s="218" t="s">
        <v>533</v>
      </c>
      <c r="M45" s="218" t="s">
        <v>533</v>
      </c>
      <c r="N45" s="218" t="s">
        <v>533</v>
      </c>
      <c r="O45" s="215" t="s">
        <v>533</v>
      </c>
      <c r="P45" s="215" t="s">
        <v>533</v>
      </c>
      <c r="Q45" s="215"/>
      <c r="R45" s="215"/>
      <c r="S45" s="215"/>
      <c r="T45" s="216"/>
      <c r="U45" s="216" t="s">
        <v>533</v>
      </c>
      <c r="V45" s="216" t="s">
        <v>533</v>
      </c>
      <c r="W45" s="216"/>
      <c r="X45" s="216"/>
      <c r="Y45" s="216"/>
      <c r="Z45" s="216"/>
      <c r="AA45" s="216"/>
      <c r="AB45" s="216"/>
      <c r="AC45" s="216"/>
      <c r="AD45" s="216"/>
      <c r="AE45" s="216"/>
      <c r="AF45" s="216"/>
      <c r="AG45" s="216"/>
      <c r="AH45" s="216"/>
      <c r="AI45" s="207"/>
      <c r="AJ45" s="207"/>
      <c r="AK45" s="207" t="s">
        <v>533</v>
      </c>
      <c r="AL45" s="207"/>
    </row>
    <row r="46" spans="2:38" ht="153" customHeight="1" x14ac:dyDescent="0.2">
      <c r="B46" s="181" t="s">
        <v>661</v>
      </c>
      <c r="C46" s="182" t="s">
        <v>662</v>
      </c>
      <c r="D46" s="183" t="s">
        <v>663</v>
      </c>
      <c r="E46" s="184" t="s">
        <v>533</v>
      </c>
      <c r="F46" s="184"/>
      <c r="G46" s="184" t="s">
        <v>664</v>
      </c>
      <c r="H46" s="184" t="s">
        <v>665</v>
      </c>
      <c r="I46" s="217" t="s">
        <v>533</v>
      </c>
      <c r="J46" s="214"/>
      <c r="K46" s="214"/>
      <c r="L46" s="218" t="s">
        <v>533</v>
      </c>
      <c r="M46" s="218" t="s">
        <v>533</v>
      </c>
      <c r="N46" s="218" t="s">
        <v>533</v>
      </c>
      <c r="O46" s="215" t="s">
        <v>533</v>
      </c>
      <c r="P46" s="215" t="s">
        <v>533</v>
      </c>
      <c r="Q46" s="215"/>
      <c r="R46" s="215"/>
      <c r="S46" s="215"/>
      <c r="T46" s="216"/>
      <c r="U46" s="216"/>
      <c r="V46" s="216" t="s">
        <v>533</v>
      </c>
      <c r="W46" s="216"/>
      <c r="X46" s="216"/>
      <c r="Y46" s="216"/>
      <c r="Z46" s="216"/>
      <c r="AA46" s="216"/>
      <c r="AB46" s="216"/>
      <c r="AC46" s="216"/>
      <c r="AD46" s="216"/>
      <c r="AE46" s="216"/>
      <c r="AF46" s="216" t="s">
        <v>533</v>
      </c>
      <c r="AG46" s="216"/>
      <c r="AH46" s="216"/>
      <c r="AI46" s="207"/>
      <c r="AJ46" s="207" t="s">
        <v>533</v>
      </c>
      <c r="AK46" s="207"/>
      <c r="AL46" s="207"/>
    </row>
    <row r="47" spans="2:38" ht="150.75" customHeight="1" x14ac:dyDescent="0.2">
      <c r="B47" s="181" t="s">
        <v>666</v>
      </c>
      <c r="C47" s="182" t="s">
        <v>667</v>
      </c>
      <c r="D47" s="183" t="s">
        <v>668</v>
      </c>
      <c r="E47" s="184" t="s">
        <v>533</v>
      </c>
      <c r="F47" s="184"/>
      <c r="G47" s="184" t="s">
        <v>669</v>
      </c>
      <c r="H47" s="184" t="s">
        <v>670</v>
      </c>
      <c r="I47" s="217" t="s">
        <v>533</v>
      </c>
      <c r="J47" s="214"/>
      <c r="K47" s="214" t="s">
        <v>533</v>
      </c>
      <c r="L47" s="218" t="s">
        <v>533</v>
      </c>
      <c r="M47" s="218" t="s">
        <v>533</v>
      </c>
      <c r="N47" s="218" t="s">
        <v>533</v>
      </c>
      <c r="O47" s="215" t="s">
        <v>533</v>
      </c>
      <c r="P47" s="215" t="s">
        <v>533</v>
      </c>
      <c r="Q47" s="215"/>
      <c r="R47" s="215"/>
      <c r="S47" s="215"/>
      <c r="T47" s="216"/>
      <c r="U47" s="216"/>
      <c r="V47" s="216"/>
      <c r="W47" s="216"/>
      <c r="X47" s="216"/>
      <c r="Y47" s="216"/>
      <c r="Z47" s="216"/>
      <c r="AA47" s="216"/>
      <c r="AB47" s="216"/>
      <c r="AC47" s="216"/>
      <c r="AD47" s="216"/>
      <c r="AE47" s="216"/>
      <c r="AF47" s="216"/>
      <c r="AG47" s="216"/>
      <c r="AH47" s="216" t="s">
        <v>533</v>
      </c>
      <c r="AI47" s="207" t="s">
        <v>533</v>
      </c>
      <c r="AJ47" s="207"/>
      <c r="AK47" s="207"/>
      <c r="AL47" s="207"/>
    </row>
    <row r="48" spans="2:38" ht="147.75" customHeight="1" x14ac:dyDescent="0.2">
      <c r="B48" s="181" t="s">
        <v>671</v>
      </c>
      <c r="C48" s="182" t="s">
        <v>672</v>
      </c>
      <c r="D48" s="199" t="s">
        <v>673</v>
      </c>
      <c r="E48" s="184" t="s">
        <v>533</v>
      </c>
      <c r="F48" s="184"/>
      <c r="G48" s="184" t="s">
        <v>674</v>
      </c>
      <c r="H48" s="184" t="s">
        <v>675</v>
      </c>
      <c r="I48" s="217" t="s">
        <v>533</v>
      </c>
      <c r="J48" s="214"/>
      <c r="K48" s="214" t="s">
        <v>533</v>
      </c>
      <c r="L48" s="218" t="s">
        <v>533</v>
      </c>
      <c r="M48" s="218" t="s">
        <v>533</v>
      </c>
      <c r="N48" s="218" t="s">
        <v>533</v>
      </c>
      <c r="O48" s="215" t="s">
        <v>533</v>
      </c>
      <c r="P48" s="215" t="s">
        <v>533</v>
      </c>
      <c r="Q48" s="215"/>
      <c r="R48" s="215"/>
      <c r="S48" s="215"/>
      <c r="T48" s="216"/>
      <c r="U48" s="216"/>
      <c r="V48" s="216"/>
      <c r="W48" s="216"/>
      <c r="X48" s="216"/>
      <c r="Y48" s="216"/>
      <c r="Z48" s="216"/>
      <c r="AA48" s="216"/>
      <c r="AB48" s="216"/>
      <c r="AC48" s="216"/>
      <c r="AD48" s="216"/>
      <c r="AE48" s="216"/>
      <c r="AF48" s="216" t="s">
        <v>533</v>
      </c>
      <c r="AG48" s="216"/>
      <c r="AH48" s="216" t="s">
        <v>533</v>
      </c>
      <c r="AI48" s="207" t="s">
        <v>533</v>
      </c>
      <c r="AJ48" s="207"/>
      <c r="AK48" s="207"/>
      <c r="AL48" s="207"/>
    </row>
    <row r="49" spans="2:38" ht="132.75" customHeight="1" thickBot="1" x14ac:dyDescent="0.25">
      <c r="B49" s="181" t="s">
        <v>676</v>
      </c>
      <c r="C49" s="182" t="s">
        <v>677</v>
      </c>
      <c r="D49" s="183" t="s">
        <v>678</v>
      </c>
      <c r="E49" s="184" t="s">
        <v>533</v>
      </c>
      <c r="F49" s="184"/>
      <c r="G49" s="184" t="s">
        <v>679</v>
      </c>
      <c r="H49" s="200" t="s">
        <v>680</v>
      </c>
      <c r="I49" s="217" t="s">
        <v>533</v>
      </c>
      <c r="J49" s="214"/>
      <c r="K49" s="214" t="s">
        <v>533</v>
      </c>
      <c r="L49" s="218" t="s">
        <v>533</v>
      </c>
      <c r="M49" s="218" t="s">
        <v>533</v>
      </c>
      <c r="N49" s="218" t="s">
        <v>533</v>
      </c>
      <c r="O49" s="215"/>
      <c r="P49" s="215" t="s">
        <v>533</v>
      </c>
      <c r="Q49" s="215"/>
      <c r="R49" s="215"/>
      <c r="S49" s="215" t="s">
        <v>533</v>
      </c>
      <c r="T49" s="216"/>
      <c r="U49" s="216" t="s">
        <v>533</v>
      </c>
      <c r="V49" s="216"/>
      <c r="W49" s="216"/>
      <c r="X49" s="216" t="s">
        <v>533</v>
      </c>
      <c r="Y49" s="216" t="s">
        <v>533</v>
      </c>
      <c r="Z49" s="216" t="s">
        <v>533</v>
      </c>
      <c r="AA49" s="216" t="s">
        <v>533</v>
      </c>
      <c r="AB49" s="216" t="s">
        <v>533</v>
      </c>
      <c r="AC49" s="216" t="s">
        <v>533</v>
      </c>
      <c r="AD49" s="216" t="s">
        <v>533</v>
      </c>
      <c r="AE49" s="216"/>
      <c r="AF49" s="216"/>
      <c r="AG49" s="216" t="s">
        <v>533</v>
      </c>
      <c r="AH49" s="216"/>
      <c r="AI49" s="207" t="s">
        <v>533</v>
      </c>
      <c r="AJ49" s="207" t="s">
        <v>533</v>
      </c>
      <c r="AK49" s="207" t="s">
        <v>533</v>
      </c>
      <c r="AL49" s="207"/>
    </row>
    <row r="50" spans="2:38" ht="19.5" customHeight="1" thickBot="1" x14ac:dyDescent="0.25">
      <c r="B50" s="432" t="s">
        <v>681</v>
      </c>
      <c r="C50" s="433"/>
      <c r="D50" s="433"/>
      <c r="E50" s="433"/>
      <c r="F50" s="433"/>
      <c r="G50" s="433"/>
      <c r="H50" s="434"/>
      <c r="I50" s="219"/>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1"/>
    </row>
    <row r="51" spans="2:38" ht="181.5" customHeight="1" x14ac:dyDescent="0.2">
      <c r="B51" s="222" t="s">
        <v>682</v>
      </c>
      <c r="C51" s="223" t="s">
        <v>683</v>
      </c>
      <c r="D51" s="224" t="s">
        <v>684</v>
      </c>
      <c r="E51" s="174" t="s">
        <v>533</v>
      </c>
      <c r="F51" s="174"/>
      <c r="G51" s="174" t="s">
        <v>559</v>
      </c>
      <c r="H51" s="225" t="s">
        <v>685</v>
      </c>
      <c r="I51" s="217" t="s">
        <v>533</v>
      </c>
      <c r="J51" s="214"/>
      <c r="K51" s="214"/>
      <c r="L51" s="218" t="s">
        <v>533</v>
      </c>
      <c r="M51" s="218" t="s">
        <v>533</v>
      </c>
      <c r="N51" s="218" t="s">
        <v>533</v>
      </c>
      <c r="O51" s="215"/>
      <c r="P51" s="215" t="s">
        <v>533</v>
      </c>
      <c r="Q51" s="215"/>
      <c r="R51" s="215"/>
      <c r="S51" s="215"/>
      <c r="T51" s="216"/>
      <c r="U51" s="216"/>
      <c r="V51" s="216"/>
      <c r="W51" s="216" t="s">
        <v>533</v>
      </c>
      <c r="X51" s="216"/>
      <c r="Y51" s="216"/>
      <c r="Z51" s="216"/>
      <c r="AA51" s="216"/>
      <c r="AB51" s="216"/>
      <c r="AC51" s="216"/>
      <c r="AD51" s="216"/>
      <c r="AE51" s="216"/>
      <c r="AF51" s="216"/>
      <c r="AG51" s="216"/>
      <c r="AH51" s="216"/>
      <c r="AI51" s="207" t="s">
        <v>533</v>
      </c>
      <c r="AJ51" s="207"/>
      <c r="AK51" s="207"/>
      <c r="AL51" s="207"/>
    </row>
    <row r="52" spans="2:38" ht="225.75" customHeight="1" x14ac:dyDescent="0.2">
      <c r="B52" s="222" t="s">
        <v>686</v>
      </c>
      <c r="C52" s="223" t="s">
        <v>687</v>
      </c>
      <c r="D52" s="224" t="s">
        <v>688</v>
      </c>
      <c r="E52" s="174" t="s">
        <v>533</v>
      </c>
      <c r="F52" s="174"/>
      <c r="G52" s="174" t="s">
        <v>689</v>
      </c>
      <c r="H52" s="225" t="s">
        <v>690</v>
      </c>
      <c r="I52" s="217" t="s">
        <v>533</v>
      </c>
      <c r="J52" s="214"/>
      <c r="K52" s="214"/>
      <c r="L52" s="218" t="s">
        <v>533</v>
      </c>
      <c r="M52" s="218" t="s">
        <v>533</v>
      </c>
      <c r="N52" s="218" t="s">
        <v>533</v>
      </c>
      <c r="O52" s="215"/>
      <c r="P52" s="215" t="s">
        <v>533</v>
      </c>
      <c r="Q52" s="215"/>
      <c r="R52" s="215"/>
      <c r="S52" s="215"/>
      <c r="T52" s="216"/>
      <c r="U52" s="216"/>
      <c r="V52" s="216"/>
      <c r="W52" s="216" t="s">
        <v>533</v>
      </c>
      <c r="X52" s="216"/>
      <c r="Y52" s="216"/>
      <c r="Z52" s="216"/>
      <c r="AA52" s="216"/>
      <c r="AB52" s="216"/>
      <c r="AC52" s="216"/>
      <c r="AD52" s="216"/>
      <c r="AE52" s="216"/>
      <c r="AF52" s="216"/>
      <c r="AG52" s="216"/>
      <c r="AH52" s="216"/>
      <c r="AI52" s="207" t="s">
        <v>533</v>
      </c>
      <c r="AJ52" s="207"/>
      <c r="AK52" s="207"/>
      <c r="AL52" s="207"/>
    </row>
    <row r="53" spans="2:38" ht="254.25" customHeight="1" x14ac:dyDescent="0.2">
      <c r="B53" s="222" t="s">
        <v>691</v>
      </c>
      <c r="C53" s="223" t="s">
        <v>692</v>
      </c>
      <c r="D53" s="224" t="s">
        <v>693</v>
      </c>
      <c r="E53" s="174" t="s">
        <v>533</v>
      </c>
      <c r="F53" s="174"/>
      <c r="G53" s="174" t="s">
        <v>694</v>
      </c>
      <c r="H53" s="225" t="s">
        <v>695</v>
      </c>
      <c r="I53" s="217" t="s">
        <v>533</v>
      </c>
      <c r="J53" s="214"/>
      <c r="K53" s="214"/>
      <c r="L53" s="218" t="s">
        <v>533</v>
      </c>
      <c r="M53" s="218" t="s">
        <v>533</v>
      </c>
      <c r="N53" s="218" t="s">
        <v>533</v>
      </c>
      <c r="O53" s="215"/>
      <c r="P53" s="215" t="s">
        <v>533</v>
      </c>
      <c r="Q53" s="215"/>
      <c r="R53" s="215"/>
      <c r="S53" s="215"/>
      <c r="T53" s="216"/>
      <c r="U53" s="216"/>
      <c r="V53" s="216"/>
      <c r="W53" s="216" t="s">
        <v>533</v>
      </c>
      <c r="X53" s="216"/>
      <c r="Y53" s="216"/>
      <c r="Z53" s="216"/>
      <c r="AA53" s="216"/>
      <c r="AB53" s="216"/>
      <c r="AC53" s="216"/>
      <c r="AD53" s="216"/>
      <c r="AE53" s="216"/>
      <c r="AF53" s="216"/>
      <c r="AG53" s="216"/>
      <c r="AH53" s="216"/>
      <c r="AI53" s="207" t="s">
        <v>533</v>
      </c>
      <c r="AJ53" s="207"/>
      <c r="AK53" s="207"/>
      <c r="AL53" s="207"/>
    </row>
    <row r="54" spans="2:38" ht="174" customHeight="1" x14ac:dyDescent="0.2">
      <c r="B54" s="222" t="s">
        <v>696</v>
      </c>
      <c r="C54" s="223" t="s">
        <v>697</v>
      </c>
      <c r="D54" s="224" t="s">
        <v>698</v>
      </c>
      <c r="E54" s="174" t="s">
        <v>533</v>
      </c>
      <c r="F54" s="174"/>
      <c r="G54" s="174" t="s">
        <v>559</v>
      </c>
      <c r="H54" s="174" t="s">
        <v>699</v>
      </c>
      <c r="I54" s="217" t="s">
        <v>533</v>
      </c>
      <c r="J54" s="214"/>
      <c r="K54" s="214" t="s">
        <v>533</v>
      </c>
      <c r="L54" s="218" t="s">
        <v>533</v>
      </c>
      <c r="M54" s="218" t="s">
        <v>533</v>
      </c>
      <c r="N54" s="218" t="s">
        <v>533</v>
      </c>
      <c r="O54" s="215"/>
      <c r="P54" s="215" t="s">
        <v>533</v>
      </c>
      <c r="Q54" s="215"/>
      <c r="R54" s="215" t="s">
        <v>533</v>
      </c>
      <c r="S54" s="215"/>
      <c r="T54" s="216"/>
      <c r="U54" s="216"/>
      <c r="V54" s="216"/>
      <c r="W54" s="216" t="s">
        <v>533</v>
      </c>
      <c r="X54" s="216"/>
      <c r="Y54" s="216"/>
      <c r="Z54" s="216"/>
      <c r="AA54" s="216"/>
      <c r="AB54" s="216"/>
      <c r="AC54" s="216"/>
      <c r="AD54" s="216"/>
      <c r="AE54" s="216"/>
      <c r="AF54" s="216"/>
      <c r="AG54" s="216"/>
      <c r="AH54" s="216"/>
      <c r="AI54" s="207" t="s">
        <v>533</v>
      </c>
      <c r="AJ54" s="207"/>
      <c r="AK54" s="207"/>
      <c r="AL54" s="207"/>
    </row>
    <row r="55" spans="2:38" ht="237" customHeight="1" x14ac:dyDescent="0.2">
      <c r="B55" s="222" t="s">
        <v>700</v>
      </c>
      <c r="C55" s="223" t="s">
        <v>701</v>
      </c>
      <c r="D55" s="224" t="s">
        <v>702</v>
      </c>
      <c r="E55" s="174" t="s">
        <v>533</v>
      </c>
      <c r="F55" s="174"/>
      <c r="G55" s="174" t="s">
        <v>559</v>
      </c>
      <c r="H55" s="225" t="s">
        <v>703</v>
      </c>
      <c r="I55" s="217" t="s">
        <v>533</v>
      </c>
      <c r="J55" s="214"/>
      <c r="K55" s="214"/>
      <c r="L55" s="218" t="s">
        <v>533</v>
      </c>
      <c r="M55" s="218" t="s">
        <v>533</v>
      </c>
      <c r="N55" s="218" t="s">
        <v>533</v>
      </c>
      <c r="O55" s="215"/>
      <c r="P55" s="215" t="s">
        <v>533</v>
      </c>
      <c r="Q55" s="215"/>
      <c r="R55" s="215"/>
      <c r="S55" s="215"/>
      <c r="T55" s="216"/>
      <c r="U55" s="216" t="s">
        <v>533</v>
      </c>
      <c r="V55" s="216"/>
      <c r="W55" s="216" t="s">
        <v>533</v>
      </c>
      <c r="X55" s="216"/>
      <c r="Y55" s="216"/>
      <c r="Z55" s="216"/>
      <c r="AA55" s="216"/>
      <c r="AB55" s="216"/>
      <c r="AC55" s="216"/>
      <c r="AD55" s="216"/>
      <c r="AE55" s="216"/>
      <c r="AF55" s="216"/>
      <c r="AG55" s="216"/>
      <c r="AH55" s="216"/>
      <c r="AI55" s="207" t="s">
        <v>533</v>
      </c>
      <c r="AJ55" s="207"/>
      <c r="AK55" s="207"/>
      <c r="AL55" s="207"/>
    </row>
    <row r="56" spans="2:38" ht="153" customHeight="1" x14ac:dyDescent="0.2">
      <c r="B56" s="222" t="s">
        <v>704</v>
      </c>
      <c r="C56" s="260" t="s">
        <v>705</v>
      </c>
      <c r="D56" s="259" t="s">
        <v>706</v>
      </c>
      <c r="E56" s="232" t="s">
        <v>533</v>
      </c>
      <c r="F56" s="232"/>
      <c r="G56" s="232" t="s">
        <v>707</v>
      </c>
      <c r="H56" s="261" t="s">
        <v>708</v>
      </c>
      <c r="I56" s="217" t="s">
        <v>533</v>
      </c>
      <c r="J56" s="214"/>
      <c r="K56" s="214"/>
      <c r="L56" s="218" t="s">
        <v>533</v>
      </c>
      <c r="M56" s="218" t="s">
        <v>533</v>
      </c>
      <c r="N56" s="218" t="s">
        <v>533</v>
      </c>
      <c r="O56" s="215"/>
      <c r="P56" s="215" t="s">
        <v>533</v>
      </c>
      <c r="Q56" s="215"/>
      <c r="R56" s="215"/>
      <c r="S56" s="215"/>
      <c r="T56" s="216"/>
      <c r="U56" s="216"/>
      <c r="V56" s="216" t="s">
        <v>533</v>
      </c>
      <c r="W56" s="216" t="s">
        <v>533</v>
      </c>
      <c r="X56" s="216"/>
      <c r="Y56" s="216"/>
      <c r="Z56" s="216"/>
      <c r="AA56" s="216"/>
      <c r="AB56" s="216"/>
      <c r="AC56" s="216"/>
      <c r="AD56" s="216"/>
      <c r="AE56" s="216" t="s">
        <v>533</v>
      </c>
      <c r="AF56" s="216"/>
      <c r="AG56" s="216"/>
      <c r="AH56" s="216"/>
      <c r="AI56" s="207" t="s">
        <v>533</v>
      </c>
      <c r="AJ56" s="207"/>
      <c r="AK56" s="207"/>
      <c r="AL56" s="207"/>
    </row>
    <row r="57" spans="2:38" ht="118.9" customHeight="1" x14ac:dyDescent="0.2">
      <c r="B57" s="222" t="s">
        <v>709</v>
      </c>
      <c r="C57" s="223" t="s">
        <v>710</v>
      </c>
      <c r="D57" s="224" t="s">
        <v>711</v>
      </c>
      <c r="E57" s="174" t="s">
        <v>533</v>
      </c>
      <c r="F57" s="174"/>
      <c r="G57" s="174" t="s">
        <v>559</v>
      </c>
      <c r="H57" s="225" t="s">
        <v>712</v>
      </c>
      <c r="I57" s="217" t="s">
        <v>533</v>
      </c>
      <c r="J57" s="214"/>
      <c r="K57" s="214"/>
      <c r="L57" s="218" t="s">
        <v>533</v>
      </c>
      <c r="M57" s="218" t="s">
        <v>533</v>
      </c>
      <c r="N57" s="218" t="s">
        <v>533</v>
      </c>
      <c r="O57" s="215"/>
      <c r="P57" s="215" t="s">
        <v>533</v>
      </c>
      <c r="Q57" s="215"/>
      <c r="R57" s="215"/>
      <c r="S57" s="215"/>
      <c r="T57" s="216"/>
      <c r="U57" s="216" t="s">
        <v>533</v>
      </c>
      <c r="V57" s="216" t="s">
        <v>533</v>
      </c>
      <c r="W57" s="216" t="s">
        <v>533</v>
      </c>
      <c r="X57" s="216"/>
      <c r="Y57" s="216" t="s">
        <v>533</v>
      </c>
      <c r="Z57" s="216"/>
      <c r="AA57" s="216"/>
      <c r="AB57" s="216"/>
      <c r="AC57" s="216"/>
      <c r="AD57" s="216"/>
      <c r="AE57" s="216"/>
      <c r="AF57" s="216"/>
      <c r="AG57" s="216"/>
      <c r="AH57" s="216"/>
      <c r="AI57" s="207"/>
      <c r="AJ57" s="207" t="s">
        <v>533</v>
      </c>
      <c r="AK57" s="207"/>
      <c r="AL57" s="207"/>
    </row>
    <row r="58" spans="2:38" ht="153" customHeight="1" thickBot="1" x14ac:dyDescent="0.25">
      <c r="B58" s="222" t="s">
        <v>713</v>
      </c>
      <c r="C58" s="223" t="s">
        <v>714</v>
      </c>
      <c r="D58" s="224" t="s">
        <v>715</v>
      </c>
      <c r="E58" s="174" t="s">
        <v>533</v>
      </c>
      <c r="F58" s="174"/>
      <c r="G58" s="174" t="s">
        <v>559</v>
      </c>
      <c r="H58" s="174" t="s">
        <v>716</v>
      </c>
      <c r="I58" s="217"/>
      <c r="J58" s="214" t="s">
        <v>533</v>
      </c>
      <c r="K58" s="214"/>
      <c r="L58" s="218" t="s">
        <v>533</v>
      </c>
      <c r="M58" s="218" t="s">
        <v>533</v>
      </c>
      <c r="N58" s="218" t="s">
        <v>533</v>
      </c>
      <c r="O58" s="215"/>
      <c r="P58" s="215"/>
      <c r="Q58" s="215" t="s">
        <v>533</v>
      </c>
      <c r="R58" s="215"/>
      <c r="S58" s="215"/>
      <c r="T58" s="216"/>
      <c r="U58" s="216"/>
      <c r="V58" s="216"/>
      <c r="W58" s="216"/>
      <c r="X58" s="216"/>
      <c r="Y58" s="216"/>
      <c r="Z58" s="216"/>
      <c r="AA58" s="216"/>
      <c r="AB58" s="216"/>
      <c r="AC58" s="216"/>
      <c r="AD58" s="216"/>
      <c r="AE58" s="216"/>
      <c r="AF58" s="216"/>
      <c r="AG58" s="216" t="s">
        <v>533</v>
      </c>
      <c r="AH58" s="216"/>
      <c r="AI58" s="207"/>
      <c r="AJ58" s="207"/>
      <c r="AK58" s="207" t="s">
        <v>533</v>
      </c>
      <c r="AL58" s="207"/>
    </row>
    <row r="59" spans="2:38" ht="21" thickBot="1" x14ac:dyDescent="0.25">
      <c r="B59" s="429" t="s">
        <v>717</v>
      </c>
      <c r="C59" s="430"/>
      <c r="D59" s="430"/>
      <c r="E59" s="430"/>
      <c r="F59" s="430"/>
      <c r="G59" s="430"/>
      <c r="H59" s="431"/>
      <c r="I59" s="219"/>
      <c r="J59" s="220"/>
      <c r="K59" s="220"/>
      <c r="L59" s="220"/>
      <c r="M59" s="220"/>
      <c r="N59" s="220"/>
      <c r="O59" s="220"/>
      <c r="P59" s="220"/>
      <c r="Q59" s="220"/>
      <c r="R59" s="220"/>
      <c r="S59" s="220"/>
      <c r="T59" s="220"/>
      <c r="U59" s="220"/>
      <c r="V59" s="220"/>
      <c r="W59" s="220"/>
      <c r="X59" s="220"/>
      <c r="Y59" s="220"/>
      <c r="Z59" s="220"/>
      <c r="AA59" s="220"/>
      <c r="AB59" s="220"/>
      <c r="AC59" s="220"/>
      <c r="AD59" s="220"/>
      <c r="AE59" s="220"/>
      <c r="AF59" s="220"/>
      <c r="AG59" s="220"/>
      <c r="AH59" s="220"/>
      <c r="AI59" s="220"/>
      <c r="AJ59" s="220"/>
      <c r="AK59" s="220"/>
      <c r="AL59" s="221"/>
    </row>
    <row r="60" spans="2:38" ht="108" customHeight="1" x14ac:dyDescent="0.2">
      <c r="B60" s="181" t="s">
        <v>718</v>
      </c>
      <c r="C60" s="182" t="s">
        <v>719</v>
      </c>
      <c r="D60" s="183" t="s">
        <v>720</v>
      </c>
      <c r="E60" s="184"/>
      <c r="F60" s="184"/>
      <c r="G60" s="183" t="s">
        <v>721</v>
      </c>
      <c r="H60" s="226" t="s">
        <v>722</v>
      </c>
      <c r="I60" s="217" t="s">
        <v>533</v>
      </c>
      <c r="J60" s="214"/>
      <c r="K60" s="214"/>
      <c r="L60" s="218" t="s">
        <v>533</v>
      </c>
      <c r="M60" s="218" t="s">
        <v>533</v>
      </c>
      <c r="N60" s="218" t="s">
        <v>533</v>
      </c>
      <c r="O60" s="215"/>
      <c r="P60" s="215" t="s">
        <v>533</v>
      </c>
      <c r="Q60" s="215"/>
      <c r="R60" s="215"/>
      <c r="S60" s="215"/>
      <c r="T60" s="216"/>
      <c r="U60" s="216"/>
      <c r="V60" s="216"/>
      <c r="W60" s="216"/>
      <c r="X60" s="216" t="s">
        <v>533</v>
      </c>
      <c r="Y60" s="216"/>
      <c r="Z60" s="216"/>
      <c r="AA60" s="216"/>
      <c r="AB60" s="216"/>
      <c r="AC60" s="216"/>
      <c r="AD60" s="216"/>
      <c r="AE60" s="216"/>
      <c r="AF60" s="216"/>
      <c r="AG60" s="216"/>
      <c r="AH60" s="216"/>
      <c r="AI60" s="207"/>
      <c r="AJ60" s="207" t="s">
        <v>533</v>
      </c>
      <c r="AK60" s="207"/>
      <c r="AL60" s="207"/>
    </row>
    <row r="61" spans="2:38" ht="126" customHeight="1" x14ac:dyDescent="0.2">
      <c r="B61" s="181" t="s">
        <v>723</v>
      </c>
      <c r="C61" s="182" t="s">
        <v>724</v>
      </c>
      <c r="D61" s="183" t="s">
        <v>725</v>
      </c>
      <c r="E61" s="184" t="s">
        <v>533</v>
      </c>
      <c r="F61" s="184"/>
      <c r="G61" s="183" t="s">
        <v>726</v>
      </c>
      <c r="H61" s="227" t="s">
        <v>727</v>
      </c>
      <c r="I61" s="217" t="s">
        <v>533</v>
      </c>
      <c r="J61" s="214"/>
      <c r="K61" s="214"/>
      <c r="L61" s="218" t="s">
        <v>533</v>
      </c>
      <c r="M61" s="218" t="s">
        <v>533</v>
      </c>
      <c r="N61" s="218" t="s">
        <v>533</v>
      </c>
      <c r="O61" s="215"/>
      <c r="P61" s="215" t="s">
        <v>533</v>
      </c>
      <c r="Q61" s="215"/>
      <c r="R61" s="215"/>
      <c r="S61" s="215"/>
      <c r="T61" s="216"/>
      <c r="U61" s="216"/>
      <c r="V61" s="216"/>
      <c r="W61" s="216"/>
      <c r="X61" s="216" t="s">
        <v>533</v>
      </c>
      <c r="Y61" s="216"/>
      <c r="Z61" s="216"/>
      <c r="AA61" s="216"/>
      <c r="AB61" s="216" t="s">
        <v>533</v>
      </c>
      <c r="AC61" s="216"/>
      <c r="AD61" s="216"/>
      <c r="AE61" s="216"/>
      <c r="AF61" s="216"/>
      <c r="AG61" s="216"/>
      <c r="AH61" s="216"/>
      <c r="AI61" s="207"/>
      <c r="AJ61" s="207" t="s">
        <v>533</v>
      </c>
      <c r="AK61" s="207"/>
      <c r="AL61" s="207"/>
    </row>
    <row r="62" spans="2:38" ht="105.75" customHeight="1" x14ac:dyDescent="0.2">
      <c r="B62" s="181" t="s">
        <v>728</v>
      </c>
      <c r="C62" s="182" t="s">
        <v>729</v>
      </c>
      <c r="D62" s="183" t="s">
        <v>730</v>
      </c>
      <c r="E62" s="184" t="s">
        <v>533</v>
      </c>
      <c r="F62" s="184"/>
      <c r="G62" s="183" t="s">
        <v>726</v>
      </c>
      <c r="H62" s="228" t="s">
        <v>727</v>
      </c>
      <c r="I62" s="217" t="s">
        <v>533</v>
      </c>
      <c r="J62" s="214"/>
      <c r="K62" s="214"/>
      <c r="L62" s="218" t="s">
        <v>533</v>
      </c>
      <c r="M62" s="218" t="s">
        <v>533</v>
      </c>
      <c r="N62" s="218" t="s">
        <v>533</v>
      </c>
      <c r="O62" s="215"/>
      <c r="P62" s="215" t="s">
        <v>533</v>
      </c>
      <c r="Q62" s="215"/>
      <c r="R62" s="215"/>
      <c r="S62" s="215"/>
      <c r="T62" s="216"/>
      <c r="U62" s="216" t="s">
        <v>533</v>
      </c>
      <c r="V62" s="216"/>
      <c r="W62" s="216"/>
      <c r="X62" s="216" t="s">
        <v>533</v>
      </c>
      <c r="Y62" s="216"/>
      <c r="Z62" s="216"/>
      <c r="AA62" s="216"/>
      <c r="AB62" s="216"/>
      <c r="AC62" s="216"/>
      <c r="AD62" s="216"/>
      <c r="AE62" s="216"/>
      <c r="AF62" s="216"/>
      <c r="AG62" s="216"/>
      <c r="AH62" s="216"/>
      <c r="AI62" s="207"/>
      <c r="AJ62" s="207" t="s">
        <v>533</v>
      </c>
      <c r="AK62" s="207"/>
      <c r="AL62" s="207"/>
    </row>
    <row r="63" spans="2:38" ht="110.25" customHeight="1" x14ac:dyDescent="0.2">
      <c r="B63" s="181" t="s">
        <v>731</v>
      </c>
      <c r="C63" s="182" t="s">
        <v>732</v>
      </c>
      <c r="D63" s="183" t="s">
        <v>733</v>
      </c>
      <c r="E63" s="184" t="s">
        <v>533</v>
      </c>
      <c r="F63" s="184"/>
      <c r="G63" s="183" t="s">
        <v>734</v>
      </c>
      <c r="H63" s="228" t="s">
        <v>735</v>
      </c>
      <c r="I63" s="217" t="s">
        <v>533</v>
      </c>
      <c r="J63" s="214"/>
      <c r="K63" s="214"/>
      <c r="L63" s="218" t="s">
        <v>533</v>
      </c>
      <c r="M63" s="218" t="s">
        <v>533</v>
      </c>
      <c r="N63" s="218" t="s">
        <v>533</v>
      </c>
      <c r="O63" s="215"/>
      <c r="P63" s="215" t="s">
        <v>533</v>
      </c>
      <c r="Q63" s="215"/>
      <c r="R63" s="215"/>
      <c r="S63" s="215"/>
      <c r="T63" s="216"/>
      <c r="U63" s="216"/>
      <c r="V63" s="216"/>
      <c r="W63" s="216"/>
      <c r="X63" s="216" t="s">
        <v>533</v>
      </c>
      <c r="Y63" s="216"/>
      <c r="Z63" s="216"/>
      <c r="AA63" s="216"/>
      <c r="AB63" s="216"/>
      <c r="AC63" s="216"/>
      <c r="AD63" s="216"/>
      <c r="AE63" s="216"/>
      <c r="AF63" s="216"/>
      <c r="AG63" s="216"/>
      <c r="AH63" s="216"/>
      <c r="AI63" s="207"/>
      <c r="AJ63" s="207" t="s">
        <v>533</v>
      </c>
      <c r="AK63" s="207" t="s">
        <v>533</v>
      </c>
      <c r="AL63" s="207"/>
    </row>
    <row r="64" spans="2:38" ht="129" customHeight="1" x14ac:dyDescent="0.2">
      <c r="B64" s="181" t="s">
        <v>736</v>
      </c>
      <c r="C64" s="182" t="s">
        <v>737</v>
      </c>
      <c r="D64" s="183" t="s">
        <v>738</v>
      </c>
      <c r="E64" s="226" t="s">
        <v>533</v>
      </c>
      <c r="F64" s="229"/>
      <c r="G64" s="183" t="s">
        <v>739</v>
      </c>
      <c r="H64" s="230" t="s">
        <v>740</v>
      </c>
      <c r="I64" s="217" t="s">
        <v>533</v>
      </c>
      <c r="J64" s="214"/>
      <c r="K64" s="214"/>
      <c r="L64" s="218" t="s">
        <v>533</v>
      </c>
      <c r="M64" s="218" t="s">
        <v>533</v>
      </c>
      <c r="N64" s="218" t="s">
        <v>533</v>
      </c>
      <c r="O64" s="215"/>
      <c r="P64" s="215" t="s">
        <v>533</v>
      </c>
      <c r="Q64" s="215"/>
      <c r="R64" s="215"/>
      <c r="S64" s="215"/>
      <c r="T64" s="216"/>
      <c r="U64" s="216"/>
      <c r="V64" s="216"/>
      <c r="W64" s="216"/>
      <c r="X64" s="216" t="s">
        <v>533</v>
      </c>
      <c r="Y64" s="216"/>
      <c r="Z64" s="216"/>
      <c r="AA64" s="216"/>
      <c r="AB64" s="216"/>
      <c r="AC64" s="216"/>
      <c r="AD64" s="216"/>
      <c r="AE64" s="216"/>
      <c r="AF64" s="216"/>
      <c r="AG64" s="216"/>
      <c r="AH64" s="216"/>
      <c r="AI64" s="207"/>
      <c r="AJ64" s="207" t="s">
        <v>533</v>
      </c>
      <c r="AK64" s="207"/>
      <c r="AL64" s="207"/>
    </row>
    <row r="65" spans="2:38" ht="116.25" customHeight="1" x14ac:dyDescent="0.2">
      <c r="B65" s="181" t="s">
        <v>741</v>
      </c>
      <c r="C65" s="182" t="s">
        <v>742</v>
      </c>
      <c r="D65" s="183" t="s">
        <v>743</v>
      </c>
      <c r="E65" s="226" t="s">
        <v>533</v>
      </c>
      <c r="F65" s="229"/>
      <c r="G65" s="183" t="s">
        <v>726</v>
      </c>
      <c r="H65" s="226" t="s">
        <v>744</v>
      </c>
      <c r="I65" s="217" t="s">
        <v>533</v>
      </c>
      <c r="J65" s="214"/>
      <c r="K65" s="214"/>
      <c r="L65" s="218" t="s">
        <v>533</v>
      </c>
      <c r="M65" s="218" t="s">
        <v>533</v>
      </c>
      <c r="N65" s="218" t="s">
        <v>533</v>
      </c>
      <c r="O65" s="215"/>
      <c r="P65" s="215" t="s">
        <v>533</v>
      </c>
      <c r="Q65" s="215"/>
      <c r="R65" s="215"/>
      <c r="S65" s="215"/>
      <c r="T65" s="216"/>
      <c r="U65" s="216"/>
      <c r="V65" s="216"/>
      <c r="W65" s="216"/>
      <c r="X65" s="216" t="s">
        <v>533</v>
      </c>
      <c r="Y65" s="216"/>
      <c r="Z65" s="216"/>
      <c r="AA65" s="216"/>
      <c r="AB65" s="216"/>
      <c r="AC65" s="216"/>
      <c r="AD65" s="216"/>
      <c r="AE65" s="216"/>
      <c r="AF65" s="216"/>
      <c r="AG65" s="216"/>
      <c r="AH65" s="216"/>
      <c r="AI65" s="207"/>
      <c r="AJ65" s="207" t="s">
        <v>533</v>
      </c>
      <c r="AK65" s="207"/>
      <c r="AL65" s="207"/>
    </row>
    <row r="66" spans="2:38" ht="160.5" customHeight="1" x14ac:dyDescent="0.2">
      <c r="B66" s="181" t="s">
        <v>745</v>
      </c>
      <c r="C66" s="182" t="s">
        <v>746</v>
      </c>
      <c r="D66" s="183" t="s">
        <v>747</v>
      </c>
      <c r="E66" s="184" t="s">
        <v>533</v>
      </c>
      <c r="F66" s="184"/>
      <c r="G66" s="184" t="s">
        <v>748</v>
      </c>
      <c r="H66" s="185" t="s">
        <v>749</v>
      </c>
      <c r="I66" s="217" t="s">
        <v>533</v>
      </c>
      <c r="J66" s="214"/>
      <c r="K66" s="214"/>
      <c r="L66" s="218" t="s">
        <v>533</v>
      </c>
      <c r="M66" s="218" t="s">
        <v>533</v>
      </c>
      <c r="N66" s="218" t="s">
        <v>533</v>
      </c>
      <c r="O66" s="215"/>
      <c r="P66" s="215" t="s">
        <v>533</v>
      </c>
      <c r="Q66" s="215"/>
      <c r="R66" s="215"/>
      <c r="S66" s="215"/>
      <c r="T66" s="216"/>
      <c r="U66" s="216"/>
      <c r="V66" s="216"/>
      <c r="W66" s="216"/>
      <c r="X66" s="216" t="s">
        <v>533</v>
      </c>
      <c r="Y66" s="216"/>
      <c r="Z66" s="216"/>
      <c r="AA66" s="216"/>
      <c r="AB66" s="216"/>
      <c r="AC66" s="216"/>
      <c r="AD66" s="216"/>
      <c r="AE66" s="216"/>
      <c r="AF66" s="216"/>
      <c r="AG66" s="216"/>
      <c r="AH66" s="216"/>
      <c r="AI66" s="207"/>
      <c r="AJ66" s="207" t="s">
        <v>533</v>
      </c>
      <c r="AK66" s="207"/>
      <c r="AL66" s="207"/>
    </row>
    <row r="67" spans="2:38" ht="98.25" customHeight="1" x14ac:dyDescent="0.2">
      <c r="B67" s="181" t="s">
        <v>750</v>
      </c>
      <c r="C67" s="182" t="s">
        <v>751</v>
      </c>
      <c r="D67" s="183" t="s">
        <v>752</v>
      </c>
      <c r="E67" s="184" t="s">
        <v>533</v>
      </c>
      <c r="F67" s="184"/>
      <c r="G67" s="183" t="s">
        <v>721</v>
      </c>
      <c r="H67" s="226" t="s">
        <v>753</v>
      </c>
      <c r="I67" s="217" t="s">
        <v>533</v>
      </c>
      <c r="J67" s="214"/>
      <c r="K67" s="214"/>
      <c r="L67" s="218" t="s">
        <v>533</v>
      </c>
      <c r="M67" s="218" t="s">
        <v>533</v>
      </c>
      <c r="N67" s="218" t="s">
        <v>533</v>
      </c>
      <c r="O67" s="215"/>
      <c r="P67" s="215" t="s">
        <v>533</v>
      </c>
      <c r="Q67" s="215"/>
      <c r="R67" s="215"/>
      <c r="S67" s="215"/>
      <c r="T67" s="216"/>
      <c r="U67" s="216" t="s">
        <v>533</v>
      </c>
      <c r="V67" s="216"/>
      <c r="W67" s="216"/>
      <c r="X67" s="216" t="s">
        <v>533</v>
      </c>
      <c r="Y67" s="216"/>
      <c r="Z67" s="216"/>
      <c r="AA67" s="216"/>
      <c r="AB67" s="216"/>
      <c r="AC67" s="216"/>
      <c r="AD67" s="216"/>
      <c r="AE67" s="216"/>
      <c r="AF67" s="216"/>
      <c r="AG67" s="216"/>
      <c r="AH67" s="216"/>
      <c r="AI67" s="207"/>
      <c r="AJ67" s="207" t="s">
        <v>533</v>
      </c>
      <c r="AK67" s="207"/>
      <c r="AL67" s="207"/>
    </row>
    <row r="68" spans="2:38" ht="178.5" customHeight="1" x14ac:dyDescent="0.2">
      <c r="B68" s="181" t="s">
        <v>754</v>
      </c>
      <c r="C68" s="182" t="s">
        <v>755</v>
      </c>
      <c r="D68" s="183" t="s">
        <v>756</v>
      </c>
      <c r="E68" s="184" t="s">
        <v>533</v>
      </c>
      <c r="F68" s="184"/>
      <c r="G68" s="183" t="s">
        <v>726</v>
      </c>
      <c r="H68" s="226" t="s">
        <v>757</v>
      </c>
      <c r="I68" s="217" t="s">
        <v>533</v>
      </c>
      <c r="J68" s="214"/>
      <c r="K68" s="214"/>
      <c r="L68" s="218" t="s">
        <v>533</v>
      </c>
      <c r="M68" s="218" t="s">
        <v>533</v>
      </c>
      <c r="N68" s="218" t="s">
        <v>533</v>
      </c>
      <c r="O68" s="215"/>
      <c r="P68" s="215" t="s">
        <v>533</v>
      </c>
      <c r="Q68" s="215"/>
      <c r="R68" s="215"/>
      <c r="S68" s="215"/>
      <c r="T68" s="216"/>
      <c r="U68" s="216" t="s">
        <v>533</v>
      </c>
      <c r="V68" s="216"/>
      <c r="W68" s="216"/>
      <c r="X68" s="216" t="s">
        <v>533</v>
      </c>
      <c r="Y68" s="216"/>
      <c r="Z68" s="216"/>
      <c r="AA68" s="216"/>
      <c r="AB68" s="216"/>
      <c r="AC68" s="216"/>
      <c r="AD68" s="216"/>
      <c r="AE68" s="216"/>
      <c r="AF68" s="216"/>
      <c r="AG68" s="216"/>
      <c r="AH68" s="216"/>
      <c r="AI68" s="207"/>
      <c r="AJ68" s="207" t="s">
        <v>533</v>
      </c>
      <c r="AK68" s="207"/>
      <c r="AL68" s="207"/>
    </row>
    <row r="69" spans="2:38" ht="153.75" customHeight="1" x14ac:dyDescent="0.2">
      <c r="B69" s="181" t="s">
        <v>758</v>
      </c>
      <c r="C69" s="182" t="s">
        <v>759</v>
      </c>
      <c r="D69" s="183" t="s">
        <v>760</v>
      </c>
      <c r="E69" s="184" t="s">
        <v>533</v>
      </c>
      <c r="F69" s="184"/>
      <c r="G69" s="183" t="s">
        <v>726</v>
      </c>
      <c r="H69" s="226" t="s">
        <v>761</v>
      </c>
      <c r="I69" s="217" t="s">
        <v>533</v>
      </c>
      <c r="J69" s="214"/>
      <c r="K69" s="214"/>
      <c r="L69" s="218" t="s">
        <v>533</v>
      </c>
      <c r="M69" s="218" t="s">
        <v>533</v>
      </c>
      <c r="N69" s="218" t="s">
        <v>533</v>
      </c>
      <c r="O69" s="215"/>
      <c r="P69" s="215" t="s">
        <v>533</v>
      </c>
      <c r="Q69" s="215"/>
      <c r="R69" s="215"/>
      <c r="S69" s="215"/>
      <c r="T69" s="216"/>
      <c r="U69" s="216" t="s">
        <v>533</v>
      </c>
      <c r="V69" s="216"/>
      <c r="W69" s="216"/>
      <c r="X69" s="216" t="s">
        <v>533</v>
      </c>
      <c r="Y69" s="216"/>
      <c r="Z69" s="216"/>
      <c r="AA69" s="216"/>
      <c r="AB69" s="216"/>
      <c r="AC69" s="216"/>
      <c r="AD69" s="216"/>
      <c r="AE69" s="216"/>
      <c r="AF69" s="216"/>
      <c r="AG69" s="216"/>
      <c r="AH69" s="216"/>
      <c r="AI69" s="207"/>
      <c r="AJ69" s="207" t="s">
        <v>533</v>
      </c>
      <c r="AK69" s="207"/>
      <c r="AL69" s="207"/>
    </row>
    <row r="70" spans="2:38" ht="166.5" customHeight="1" x14ac:dyDescent="0.2">
      <c r="B70" s="181" t="s">
        <v>762</v>
      </c>
      <c r="C70" s="182" t="s">
        <v>763</v>
      </c>
      <c r="D70" s="183" t="s">
        <v>764</v>
      </c>
      <c r="E70" s="184" t="s">
        <v>533</v>
      </c>
      <c r="F70" s="229"/>
      <c r="G70" s="183" t="s">
        <v>765</v>
      </c>
      <c r="H70" s="226" t="s">
        <v>766</v>
      </c>
      <c r="I70" s="217" t="s">
        <v>533</v>
      </c>
      <c r="J70" s="214"/>
      <c r="K70" s="214"/>
      <c r="L70" s="218" t="s">
        <v>533</v>
      </c>
      <c r="M70" s="218" t="s">
        <v>533</v>
      </c>
      <c r="N70" s="218" t="s">
        <v>533</v>
      </c>
      <c r="O70" s="215"/>
      <c r="P70" s="215" t="s">
        <v>533</v>
      </c>
      <c r="Q70" s="215" t="s">
        <v>533</v>
      </c>
      <c r="R70" s="215"/>
      <c r="S70" s="215"/>
      <c r="T70" s="216"/>
      <c r="U70" s="216"/>
      <c r="V70" s="216"/>
      <c r="W70" s="216"/>
      <c r="X70" s="216" t="s">
        <v>533</v>
      </c>
      <c r="Y70" s="216"/>
      <c r="Z70" s="216"/>
      <c r="AA70" s="216"/>
      <c r="AB70" s="216"/>
      <c r="AC70" s="216"/>
      <c r="AD70" s="216"/>
      <c r="AE70" s="216"/>
      <c r="AF70" s="216"/>
      <c r="AG70" s="216"/>
      <c r="AH70" s="216"/>
      <c r="AI70" s="207"/>
      <c r="AJ70" s="207" t="s">
        <v>533</v>
      </c>
      <c r="AK70" s="207"/>
      <c r="AL70" s="207"/>
    </row>
    <row r="71" spans="2:38" ht="142.5" customHeight="1" x14ac:dyDescent="0.2">
      <c r="B71" s="181" t="s">
        <v>767</v>
      </c>
      <c r="C71" s="182" t="s">
        <v>768</v>
      </c>
      <c r="D71" s="183" t="s">
        <v>769</v>
      </c>
      <c r="E71" s="184" t="s">
        <v>533</v>
      </c>
      <c r="F71" s="184"/>
      <c r="G71" s="184" t="s">
        <v>770</v>
      </c>
      <c r="H71" s="185" t="s">
        <v>771</v>
      </c>
      <c r="I71" s="217" t="s">
        <v>533</v>
      </c>
      <c r="J71" s="214"/>
      <c r="K71" s="214"/>
      <c r="L71" s="218" t="s">
        <v>533</v>
      </c>
      <c r="M71" s="218"/>
      <c r="N71" s="218" t="s">
        <v>533</v>
      </c>
      <c r="O71" s="215"/>
      <c r="P71" s="215" t="s">
        <v>533</v>
      </c>
      <c r="Q71" s="215"/>
      <c r="R71" s="215"/>
      <c r="S71" s="215"/>
      <c r="T71" s="216"/>
      <c r="U71" s="216"/>
      <c r="V71" s="216"/>
      <c r="W71" s="216"/>
      <c r="X71" s="216" t="s">
        <v>533</v>
      </c>
      <c r="Y71" s="216"/>
      <c r="Z71" s="216"/>
      <c r="AA71" s="216"/>
      <c r="AB71" s="216"/>
      <c r="AC71" s="216"/>
      <c r="AD71" s="216"/>
      <c r="AE71" s="216"/>
      <c r="AF71" s="216"/>
      <c r="AG71" s="216"/>
      <c r="AH71" s="216"/>
      <c r="AI71" s="207"/>
      <c r="AJ71" s="207" t="s">
        <v>533</v>
      </c>
      <c r="AK71" s="207"/>
      <c r="AL71" s="207"/>
    </row>
    <row r="72" spans="2:38" ht="142.5" customHeight="1" x14ac:dyDescent="0.2">
      <c r="B72" s="181" t="s">
        <v>772</v>
      </c>
      <c r="C72" s="182" t="s">
        <v>773</v>
      </c>
      <c r="D72" s="183" t="s">
        <v>774</v>
      </c>
      <c r="E72" s="184" t="s">
        <v>533</v>
      </c>
      <c r="F72" s="184"/>
      <c r="G72" s="184" t="s">
        <v>770</v>
      </c>
      <c r="H72" s="185" t="s">
        <v>775</v>
      </c>
      <c r="I72" s="217" t="s">
        <v>533</v>
      </c>
      <c r="J72" s="214"/>
      <c r="K72" s="214"/>
      <c r="L72" s="218" t="s">
        <v>533</v>
      </c>
      <c r="M72" s="218" t="s">
        <v>533</v>
      </c>
      <c r="N72" s="218" t="s">
        <v>533</v>
      </c>
      <c r="O72" s="215"/>
      <c r="P72" s="215" t="s">
        <v>533</v>
      </c>
      <c r="Q72" s="215"/>
      <c r="R72" s="215"/>
      <c r="S72" s="215"/>
      <c r="T72" s="216"/>
      <c r="U72" s="216" t="s">
        <v>533</v>
      </c>
      <c r="V72" s="216"/>
      <c r="W72" s="216"/>
      <c r="X72" s="216" t="s">
        <v>533</v>
      </c>
      <c r="Y72" s="216"/>
      <c r="Z72" s="216"/>
      <c r="AA72" s="216"/>
      <c r="AB72" s="216"/>
      <c r="AC72" s="216"/>
      <c r="AD72" s="216"/>
      <c r="AE72" s="216"/>
      <c r="AF72" s="216"/>
      <c r="AG72" s="216"/>
      <c r="AH72" s="216"/>
      <c r="AI72" s="207"/>
      <c r="AJ72" s="207" t="s">
        <v>533</v>
      </c>
      <c r="AK72" s="207"/>
      <c r="AL72" s="207"/>
    </row>
    <row r="73" spans="2:38" ht="122.25" customHeight="1" thickBot="1" x14ac:dyDescent="0.25">
      <c r="B73" s="181" t="s">
        <v>776</v>
      </c>
      <c r="C73" s="182" t="s">
        <v>777</v>
      </c>
      <c r="D73" s="183" t="s">
        <v>778</v>
      </c>
      <c r="E73" s="184"/>
      <c r="F73" s="184"/>
      <c r="G73" s="184" t="s">
        <v>726</v>
      </c>
      <c r="H73" s="185" t="s">
        <v>779</v>
      </c>
      <c r="I73" s="217" t="s">
        <v>533</v>
      </c>
      <c r="J73" s="214"/>
      <c r="K73" s="214"/>
      <c r="L73" s="218" t="s">
        <v>533</v>
      </c>
      <c r="M73" s="218" t="s">
        <v>533</v>
      </c>
      <c r="N73" s="218" t="s">
        <v>533</v>
      </c>
      <c r="O73" s="215"/>
      <c r="P73" s="215" t="s">
        <v>533</v>
      </c>
      <c r="Q73" s="215"/>
      <c r="R73" s="215"/>
      <c r="S73" s="215"/>
      <c r="T73" s="216"/>
      <c r="U73" s="216" t="s">
        <v>533</v>
      </c>
      <c r="V73" s="216"/>
      <c r="W73" s="216"/>
      <c r="X73" s="216" t="s">
        <v>533</v>
      </c>
      <c r="Y73" s="216"/>
      <c r="Z73" s="216"/>
      <c r="AA73" s="216"/>
      <c r="AB73" s="216"/>
      <c r="AC73" s="216"/>
      <c r="AD73" s="216"/>
      <c r="AE73" s="216"/>
      <c r="AF73" s="216"/>
      <c r="AG73" s="216"/>
      <c r="AH73" s="216"/>
      <c r="AI73" s="207"/>
      <c r="AJ73" s="207" t="s">
        <v>533</v>
      </c>
      <c r="AK73" s="207"/>
      <c r="AL73" s="207"/>
    </row>
    <row r="74" spans="2:38" ht="21" thickBot="1" x14ac:dyDescent="0.25">
      <c r="B74" s="432" t="s">
        <v>780</v>
      </c>
      <c r="C74" s="433"/>
      <c r="D74" s="433"/>
      <c r="E74" s="433"/>
      <c r="F74" s="433"/>
      <c r="G74" s="433"/>
      <c r="H74" s="434"/>
      <c r="I74" s="219"/>
      <c r="J74" s="220"/>
      <c r="K74" s="220"/>
      <c r="L74" s="220"/>
      <c r="M74" s="220"/>
      <c r="N74" s="220"/>
      <c r="O74" s="220"/>
      <c r="P74" s="220"/>
      <c r="Q74" s="220"/>
      <c r="R74" s="220"/>
      <c r="S74" s="220"/>
      <c r="T74" s="220"/>
      <c r="U74" s="220"/>
      <c r="V74" s="220"/>
      <c r="W74" s="220"/>
      <c r="X74" s="220"/>
      <c r="Y74" s="220"/>
      <c r="Z74" s="220"/>
      <c r="AA74" s="220"/>
      <c r="AB74" s="220"/>
      <c r="AC74" s="220"/>
      <c r="AD74" s="220"/>
      <c r="AE74" s="220"/>
      <c r="AF74" s="220"/>
      <c r="AG74" s="220"/>
      <c r="AH74" s="220"/>
      <c r="AI74" s="220"/>
      <c r="AJ74" s="220"/>
      <c r="AK74" s="220"/>
      <c r="AL74" s="221"/>
    </row>
    <row r="75" spans="2:38" ht="150.75" customHeight="1" x14ac:dyDescent="0.2">
      <c r="B75" s="222" t="s">
        <v>781</v>
      </c>
      <c r="C75" s="223" t="s">
        <v>782</v>
      </c>
      <c r="D75" s="231" t="s">
        <v>783</v>
      </c>
      <c r="E75" s="174" t="s">
        <v>533</v>
      </c>
      <c r="F75" s="174"/>
      <c r="G75" s="174" t="s">
        <v>784</v>
      </c>
      <c r="H75" s="225" t="s">
        <v>785</v>
      </c>
      <c r="I75" s="217" t="s">
        <v>533</v>
      </c>
      <c r="J75" s="214"/>
      <c r="K75" s="214"/>
      <c r="L75" s="218" t="s">
        <v>533</v>
      </c>
      <c r="M75" s="218" t="s">
        <v>533</v>
      </c>
      <c r="N75" s="218" t="s">
        <v>533</v>
      </c>
      <c r="O75" s="215"/>
      <c r="P75" s="215" t="s">
        <v>533</v>
      </c>
      <c r="Q75" s="215"/>
      <c r="R75" s="215"/>
      <c r="S75" s="215"/>
      <c r="T75" s="216"/>
      <c r="U75" s="216" t="s">
        <v>533</v>
      </c>
      <c r="V75" s="216" t="s">
        <v>533</v>
      </c>
      <c r="W75" s="216"/>
      <c r="X75" s="216"/>
      <c r="Y75" s="216"/>
      <c r="Z75" s="216"/>
      <c r="AA75" s="216"/>
      <c r="AB75" s="216"/>
      <c r="AC75" s="216"/>
      <c r="AD75" s="216"/>
      <c r="AE75" s="216"/>
      <c r="AF75" s="216"/>
      <c r="AG75" s="216"/>
      <c r="AH75" s="216"/>
      <c r="AI75" s="207"/>
      <c r="AJ75" s="207" t="s">
        <v>533</v>
      </c>
      <c r="AK75" s="207"/>
      <c r="AL75" s="207"/>
    </row>
    <row r="76" spans="2:38" ht="124.9" customHeight="1" x14ac:dyDescent="0.2">
      <c r="B76" s="222" t="s">
        <v>786</v>
      </c>
      <c r="C76" s="223" t="s">
        <v>787</v>
      </c>
      <c r="D76" s="231" t="s">
        <v>788</v>
      </c>
      <c r="E76" s="174" t="s">
        <v>533</v>
      </c>
      <c r="F76" s="174"/>
      <c r="G76" s="174" t="s">
        <v>789</v>
      </c>
      <c r="H76" s="225" t="s">
        <v>790</v>
      </c>
      <c r="I76" s="217" t="s">
        <v>533</v>
      </c>
      <c r="J76" s="214"/>
      <c r="K76" s="214"/>
      <c r="L76" s="218" t="s">
        <v>533</v>
      </c>
      <c r="M76" s="218" t="s">
        <v>533</v>
      </c>
      <c r="N76" s="218" t="s">
        <v>533</v>
      </c>
      <c r="O76" s="215"/>
      <c r="P76" s="215" t="s">
        <v>533</v>
      </c>
      <c r="Q76" s="215"/>
      <c r="R76" s="215"/>
      <c r="S76" s="215"/>
      <c r="T76" s="216"/>
      <c r="U76" s="216"/>
      <c r="V76" s="216"/>
      <c r="W76" s="216"/>
      <c r="X76" s="216"/>
      <c r="Y76" s="216"/>
      <c r="Z76" s="216"/>
      <c r="AA76" s="216"/>
      <c r="AB76" s="216" t="s">
        <v>533</v>
      </c>
      <c r="AC76" s="216"/>
      <c r="AD76" s="216"/>
      <c r="AE76" s="216"/>
      <c r="AF76" s="216"/>
      <c r="AG76" s="216"/>
      <c r="AH76" s="216"/>
      <c r="AI76" s="207"/>
      <c r="AJ76" s="207" t="s">
        <v>533</v>
      </c>
      <c r="AK76" s="207"/>
      <c r="AL76" s="207"/>
    </row>
    <row r="77" spans="2:38" ht="132.75" customHeight="1" x14ac:dyDescent="0.2">
      <c r="B77" s="222" t="s">
        <v>791</v>
      </c>
      <c r="C77" s="223" t="s">
        <v>792</v>
      </c>
      <c r="D77" s="231" t="s">
        <v>793</v>
      </c>
      <c r="E77" s="174" t="s">
        <v>533</v>
      </c>
      <c r="F77" s="174"/>
      <c r="G77" s="174" t="s">
        <v>600</v>
      </c>
      <c r="H77" s="225" t="s">
        <v>794</v>
      </c>
      <c r="I77" s="217" t="s">
        <v>533</v>
      </c>
      <c r="J77" s="214"/>
      <c r="K77" s="214"/>
      <c r="L77" s="218" t="s">
        <v>533</v>
      </c>
      <c r="M77" s="218" t="s">
        <v>533</v>
      </c>
      <c r="N77" s="218" t="s">
        <v>533</v>
      </c>
      <c r="O77" s="215"/>
      <c r="P77" s="215" t="s">
        <v>533</v>
      </c>
      <c r="Q77" s="215"/>
      <c r="R77" s="215"/>
      <c r="S77" s="215"/>
      <c r="T77" s="216"/>
      <c r="U77" s="216"/>
      <c r="V77" s="216"/>
      <c r="W77" s="216"/>
      <c r="X77" s="216"/>
      <c r="Y77" s="216"/>
      <c r="Z77" s="216"/>
      <c r="AA77" s="216"/>
      <c r="AB77" s="216" t="s">
        <v>533</v>
      </c>
      <c r="AC77" s="216"/>
      <c r="AD77" s="216"/>
      <c r="AE77" s="216"/>
      <c r="AF77" s="216"/>
      <c r="AG77" s="216"/>
      <c r="AH77" s="216"/>
      <c r="AI77" s="207"/>
      <c r="AJ77" s="207" t="s">
        <v>533</v>
      </c>
      <c r="AK77" s="207"/>
      <c r="AL77" s="207"/>
    </row>
    <row r="78" spans="2:38" ht="253.15" customHeight="1" x14ac:dyDescent="0.2">
      <c r="B78" s="222" t="s">
        <v>795</v>
      </c>
      <c r="C78" s="223" t="s">
        <v>796</v>
      </c>
      <c r="D78" s="231" t="s">
        <v>797</v>
      </c>
      <c r="E78" s="174" t="s">
        <v>533</v>
      </c>
      <c r="F78" s="174"/>
      <c r="G78" s="262" t="s">
        <v>798</v>
      </c>
      <c r="H78" s="263" t="s">
        <v>799</v>
      </c>
      <c r="I78" s="217" t="s">
        <v>533</v>
      </c>
      <c r="J78" s="214"/>
      <c r="K78" s="214"/>
      <c r="L78" s="218" t="s">
        <v>533</v>
      </c>
      <c r="M78" s="218" t="s">
        <v>533</v>
      </c>
      <c r="N78" s="218" t="s">
        <v>533</v>
      </c>
      <c r="O78" s="215"/>
      <c r="P78" s="215" t="s">
        <v>533</v>
      </c>
      <c r="Q78" s="215"/>
      <c r="R78" s="215"/>
      <c r="S78" s="215"/>
      <c r="T78" s="216"/>
      <c r="U78" s="216"/>
      <c r="V78" s="216"/>
      <c r="W78" s="216"/>
      <c r="X78" s="216"/>
      <c r="Y78" s="216"/>
      <c r="Z78" s="216"/>
      <c r="AA78" s="216"/>
      <c r="AB78" s="216" t="s">
        <v>533</v>
      </c>
      <c r="AC78" s="216"/>
      <c r="AD78" s="216"/>
      <c r="AE78" s="216"/>
      <c r="AF78" s="216"/>
      <c r="AG78" s="216"/>
      <c r="AH78" s="216"/>
      <c r="AI78" s="207"/>
      <c r="AJ78" s="207" t="s">
        <v>533</v>
      </c>
      <c r="AK78" s="207"/>
      <c r="AL78" s="207"/>
    </row>
    <row r="79" spans="2:38" ht="168" customHeight="1" x14ac:dyDescent="0.2">
      <c r="B79" s="222" t="s">
        <v>800</v>
      </c>
      <c r="C79" s="223" t="s">
        <v>801</v>
      </c>
      <c r="D79" s="231" t="s">
        <v>802</v>
      </c>
      <c r="E79" s="174" t="s">
        <v>533</v>
      </c>
      <c r="F79" s="174"/>
      <c r="G79" s="174" t="s">
        <v>803</v>
      </c>
      <c r="H79" s="225" t="s">
        <v>804</v>
      </c>
      <c r="I79" s="217" t="s">
        <v>533</v>
      </c>
      <c r="J79" s="214"/>
      <c r="K79" s="214"/>
      <c r="L79" s="218" t="s">
        <v>533</v>
      </c>
      <c r="M79" s="218" t="s">
        <v>533</v>
      </c>
      <c r="N79" s="218" t="s">
        <v>533</v>
      </c>
      <c r="O79" s="215"/>
      <c r="P79" s="215"/>
      <c r="Q79" s="215"/>
      <c r="R79" s="215"/>
      <c r="S79" s="215"/>
      <c r="T79" s="216"/>
      <c r="U79" s="216"/>
      <c r="V79" s="216"/>
      <c r="W79" s="216"/>
      <c r="X79" s="216"/>
      <c r="Y79" s="216"/>
      <c r="Z79" s="216"/>
      <c r="AA79" s="216"/>
      <c r="AB79" s="216" t="s">
        <v>533</v>
      </c>
      <c r="AC79" s="216"/>
      <c r="AD79" s="216"/>
      <c r="AE79" s="216"/>
      <c r="AF79" s="216"/>
      <c r="AG79" s="216"/>
      <c r="AH79" s="216"/>
      <c r="AI79" s="207"/>
      <c r="AJ79" s="207" t="s">
        <v>533</v>
      </c>
      <c r="AK79" s="207"/>
      <c r="AL79" s="207"/>
    </row>
    <row r="80" spans="2:38" ht="121.5" customHeight="1" x14ac:dyDescent="0.2">
      <c r="B80" s="222" t="s">
        <v>805</v>
      </c>
      <c r="C80" s="223" t="s">
        <v>806</v>
      </c>
      <c r="D80" s="231" t="s">
        <v>807</v>
      </c>
      <c r="E80" s="174"/>
      <c r="F80" s="174"/>
      <c r="G80" s="174" t="s">
        <v>808</v>
      </c>
      <c r="H80" s="225" t="s">
        <v>809</v>
      </c>
      <c r="I80" s="217" t="s">
        <v>533</v>
      </c>
      <c r="J80" s="214"/>
      <c r="K80" s="214"/>
      <c r="L80" s="218" t="s">
        <v>533</v>
      </c>
      <c r="M80" s="218" t="s">
        <v>533</v>
      </c>
      <c r="N80" s="218" t="s">
        <v>533</v>
      </c>
      <c r="O80" s="215" t="s">
        <v>533</v>
      </c>
      <c r="P80" s="215" t="s">
        <v>533</v>
      </c>
      <c r="Q80" s="215" t="s">
        <v>533</v>
      </c>
      <c r="R80" s="215"/>
      <c r="S80" s="215"/>
      <c r="T80" s="216"/>
      <c r="U80" s="216"/>
      <c r="V80" s="216"/>
      <c r="W80" s="216"/>
      <c r="X80" s="216"/>
      <c r="Y80" s="216"/>
      <c r="Z80" s="216"/>
      <c r="AA80" s="216"/>
      <c r="AB80" s="216"/>
      <c r="AC80" s="216"/>
      <c r="AD80" s="216" t="s">
        <v>533</v>
      </c>
      <c r="AE80" s="216"/>
      <c r="AF80" s="216"/>
      <c r="AG80" s="216"/>
      <c r="AH80" s="216"/>
      <c r="AI80" s="207"/>
      <c r="AJ80" s="207" t="s">
        <v>533</v>
      </c>
      <c r="AK80" s="207"/>
      <c r="AL80" s="207"/>
    </row>
    <row r="81" spans="2:38" ht="108.75" customHeight="1" x14ac:dyDescent="0.2">
      <c r="B81" s="222" t="s">
        <v>810</v>
      </c>
      <c r="C81" s="223" t="s">
        <v>811</v>
      </c>
      <c r="D81" s="231" t="s">
        <v>812</v>
      </c>
      <c r="E81" s="174" t="s">
        <v>533</v>
      </c>
      <c r="F81" s="174"/>
      <c r="G81" s="232" t="s">
        <v>813</v>
      </c>
      <c r="H81" s="225" t="s">
        <v>814</v>
      </c>
      <c r="I81" s="217" t="s">
        <v>533</v>
      </c>
      <c r="J81" s="214"/>
      <c r="K81" s="214"/>
      <c r="L81" s="218" t="s">
        <v>533</v>
      </c>
      <c r="M81" s="218" t="s">
        <v>533</v>
      </c>
      <c r="N81" s="218" t="s">
        <v>533</v>
      </c>
      <c r="O81" s="215"/>
      <c r="P81" s="215" t="s">
        <v>533</v>
      </c>
      <c r="Q81" s="215" t="s">
        <v>533</v>
      </c>
      <c r="R81" s="215"/>
      <c r="S81" s="215"/>
      <c r="T81" s="216"/>
      <c r="U81" s="216"/>
      <c r="V81" s="216" t="s">
        <v>533</v>
      </c>
      <c r="W81" s="216"/>
      <c r="X81" s="216"/>
      <c r="Y81" s="216" t="s">
        <v>533</v>
      </c>
      <c r="Z81" s="216"/>
      <c r="AA81" s="216"/>
      <c r="AB81" s="216"/>
      <c r="AC81" s="216"/>
      <c r="AD81" s="216"/>
      <c r="AE81" s="216"/>
      <c r="AF81" s="216"/>
      <c r="AG81" s="216"/>
      <c r="AH81" s="216"/>
      <c r="AI81" s="207"/>
      <c r="AJ81" s="207" t="s">
        <v>533</v>
      </c>
      <c r="AK81" s="207" t="s">
        <v>533</v>
      </c>
      <c r="AL81" s="207"/>
    </row>
    <row r="82" spans="2:38" ht="259.89999999999998" customHeight="1" x14ac:dyDescent="0.2">
      <c r="B82" s="222" t="s">
        <v>815</v>
      </c>
      <c r="C82" s="223" t="s">
        <v>816</v>
      </c>
      <c r="D82" s="231" t="s">
        <v>817</v>
      </c>
      <c r="E82" s="174" t="s">
        <v>533</v>
      </c>
      <c r="F82" s="174"/>
      <c r="G82" s="174" t="s">
        <v>798</v>
      </c>
      <c r="H82" s="225" t="s">
        <v>818</v>
      </c>
      <c r="I82" s="217" t="s">
        <v>533</v>
      </c>
      <c r="J82" s="214"/>
      <c r="K82" s="214"/>
      <c r="L82" s="218" t="s">
        <v>533</v>
      </c>
      <c r="M82" s="218" t="s">
        <v>533</v>
      </c>
      <c r="N82" s="218" t="s">
        <v>533</v>
      </c>
      <c r="O82" s="215" t="s">
        <v>533</v>
      </c>
      <c r="P82" s="215" t="s">
        <v>533</v>
      </c>
      <c r="Q82" s="215"/>
      <c r="R82" s="215"/>
      <c r="S82" s="215"/>
      <c r="T82" s="216"/>
      <c r="U82" s="216"/>
      <c r="V82" s="216"/>
      <c r="W82" s="216"/>
      <c r="X82" s="216"/>
      <c r="Y82" s="216"/>
      <c r="Z82" s="216"/>
      <c r="AA82" s="216"/>
      <c r="AB82" s="216"/>
      <c r="AC82" s="216" t="s">
        <v>533</v>
      </c>
      <c r="AD82" s="216"/>
      <c r="AE82" s="216"/>
      <c r="AF82" s="216"/>
      <c r="AG82" s="216"/>
      <c r="AH82" s="216"/>
      <c r="AI82" s="207" t="s">
        <v>533</v>
      </c>
      <c r="AJ82" s="207" t="s">
        <v>533</v>
      </c>
      <c r="AK82" s="207" t="s">
        <v>533</v>
      </c>
      <c r="AL82" s="207"/>
    </row>
    <row r="83" spans="2:38" ht="161.25" customHeight="1" x14ac:dyDescent="0.2">
      <c r="B83" s="222" t="s">
        <v>819</v>
      </c>
      <c r="C83" s="223" t="s">
        <v>820</v>
      </c>
      <c r="D83" s="231" t="s">
        <v>821</v>
      </c>
      <c r="E83" s="174"/>
      <c r="F83" s="174"/>
      <c r="G83" s="174" t="s">
        <v>822</v>
      </c>
      <c r="H83" s="225" t="s">
        <v>823</v>
      </c>
      <c r="I83" s="217" t="s">
        <v>533</v>
      </c>
      <c r="J83" s="214"/>
      <c r="K83" s="214"/>
      <c r="L83" s="218" t="s">
        <v>533</v>
      </c>
      <c r="M83" s="218" t="s">
        <v>533</v>
      </c>
      <c r="N83" s="218" t="s">
        <v>533</v>
      </c>
      <c r="O83" s="215"/>
      <c r="P83" s="215" t="s">
        <v>533</v>
      </c>
      <c r="Q83" s="215"/>
      <c r="R83" s="215"/>
      <c r="S83" s="215"/>
      <c r="T83" s="216"/>
      <c r="U83" s="216"/>
      <c r="V83" s="216"/>
      <c r="W83" s="216"/>
      <c r="X83" s="216"/>
      <c r="Y83" s="216"/>
      <c r="Z83" s="216"/>
      <c r="AA83" s="216" t="s">
        <v>533</v>
      </c>
      <c r="AB83" s="216"/>
      <c r="AC83" s="216"/>
      <c r="AD83" s="216"/>
      <c r="AE83" s="216"/>
      <c r="AF83" s="216"/>
      <c r="AG83" s="216"/>
      <c r="AH83" s="216"/>
      <c r="AI83" s="207"/>
      <c r="AJ83" s="207" t="s">
        <v>533</v>
      </c>
      <c r="AK83" s="207"/>
      <c r="AL83" s="207"/>
    </row>
    <row r="84" spans="2:38" ht="142.5" customHeight="1" x14ac:dyDescent="0.2">
      <c r="B84" s="222" t="s">
        <v>824</v>
      </c>
      <c r="C84" s="223" t="s">
        <v>825</v>
      </c>
      <c r="D84" s="231" t="s">
        <v>826</v>
      </c>
      <c r="E84" s="174"/>
      <c r="F84" s="174"/>
      <c r="G84" s="174" t="s">
        <v>827</v>
      </c>
      <c r="H84" s="225" t="s">
        <v>828</v>
      </c>
      <c r="I84" s="217" t="s">
        <v>533</v>
      </c>
      <c r="J84" s="214"/>
      <c r="K84" s="214"/>
      <c r="L84" s="218" t="s">
        <v>533</v>
      </c>
      <c r="M84" s="218"/>
      <c r="N84" s="218"/>
      <c r="O84" s="215"/>
      <c r="P84" s="215" t="s">
        <v>533</v>
      </c>
      <c r="Q84" s="215"/>
      <c r="R84" s="215"/>
      <c r="S84" s="215"/>
      <c r="T84" s="216"/>
      <c r="U84" s="216"/>
      <c r="V84" s="216" t="s">
        <v>533</v>
      </c>
      <c r="W84" s="216"/>
      <c r="X84" s="216"/>
      <c r="Y84" s="216"/>
      <c r="Z84" s="216"/>
      <c r="AA84" s="216"/>
      <c r="AB84" s="216"/>
      <c r="AC84" s="216"/>
      <c r="AD84" s="216"/>
      <c r="AE84" s="216"/>
      <c r="AF84" s="216" t="s">
        <v>533</v>
      </c>
      <c r="AG84" s="216"/>
      <c r="AH84" s="216"/>
      <c r="AI84" s="207"/>
      <c r="AJ84" s="207" t="s">
        <v>533</v>
      </c>
      <c r="AK84" s="207"/>
      <c r="AL84" s="207"/>
    </row>
    <row r="85" spans="2:38" ht="150" customHeight="1" x14ac:dyDescent="0.2">
      <c r="B85" s="222" t="s">
        <v>829</v>
      </c>
      <c r="C85" s="223" t="s">
        <v>830</v>
      </c>
      <c r="D85" s="231" t="s">
        <v>831</v>
      </c>
      <c r="E85" s="174" t="s">
        <v>533</v>
      </c>
      <c r="F85" s="174"/>
      <c r="G85" s="174" t="s">
        <v>620</v>
      </c>
      <c r="H85" s="225" t="s">
        <v>832</v>
      </c>
      <c r="I85" s="217" t="s">
        <v>533</v>
      </c>
      <c r="J85" s="214"/>
      <c r="K85" s="214"/>
      <c r="L85" s="218" t="s">
        <v>533</v>
      </c>
      <c r="M85" s="218"/>
      <c r="N85" s="218"/>
      <c r="O85" s="215"/>
      <c r="P85" s="215" t="s">
        <v>533</v>
      </c>
      <c r="Q85" s="215"/>
      <c r="R85" s="215"/>
      <c r="S85" s="215"/>
      <c r="T85" s="216"/>
      <c r="U85" s="216"/>
      <c r="V85" s="216" t="s">
        <v>533</v>
      </c>
      <c r="W85" s="216"/>
      <c r="X85" s="216"/>
      <c r="Y85" s="216"/>
      <c r="Z85" s="216"/>
      <c r="AA85" s="216"/>
      <c r="AB85" s="216"/>
      <c r="AC85" s="216"/>
      <c r="AD85" s="216"/>
      <c r="AE85" s="216"/>
      <c r="AF85" s="216"/>
      <c r="AG85" s="216"/>
      <c r="AH85" s="216"/>
      <c r="AI85" s="207"/>
      <c r="AJ85" s="207" t="s">
        <v>533</v>
      </c>
      <c r="AK85" s="207"/>
      <c r="AL85" s="207"/>
    </row>
    <row r="86" spans="2:38" ht="135.75" customHeight="1" x14ac:dyDescent="0.2">
      <c r="B86" s="222" t="s">
        <v>833</v>
      </c>
      <c r="C86" s="223" t="s">
        <v>834</v>
      </c>
      <c r="D86" s="231" t="s">
        <v>835</v>
      </c>
      <c r="E86" s="174" t="s">
        <v>533</v>
      </c>
      <c r="F86" s="174"/>
      <c r="G86" s="174" t="s">
        <v>620</v>
      </c>
      <c r="H86" s="225" t="s">
        <v>836</v>
      </c>
      <c r="I86" s="217" t="s">
        <v>533</v>
      </c>
      <c r="J86" s="214"/>
      <c r="K86" s="214"/>
      <c r="L86" s="218" t="s">
        <v>533</v>
      </c>
      <c r="M86" s="218"/>
      <c r="N86" s="218"/>
      <c r="O86" s="215"/>
      <c r="P86" s="215" t="s">
        <v>533</v>
      </c>
      <c r="Q86" s="215" t="s">
        <v>533</v>
      </c>
      <c r="R86" s="215"/>
      <c r="S86" s="215"/>
      <c r="T86" s="216"/>
      <c r="U86" s="216"/>
      <c r="V86" s="216" t="s">
        <v>533</v>
      </c>
      <c r="W86" s="216"/>
      <c r="X86" s="216"/>
      <c r="Y86" s="216"/>
      <c r="Z86" s="216"/>
      <c r="AA86" s="216"/>
      <c r="AB86" s="216"/>
      <c r="AC86" s="216"/>
      <c r="AD86" s="216"/>
      <c r="AE86" s="216"/>
      <c r="AF86" s="216"/>
      <c r="AG86" s="216"/>
      <c r="AH86" s="216"/>
      <c r="AI86" s="207"/>
      <c r="AJ86" s="207" t="s">
        <v>533</v>
      </c>
      <c r="AK86" s="207" t="s">
        <v>533</v>
      </c>
      <c r="AL86" s="207"/>
    </row>
    <row r="87" spans="2:38" ht="168.75" customHeight="1" x14ac:dyDescent="0.2">
      <c r="B87" s="222" t="s">
        <v>837</v>
      </c>
      <c r="C87" s="223" t="s">
        <v>838</v>
      </c>
      <c r="D87" s="231" t="s">
        <v>839</v>
      </c>
      <c r="E87" s="174" t="s">
        <v>533</v>
      </c>
      <c r="F87" s="174"/>
      <c r="G87" s="174" t="s">
        <v>840</v>
      </c>
      <c r="H87" s="225" t="s">
        <v>841</v>
      </c>
      <c r="I87" s="217" t="s">
        <v>533</v>
      </c>
      <c r="J87" s="214"/>
      <c r="K87" s="214"/>
      <c r="L87" s="218"/>
      <c r="M87" s="218" t="s">
        <v>533</v>
      </c>
      <c r="N87" s="218" t="s">
        <v>533</v>
      </c>
      <c r="O87" s="215"/>
      <c r="P87" s="215" t="s">
        <v>533</v>
      </c>
      <c r="Q87" s="215"/>
      <c r="R87" s="215"/>
      <c r="S87" s="215"/>
      <c r="T87" s="216"/>
      <c r="U87" s="216"/>
      <c r="V87" s="216"/>
      <c r="W87" s="216"/>
      <c r="X87" s="216"/>
      <c r="Y87" s="216"/>
      <c r="Z87" s="216"/>
      <c r="AA87" s="216"/>
      <c r="AB87" s="216"/>
      <c r="AC87" s="216"/>
      <c r="AD87" s="216" t="s">
        <v>533</v>
      </c>
      <c r="AE87" s="216"/>
      <c r="AF87" s="216"/>
      <c r="AG87" s="216"/>
      <c r="AH87" s="216"/>
      <c r="AI87" s="207"/>
      <c r="AJ87" s="207" t="s">
        <v>533</v>
      </c>
      <c r="AK87" s="207"/>
      <c r="AL87" s="207"/>
    </row>
    <row r="88" spans="2:38" ht="103.5" customHeight="1" x14ac:dyDescent="0.2">
      <c r="B88" s="222" t="s">
        <v>842</v>
      </c>
      <c r="C88" s="223" t="s">
        <v>843</v>
      </c>
      <c r="D88" s="231" t="s">
        <v>844</v>
      </c>
      <c r="E88" s="174" t="s">
        <v>533</v>
      </c>
      <c r="F88" s="174"/>
      <c r="G88" s="174" t="s">
        <v>845</v>
      </c>
      <c r="H88" s="225" t="s">
        <v>846</v>
      </c>
      <c r="I88" s="217" t="s">
        <v>533</v>
      </c>
      <c r="J88" s="214"/>
      <c r="K88" s="214"/>
      <c r="L88" s="218"/>
      <c r="M88" s="218"/>
      <c r="N88" s="218" t="s">
        <v>533</v>
      </c>
      <c r="O88" s="215"/>
      <c r="P88" s="215" t="s">
        <v>533</v>
      </c>
      <c r="Q88" s="215"/>
      <c r="R88" s="215"/>
      <c r="S88" s="215"/>
      <c r="T88" s="216"/>
      <c r="U88" s="216" t="s">
        <v>533</v>
      </c>
      <c r="V88" s="216"/>
      <c r="W88" s="216"/>
      <c r="X88" s="216"/>
      <c r="Y88" s="216"/>
      <c r="Z88" s="216"/>
      <c r="AA88" s="216"/>
      <c r="AB88" s="216"/>
      <c r="AC88" s="216"/>
      <c r="AD88" s="216" t="s">
        <v>533</v>
      </c>
      <c r="AE88" s="216"/>
      <c r="AF88" s="216"/>
      <c r="AG88" s="216"/>
      <c r="AH88" s="216"/>
      <c r="AI88" s="207"/>
      <c r="AJ88" s="207" t="s">
        <v>533</v>
      </c>
      <c r="AK88" s="207"/>
      <c r="AL88" s="207" t="s">
        <v>533</v>
      </c>
    </row>
    <row r="89" spans="2:38" ht="156" customHeight="1" x14ac:dyDescent="0.2">
      <c r="B89" s="222" t="s">
        <v>847</v>
      </c>
      <c r="C89" s="223" t="s">
        <v>848</v>
      </c>
      <c r="D89" s="231" t="s">
        <v>849</v>
      </c>
      <c r="E89" s="174" t="s">
        <v>533</v>
      </c>
      <c r="F89" s="174"/>
      <c r="G89" s="174" t="s">
        <v>813</v>
      </c>
      <c r="H89" s="225" t="s">
        <v>850</v>
      </c>
      <c r="I89" s="217" t="s">
        <v>533</v>
      </c>
      <c r="J89" s="214"/>
      <c r="K89" s="214"/>
      <c r="L89" s="218" t="s">
        <v>533</v>
      </c>
      <c r="M89" s="218" t="s">
        <v>533</v>
      </c>
      <c r="N89" s="218" t="s">
        <v>533</v>
      </c>
      <c r="O89" s="215"/>
      <c r="P89" s="215"/>
      <c r="Q89" s="215" t="s">
        <v>533</v>
      </c>
      <c r="R89" s="215"/>
      <c r="S89" s="215"/>
      <c r="T89" s="216"/>
      <c r="U89" s="216"/>
      <c r="V89" s="216" t="s">
        <v>533</v>
      </c>
      <c r="W89" s="216"/>
      <c r="X89" s="216"/>
      <c r="Y89" s="216"/>
      <c r="Z89" s="216"/>
      <c r="AA89" s="216"/>
      <c r="AB89" s="216"/>
      <c r="AC89" s="216"/>
      <c r="AD89" s="216"/>
      <c r="AE89" s="216"/>
      <c r="AF89" s="216"/>
      <c r="AG89" s="216"/>
      <c r="AH89" s="216"/>
      <c r="AI89" s="207"/>
      <c r="AJ89" s="207" t="s">
        <v>533</v>
      </c>
      <c r="AK89" s="207"/>
      <c r="AL89" s="207" t="s">
        <v>533</v>
      </c>
    </row>
    <row r="90" spans="2:38" ht="239.25" customHeight="1" x14ac:dyDescent="0.2">
      <c r="B90" s="222" t="s">
        <v>851</v>
      </c>
      <c r="C90" s="223" t="s">
        <v>852</v>
      </c>
      <c r="D90" s="231" t="s">
        <v>853</v>
      </c>
      <c r="E90" s="174" t="s">
        <v>533</v>
      </c>
      <c r="F90" s="174"/>
      <c r="G90" s="174" t="s">
        <v>798</v>
      </c>
      <c r="H90" s="225" t="s">
        <v>854</v>
      </c>
      <c r="I90" s="217" t="s">
        <v>533</v>
      </c>
      <c r="J90" s="214"/>
      <c r="K90" s="214"/>
      <c r="L90" s="218" t="s">
        <v>533</v>
      </c>
      <c r="M90" s="218" t="s">
        <v>533</v>
      </c>
      <c r="N90" s="218" t="s">
        <v>533</v>
      </c>
      <c r="O90" s="215"/>
      <c r="P90" s="215"/>
      <c r="Q90" s="215" t="s">
        <v>533</v>
      </c>
      <c r="R90" s="215" t="s">
        <v>533</v>
      </c>
      <c r="S90" s="215"/>
      <c r="T90" s="216"/>
      <c r="U90" s="216"/>
      <c r="V90" s="216" t="s">
        <v>533</v>
      </c>
      <c r="W90" s="216"/>
      <c r="X90" s="216"/>
      <c r="Y90" s="216"/>
      <c r="Z90" s="216"/>
      <c r="AA90" s="216"/>
      <c r="AB90" s="216"/>
      <c r="AC90" s="216"/>
      <c r="AD90" s="216"/>
      <c r="AE90" s="216"/>
      <c r="AF90" s="216"/>
      <c r="AG90" s="216"/>
      <c r="AH90" s="216"/>
      <c r="AI90" s="207"/>
      <c r="AJ90" s="207"/>
      <c r="AK90" s="207" t="s">
        <v>533</v>
      </c>
      <c r="AL90" s="207"/>
    </row>
    <row r="91" spans="2:38" ht="138.75" customHeight="1" x14ac:dyDescent="0.2">
      <c r="B91" s="222" t="s">
        <v>855</v>
      </c>
      <c r="C91" s="223" t="s">
        <v>856</v>
      </c>
      <c r="D91" s="231" t="s">
        <v>857</v>
      </c>
      <c r="E91" s="174" t="s">
        <v>533</v>
      </c>
      <c r="F91" s="174"/>
      <c r="G91" s="174" t="s">
        <v>858</v>
      </c>
      <c r="H91" s="225" t="s">
        <v>856</v>
      </c>
      <c r="I91" s="217" t="s">
        <v>533</v>
      </c>
      <c r="J91" s="214"/>
      <c r="K91" s="214"/>
      <c r="L91" s="218"/>
      <c r="M91" s="218" t="s">
        <v>533</v>
      </c>
      <c r="N91" s="218"/>
      <c r="O91" s="215"/>
      <c r="P91" s="215" t="s">
        <v>533</v>
      </c>
      <c r="Q91" s="215" t="s">
        <v>533</v>
      </c>
      <c r="R91" s="215"/>
      <c r="S91" s="215"/>
      <c r="T91" s="216"/>
      <c r="U91" s="216"/>
      <c r="V91" s="216" t="s">
        <v>533</v>
      </c>
      <c r="W91" s="216"/>
      <c r="X91" s="216"/>
      <c r="Y91" s="216"/>
      <c r="Z91" s="216"/>
      <c r="AA91" s="216"/>
      <c r="AB91" s="216"/>
      <c r="AC91" s="216"/>
      <c r="AD91" s="216"/>
      <c r="AE91" s="216"/>
      <c r="AF91" s="216"/>
      <c r="AG91" s="216"/>
      <c r="AH91" s="216"/>
      <c r="AI91" s="207"/>
      <c r="AJ91" s="207" t="s">
        <v>533</v>
      </c>
      <c r="AK91" s="207" t="s">
        <v>533</v>
      </c>
      <c r="AL91" s="207"/>
    </row>
    <row r="92" spans="2:38" ht="132.75" customHeight="1" x14ac:dyDescent="0.2">
      <c r="B92" s="222" t="s">
        <v>859</v>
      </c>
      <c r="C92" s="223" t="s">
        <v>860</v>
      </c>
      <c r="D92" s="231" t="s">
        <v>861</v>
      </c>
      <c r="E92" s="174" t="s">
        <v>533</v>
      </c>
      <c r="F92" s="174"/>
      <c r="G92" s="174" t="s">
        <v>862</v>
      </c>
      <c r="H92" s="225" t="s">
        <v>863</v>
      </c>
      <c r="I92" s="217" t="s">
        <v>533</v>
      </c>
      <c r="J92" s="214"/>
      <c r="K92" s="214"/>
      <c r="L92" s="218" t="s">
        <v>533</v>
      </c>
      <c r="M92" s="218" t="s">
        <v>533</v>
      </c>
      <c r="N92" s="218" t="s">
        <v>533</v>
      </c>
      <c r="O92" s="215"/>
      <c r="P92" s="215" t="s">
        <v>533</v>
      </c>
      <c r="Q92" s="215"/>
      <c r="R92" s="215"/>
      <c r="S92" s="215"/>
      <c r="T92" s="216"/>
      <c r="U92" s="216"/>
      <c r="V92" s="216"/>
      <c r="W92" s="216"/>
      <c r="X92" s="216"/>
      <c r="Y92" s="216" t="s">
        <v>533</v>
      </c>
      <c r="Z92" s="216" t="s">
        <v>533</v>
      </c>
      <c r="AA92" s="216" t="s">
        <v>533</v>
      </c>
      <c r="AB92" s="216"/>
      <c r="AC92" s="216"/>
      <c r="AD92" s="216"/>
      <c r="AE92" s="216"/>
      <c r="AF92" s="216"/>
      <c r="AG92" s="216"/>
      <c r="AH92" s="216"/>
      <c r="AI92" s="207"/>
      <c r="AJ92" s="207" t="s">
        <v>533</v>
      </c>
      <c r="AK92" s="207"/>
      <c r="AL92" s="207"/>
    </row>
    <row r="93" spans="2:38" ht="105" customHeight="1" x14ac:dyDescent="0.2">
      <c r="B93" s="222" t="s">
        <v>864</v>
      </c>
      <c r="C93" s="223" t="s">
        <v>865</v>
      </c>
      <c r="D93" s="231" t="s">
        <v>866</v>
      </c>
      <c r="E93" s="174" t="s">
        <v>533</v>
      </c>
      <c r="F93" s="174"/>
      <c r="G93" s="174" t="s">
        <v>862</v>
      </c>
      <c r="H93" s="225" t="s">
        <v>863</v>
      </c>
      <c r="I93" s="217" t="s">
        <v>533</v>
      </c>
      <c r="J93" s="214"/>
      <c r="K93" s="214"/>
      <c r="L93" s="218" t="s">
        <v>533</v>
      </c>
      <c r="M93" s="218" t="s">
        <v>533</v>
      </c>
      <c r="N93" s="218" t="s">
        <v>533</v>
      </c>
      <c r="O93" s="215"/>
      <c r="P93" s="215" t="s">
        <v>533</v>
      </c>
      <c r="Q93" s="215"/>
      <c r="R93" s="215"/>
      <c r="S93" s="215"/>
      <c r="T93" s="216"/>
      <c r="U93" s="216"/>
      <c r="V93" s="216"/>
      <c r="W93" s="216"/>
      <c r="X93" s="216"/>
      <c r="Y93" s="216"/>
      <c r="Z93" s="216" t="s">
        <v>533</v>
      </c>
      <c r="AA93" s="216" t="s">
        <v>533</v>
      </c>
      <c r="AB93" s="216"/>
      <c r="AC93" s="216"/>
      <c r="AD93" s="216"/>
      <c r="AE93" s="216"/>
      <c r="AF93" s="216"/>
      <c r="AG93" s="216"/>
      <c r="AH93" s="216"/>
      <c r="AI93" s="207"/>
      <c r="AJ93" s="207" t="s">
        <v>533</v>
      </c>
      <c r="AK93" s="207"/>
      <c r="AL93" s="207"/>
    </row>
    <row r="94" spans="2:38" ht="127.9" customHeight="1" x14ac:dyDescent="0.2">
      <c r="B94" s="222" t="s">
        <v>867</v>
      </c>
      <c r="C94" s="223" t="s">
        <v>868</v>
      </c>
      <c r="D94" s="231" t="s">
        <v>869</v>
      </c>
      <c r="E94" s="174" t="s">
        <v>533</v>
      </c>
      <c r="F94" s="174"/>
      <c r="G94" s="174" t="s">
        <v>870</v>
      </c>
      <c r="H94" s="225" t="s">
        <v>871</v>
      </c>
      <c r="I94" s="217" t="s">
        <v>533</v>
      </c>
      <c r="J94" s="214"/>
      <c r="K94" s="214"/>
      <c r="L94" s="218" t="s">
        <v>533</v>
      </c>
      <c r="M94" s="218" t="s">
        <v>533</v>
      </c>
      <c r="N94" s="218" t="s">
        <v>533</v>
      </c>
      <c r="O94" s="215"/>
      <c r="P94" s="215" t="s">
        <v>533</v>
      </c>
      <c r="Q94" s="215" t="s">
        <v>533</v>
      </c>
      <c r="R94" s="215"/>
      <c r="S94" s="215"/>
      <c r="T94" s="216"/>
      <c r="U94" s="216"/>
      <c r="V94" s="216"/>
      <c r="W94" s="216"/>
      <c r="X94" s="216"/>
      <c r="Y94" s="216" t="s">
        <v>533</v>
      </c>
      <c r="Z94" s="216"/>
      <c r="AA94" s="216"/>
      <c r="AB94" s="216"/>
      <c r="AC94" s="216"/>
      <c r="AD94" s="216"/>
      <c r="AE94" s="216"/>
      <c r="AF94" s="216"/>
      <c r="AG94" s="216"/>
      <c r="AH94" s="216"/>
      <c r="AI94" s="207"/>
      <c r="AJ94" s="207" t="s">
        <v>533</v>
      </c>
      <c r="AK94" s="207"/>
      <c r="AL94" s="207"/>
    </row>
    <row r="95" spans="2:38" ht="120" customHeight="1" x14ac:dyDescent="0.2">
      <c r="B95" s="222" t="s">
        <v>872</v>
      </c>
      <c r="C95" s="223" t="s">
        <v>873</v>
      </c>
      <c r="D95" s="231" t="s">
        <v>874</v>
      </c>
      <c r="E95" s="174" t="s">
        <v>533</v>
      </c>
      <c r="F95" s="174"/>
      <c r="G95" s="174" t="s">
        <v>870</v>
      </c>
      <c r="H95" s="225" t="s">
        <v>871</v>
      </c>
      <c r="I95" s="217" t="s">
        <v>533</v>
      </c>
      <c r="J95" s="214"/>
      <c r="K95" s="214"/>
      <c r="L95" s="218" t="s">
        <v>533</v>
      </c>
      <c r="M95" s="218" t="s">
        <v>533</v>
      </c>
      <c r="N95" s="218" t="s">
        <v>533</v>
      </c>
      <c r="O95" s="215"/>
      <c r="P95" s="215" t="s">
        <v>533</v>
      </c>
      <c r="Q95" s="215"/>
      <c r="R95" s="215"/>
      <c r="S95" s="215"/>
      <c r="T95" s="216"/>
      <c r="U95" s="216"/>
      <c r="V95" s="216"/>
      <c r="W95" s="216"/>
      <c r="X95" s="216"/>
      <c r="Y95" s="216" t="s">
        <v>533</v>
      </c>
      <c r="Z95" s="216"/>
      <c r="AA95" s="216"/>
      <c r="AB95" s="216"/>
      <c r="AC95" s="216"/>
      <c r="AD95" s="216"/>
      <c r="AE95" s="216"/>
      <c r="AF95" s="216"/>
      <c r="AG95" s="216"/>
      <c r="AH95" s="216"/>
      <c r="AI95" s="207"/>
      <c r="AJ95" s="207" t="s">
        <v>533</v>
      </c>
      <c r="AK95" s="207"/>
      <c r="AL95" s="207"/>
    </row>
    <row r="96" spans="2:38" ht="139.5" customHeight="1" x14ac:dyDescent="0.2">
      <c r="B96" s="222" t="s">
        <v>875</v>
      </c>
      <c r="C96" s="223" t="s">
        <v>876</v>
      </c>
      <c r="D96" s="231" t="s">
        <v>877</v>
      </c>
      <c r="E96" s="174" t="s">
        <v>533</v>
      </c>
      <c r="F96" s="174"/>
      <c r="G96" s="174" t="s">
        <v>870</v>
      </c>
      <c r="H96" s="225" t="s">
        <v>878</v>
      </c>
      <c r="I96" s="217" t="s">
        <v>533</v>
      </c>
      <c r="J96" s="214"/>
      <c r="K96" s="214"/>
      <c r="L96" s="218" t="s">
        <v>533</v>
      </c>
      <c r="M96" s="218" t="s">
        <v>533</v>
      </c>
      <c r="N96" s="218" t="s">
        <v>533</v>
      </c>
      <c r="O96" s="215"/>
      <c r="P96" s="215" t="s">
        <v>533</v>
      </c>
      <c r="Q96" s="215"/>
      <c r="R96" s="215"/>
      <c r="S96" s="215"/>
      <c r="T96" s="216"/>
      <c r="U96" s="216"/>
      <c r="V96" s="216"/>
      <c r="W96" s="216"/>
      <c r="X96" s="216"/>
      <c r="Y96" s="216" t="s">
        <v>533</v>
      </c>
      <c r="Z96" s="216"/>
      <c r="AA96" s="216"/>
      <c r="AB96" s="216"/>
      <c r="AC96" s="216"/>
      <c r="AD96" s="216"/>
      <c r="AE96" s="216"/>
      <c r="AF96" s="216"/>
      <c r="AG96" s="216"/>
      <c r="AH96" s="216"/>
      <c r="AI96" s="207"/>
      <c r="AJ96" s="207" t="s">
        <v>533</v>
      </c>
      <c r="AK96" s="207"/>
      <c r="AL96" s="207"/>
    </row>
    <row r="97" spans="2:38" ht="126.75" customHeight="1" x14ac:dyDescent="0.2">
      <c r="B97" s="222" t="s">
        <v>879</v>
      </c>
      <c r="C97" s="223" t="s">
        <v>880</v>
      </c>
      <c r="D97" s="231" t="s">
        <v>881</v>
      </c>
      <c r="E97" s="174" t="s">
        <v>533</v>
      </c>
      <c r="F97" s="174"/>
      <c r="G97" s="174" t="s">
        <v>882</v>
      </c>
      <c r="H97" s="225" t="s">
        <v>883</v>
      </c>
      <c r="I97" s="217" t="s">
        <v>533</v>
      </c>
      <c r="J97" s="214"/>
      <c r="K97" s="214"/>
      <c r="L97" s="218" t="s">
        <v>533</v>
      </c>
      <c r="M97" s="218" t="s">
        <v>533</v>
      </c>
      <c r="N97" s="218" t="s">
        <v>533</v>
      </c>
      <c r="O97" s="215"/>
      <c r="P97" s="215" t="s">
        <v>533</v>
      </c>
      <c r="Q97" s="215"/>
      <c r="R97" s="215"/>
      <c r="S97" s="215"/>
      <c r="T97" s="216"/>
      <c r="U97" s="216"/>
      <c r="V97" s="216"/>
      <c r="W97" s="216"/>
      <c r="X97" s="216"/>
      <c r="Y97" s="216" t="s">
        <v>533</v>
      </c>
      <c r="Z97" s="216"/>
      <c r="AA97" s="216"/>
      <c r="AB97" s="216"/>
      <c r="AC97" s="216"/>
      <c r="AD97" s="216"/>
      <c r="AE97" s="216"/>
      <c r="AF97" s="216"/>
      <c r="AG97" s="216"/>
      <c r="AH97" s="216"/>
      <c r="AI97" s="207"/>
      <c r="AJ97" s="207" t="s">
        <v>533</v>
      </c>
      <c r="AK97" s="207"/>
      <c r="AL97" s="207"/>
    </row>
    <row r="98" spans="2:38" ht="161.25" customHeight="1" x14ac:dyDescent="0.2">
      <c r="B98" s="222" t="s">
        <v>884</v>
      </c>
      <c r="C98" s="223" t="s">
        <v>885</v>
      </c>
      <c r="D98" s="233" t="s">
        <v>886</v>
      </c>
      <c r="E98" s="174" t="s">
        <v>533</v>
      </c>
      <c r="F98" s="174"/>
      <c r="G98" s="174" t="s">
        <v>887</v>
      </c>
      <c r="H98" s="225" t="s">
        <v>888</v>
      </c>
      <c r="I98" s="217" t="s">
        <v>533</v>
      </c>
      <c r="J98" s="214"/>
      <c r="K98" s="214"/>
      <c r="L98" s="218" t="s">
        <v>533</v>
      </c>
      <c r="M98" s="218" t="s">
        <v>533</v>
      </c>
      <c r="N98" s="218" t="s">
        <v>533</v>
      </c>
      <c r="O98" s="215"/>
      <c r="P98" s="215" t="s">
        <v>533</v>
      </c>
      <c r="Q98" s="215"/>
      <c r="R98" s="215"/>
      <c r="S98" s="215"/>
      <c r="T98" s="216"/>
      <c r="U98" s="216"/>
      <c r="V98" s="216"/>
      <c r="W98" s="216"/>
      <c r="X98" s="216"/>
      <c r="Y98" s="216"/>
      <c r="Z98" s="216"/>
      <c r="AA98" s="216" t="s">
        <v>533</v>
      </c>
      <c r="AB98" s="216"/>
      <c r="AC98" s="216"/>
      <c r="AD98" s="216"/>
      <c r="AE98" s="216"/>
      <c r="AF98" s="216"/>
      <c r="AG98" s="216"/>
      <c r="AH98" s="216"/>
      <c r="AI98" s="207"/>
      <c r="AJ98" s="207" t="s">
        <v>533</v>
      </c>
      <c r="AK98" s="207"/>
      <c r="AL98" s="207"/>
    </row>
    <row r="99" spans="2:38" ht="179.45" customHeight="1" x14ac:dyDescent="0.2">
      <c r="B99" s="222" t="s">
        <v>889</v>
      </c>
      <c r="C99" s="223" t="s">
        <v>890</v>
      </c>
      <c r="D99" s="231" t="s">
        <v>891</v>
      </c>
      <c r="E99" s="174" t="s">
        <v>533</v>
      </c>
      <c r="F99" s="174"/>
      <c r="G99" s="174" t="s">
        <v>892</v>
      </c>
      <c r="H99" s="225" t="s">
        <v>893</v>
      </c>
      <c r="I99" s="217" t="s">
        <v>533</v>
      </c>
      <c r="J99" s="214"/>
      <c r="K99" s="214"/>
      <c r="L99" s="218" t="s">
        <v>533</v>
      </c>
      <c r="M99" s="218" t="s">
        <v>533</v>
      </c>
      <c r="N99" s="218" t="s">
        <v>533</v>
      </c>
      <c r="O99" s="215"/>
      <c r="P99" s="215" t="s">
        <v>533</v>
      </c>
      <c r="Q99" s="215"/>
      <c r="R99" s="215"/>
      <c r="S99" s="215"/>
      <c r="T99" s="216"/>
      <c r="U99" s="216"/>
      <c r="V99" s="216"/>
      <c r="W99" s="216"/>
      <c r="X99" s="216"/>
      <c r="Y99" s="216" t="s">
        <v>533</v>
      </c>
      <c r="Z99" s="216" t="s">
        <v>533</v>
      </c>
      <c r="AA99" s="216"/>
      <c r="AB99" s="216"/>
      <c r="AC99" s="216"/>
      <c r="AD99" s="216"/>
      <c r="AE99" s="216"/>
      <c r="AF99" s="216"/>
      <c r="AG99" s="216"/>
      <c r="AH99" s="216"/>
      <c r="AI99" s="207"/>
      <c r="AJ99" s="207" t="s">
        <v>533</v>
      </c>
      <c r="AK99" s="207"/>
      <c r="AL99" s="207"/>
    </row>
    <row r="100" spans="2:38" ht="265.14999999999998" customHeight="1" x14ac:dyDescent="0.2">
      <c r="B100" s="222" t="s">
        <v>894</v>
      </c>
      <c r="C100" s="223" t="s">
        <v>895</v>
      </c>
      <c r="D100" s="231" t="s">
        <v>896</v>
      </c>
      <c r="E100" s="174" t="s">
        <v>533</v>
      </c>
      <c r="F100" s="174"/>
      <c r="G100" s="174" t="s">
        <v>798</v>
      </c>
      <c r="H100" s="225" t="s">
        <v>897</v>
      </c>
      <c r="I100" s="217" t="s">
        <v>533</v>
      </c>
      <c r="J100" s="214"/>
      <c r="K100" s="214"/>
      <c r="L100" s="218" t="s">
        <v>533</v>
      </c>
      <c r="M100" s="218" t="s">
        <v>533</v>
      </c>
      <c r="N100" s="218" t="s">
        <v>533</v>
      </c>
      <c r="O100" s="215"/>
      <c r="P100" s="215" t="s">
        <v>533</v>
      </c>
      <c r="Q100" s="215"/>
      <c r="R100" s="215"/>
      <c r="S100" s="215"/>
      <c r="T100" s="216"/>
      <c r="U100" s="216"/>
      <c r="V100" s="216"/>
      <c r="W100" s="216"/>
      <c r="X100" s="216"/>
      <c r="Y100" s="216" t="s">
        <v>533</v>
      </c>
      <c r="Z100" s="216" t="s">
        <v>533</v>
      </c>
      <c r="AA100" s="216"/>
      <c r="AB100" s="216"/>
      <c r="AC100" s="216"/>
      <c r="AD100" s="216"/>
      <c r="AE100" s="216"/>
      <c r="AF100" s="216"/>
      <c r="AG100" s="216"/>
      <c r="AH100" s="216"/>
      <c r="AI100" s="207"/>
      <c r="AJ100" s="207" t="s">
        <v>533</v>
      </c>
      <c r="AK100" s="207"/>
      <c r="AL100" s="207"/>
    </row>
    <row r="101" spans="2:38" ht="256.89999999999998" customHeight="1" x14ac:dyDescent="0.2">
      <c r="B101" s="222" t="s">
        <v>898</v>
      </c>
      <c r="C101" s="223" t="s">
        <v>899</v>
      </c>
      <c r="D101" s="231" t="s">
        <v>900</v>
      </c>
      <c r="E101" s="174" t="s">
        <v>533</v>
      </c>
      <c r="F101" s="174"/>
      <c r="G101" s="174" t="s">
        <v>798</v>
      </c>
      <c r="H101" s="225" t="s">
        <v>901</v>
      </c>
      <c r="I101" s="217" t="s">
        <v>533</v>
      </c>
      <c r="J101" s="214"/>
      <c r="K101" s="214"/>
      <c r="L101" s="218" t="s">
        <v>533</v>
      </c>
      <c r="M101" s="218" t="s">
        <v>533</v>
      </c>
      <c r="N101" s="218" t="s">
        <v>533</v>
      </c>
      <c r="O101" s="215"/>
      <c r="P101" s="215" t="s">
        <v>533</v>
      </c>
      <c r="Q101" s="215"/>
      <c r="R101" s="215"/>
      <c r="S101" s="215"/>
      <c r="T101" s="216"/>
      <c r="U101" s="216"/>
      <c r="V101" s="216"/>
      <c r="W101" s="216"/>
      <c r="X101" s="216"/>
      <c r="Y101" s="216" t="s">
        <v>533</v>
      </c>
      <c r="Z101" s="216" t="s">
        <v>533</v>
      </c>
      <c r="AA101" s="216"/>
      <c r="AB101" s="216"/>
      <c r="AC101" s="216"/>
      <c r="AD101" s="216"/>
      <c r="AE101" s="216"/>
      <c r="AF101" s="216"/>
      <c r="AG101" s="216"/>
      <c r="AH101" s="216"/>
      <c r="AI101" s="207"/>
      <c r="AJ101" s="207" t="s">
        <v>533</v>
      </c>
      <c r="AK101" s="207"/>
      <c r="AL101" s="207"/>
    </row>
    <row r="102" spans="2:38" ht="252" customHeight="1" x14ac:dyDescent="0.2">
      <c r="B102" s="222" t="s">
        <v>902</v>
      </c>
      <c r="C102" s="223" t="s">
        <v>903</v>
      </c>
      <c r="D102" s="231" t="s">
        <v>904</v>
      </c>
      <c r="E102" s="174" t="s">
        <v>533</v>
      </c>
      <c r="F102" s="174"/>
      <c r="G102" s="174" t="s">
        <v>798</v>
      </c>
      <c r="H102" s="225" t="s">
        <v>905</v>
      </c>
      <c r="I102" s="217" t="s">
        <v>533</v>
      </c>
      <c r="J102" s="214"/>
      <c r="K102" s="214"/>
      <c r="L102" s="218" t="s">
        <v>533</v>
      </c>
      <c r="M102" s="218" t="s">
        <v>533</v>
      </c>
      <c r="N102" s="218" t="s">
        <v>533</v>
      </c>
      <c r="O102" s="215"/>
      <c r="P102" s="215" t="s">
        <v>533</v>
      </c>
      <c r="Q102" s="215"/>
      <c r="R102" s="215"/>
      <c r="S102" s="215"/>
      <c r="T102" s="216"/>
      <c r="U102" s="216"/>
      <c r="V102" s="216"/>
      <c r="W102" s="216"/>
      <c r="X102" s="216"/>
      <c r="Y102" s="216" t="s">
        <v>533</v>
      </c>
      <c r="Z102" s="216" t="s">
        <v>533</v>
      </c>
      <c r="AA102" s="216"/>
      <c r="AB102" s="216"/>
      <c r="AC102" s="216"/>
      <c r="AD102" s="216"/>
      <c r="AE102" s="216"/>
      <c r="AF102" s="216"/>
      <c r="AG102" s="216"/>
      <c r="AH102" s="216"/>
      <c r="AI102" s="207"/>
      <c r="AJ102" s="207" t="s">
        <v>533</v>
      </c>
      <c r="AK102" s="207"/>
      <c r="AL102" s="207"/>
    </row>
    <row r="103" spans="2:38" ht="120" customHeight="1" x14ac:dyDescent="0.2">
      <c r="B103" s="222" t="s">
        <v>906</v>
      </c>
      <c r="C103" s="223" t="s">
        <v>907</v>
      </c>
      <c r="D103" s="231" t="s">
        <v>908</v>
      </c>
      <c r="E103" s="174" t="s">
        <v>909</v>
      </c>
      <c r="F103" s="174"/>
      <c r="G103" s="174" t="s">
        <v>910</v>
      </c>
      <c r="H103" s="225" t="s">
        <v>911</v>
      </c>
      <c r="I103" s="217" t="s">
        <v>533</v>
      </c>
      <c r="J103" s="214"/>
      <c r="K103" s="214"/>
      <c r="L103" s="218" t="s">
        <v>533</v>
      </c>
      <c r="M103" s="218" t="s">
        <v>533</v>
      </c>
      <c r="N103" s="218" t="s">
        <v>533</v>
      </c>
      <c r="O103" s="215" t="s">
        <v>533</v>
      </c>
      <c r="P103" s="215"/>
      <c r="Q103" s="215"/>
      <c r="R103" s="215"/>
      <c r="S103" s="215"/>
      <c r="T103" s="216"/>
      <c r="U103" s="216"/>
      <c r="V103" s="216"/>
      <c r="W103" s="216"/>
      <c r="X103" s="216"/>
      <c r="Y103" s="216" t="s">
        <v>533</v>
      </c>
      <c r="Z103" s="216" t="s">
        <v>533</v>
      </c>
      <c r="AA103" s="216"/>
      <c r="AB103" s="216"/>
      <c r="AC103" s="216"/>
      <c r="AD103" s="216"/>
      <c r="AE103" s="216"/>
      <c r="AF103" s="216"/>
      <c r="AG103" s="216"/>
      <c r="AH103" s="216" t="s">
        <v>533</v>
      </c>
      <c r="AI103" s="207"/>
      <c r="AJ103" s="207" t="s">
        <v>533</v>
      </c>
      <c r="AK103" s="207"/>
      <c r="AL103" s="207"/>
    </row>
    <row r="104" spans="2:38" ht="141" customHeight="1" x14ac:dyDescent="0.2">
      <c r="B104" s="222" t="s">
        <v>912</v>
      </c>
      <c r="C104" s="223" t="s">
        <v>913</v>
      </c>
      <c r="D104" s="231" t="s">
        <v>914</v>
      </c>
      <c r="E104" s="174" t="s">
        <v>533</v>
      </c>
      <c r="F104" s="174"/>
      <c r="G104" s="174" t="s">
        <v>915</v>
      </c>
      <c r="H104" s="225" t="s">
        <v>916</v>
      </c>
      <c r="I104" s="217" t="s">
        <v>533</v>
      </c>
      <c r="J104" s="214"/>
      <c r="K104" s="214"/>
      <c r="L104" s="218" t="s">
        <v>533</v>
      </c>
      <c r="M104" s="218" t="s">
        <v>533</v>
      </c>
      <c r="N104" s="218" t="s">
        <v>533</v>
      </c>
      <c r="O104" s="215" t="s">
        <v>533</v>
      </c>
      <c r="P104" s="215" t="s">
        <v>533</v>
      </c>
      <c r="Q104" s="215" t="s">
        <v>533</v>
      </c>
      <c r="R104" s="215"/>
      <c r="S104" s="215"/>
      <c r="T104" s="216"/>
      <c r="U104" s="216"/>
      <c r="V104" s="216"/>
      <c r="W104" s="216"/>
      <c r="X104" s="216"/>
      <c r="Y104" s="216" t="s">
        <v>533</v>
      </c>
      <c r="Z104" s="216" t="s">
        <v>533</v>
      </c>
      <c r="AA104" s="216"/>
      <c r="AB104" s="216"/>
      <c r="AC104" s="216"/>
      <c r="AD104" s="216"/>
      <c r="AE104" s="216" t="s">
        <v>533</v>
      </c>
      <c r="AF104" s="216"/>
      <c r="AG104" s="216"/>
      <c r="AH104" s="216"/>
      <c r="AI104" s="207" t="s">
        <v>533</v>
      </c>
      <c r="AJ104" s="207" t="s">
        <v>533</v>
      </c>
      <c r="AK104" s="207"/>
      <c r="AL104" s="207"/>
    </row>
    <row r="105" spans="2:38" ht="243.6" customHeight="1" x14ac:dyDescent="0.2">
      <c r="B105" s="222" t="s">
        <v>917</v>
      </c>
      <c r="C105" s="223" t="s">
        <v>918</v>
      </c>
      <c r="D105" s="231" t="s">
        <v>919</v>
      </c>
      <c r="E105" s="174" t="s">
        <v>533</v>
      </c>
      <c r="F105" s="174"/>
      <c r="G105" s="174" t="s">
        <v>798</v>
      </c>
      <c r="H105" s="225" t="s">
        <v>920</v>
      </c>
      <c r="I105" s="217" t="s">
        <v>533</v>
      </c>
      <c r="J105" s="214"/>
      <c r="K105" s="214"/>
      <c r="L105" s="218" t="s">
        <v>533</v>
      </c>
      <c r="M105" s="218" t="s">
        <v>533</v>
      </c>
      <c r="N105" s="218" t="s">
        <v>533</v>
      </c>
      <c r="O105" s="215"/>
      <c r="P105" s="215" t="s">
        <v>533</v>
      </c>
      <c r="Q105" s="215"/>
      <c r="R105" s="215"/>
      <c r="S105" s="215"/>
      <c r="T105" s="216"/>
      <c r="U105" s="216"/>
      <c r="V105" s="216"/>
      <c r="W105" s="216"/>
      <c r="X105" s="216"/>
      <c r="Y105" s="216" t="s">
        <v>533</v>
      </c>
      <c r="Z105" s="216" t="s">
        <v>533</v>
      </c>
      <c r="AA105" s="216"/>
      <c r="AB105" s="216"/>
      <c r="AC105" s="216"/>
      <c r="AD105" s="216"/>
      <c r="AE105" s="216"/>
      <c r="AF105" s="216"/>
      <c r="AG105" s="216"/>
      <c r="AH105" s="216"/>
      <c r="AI105" s="207"/>
      <c r="AJ105" s="207" t="s">
        <v>533</v>
      </c>
      <c r="AK105" s="207"/>
      <c r="AL105" s="207"/>
    </row>
    <row r="106" spans="2:38" ht="297" customHeight="1" x14ac:dyDescent="0.2">
      <c r="B106" s="222" t="s">
        <v>921</v>
      </c>
      <c r="C106" s="223" t="s">
        <v>922</v>
      </c>
      <c r="D106" s="231" t="s">
        <v>923</v>
      </c>
      <c r="E106" s="174" t="s">
        <v>533</v>
      </c>
      <c r="F106" s="174"/>
      <c r="G106" s="174" t="s">
        <v>924</v>
      </c>
      <c r="H106" s="225" t="s">
        <v>925</v>
      </c>
      <c r="I106" s="217" t="s">
        <v>533</v>
      </c>
      <c r="J106" s="214"/>
      <c r="K106" s="214"/>
      <c r="L106" s="218" t="s">
        <v>533</v>
      </c>
      <c r="M106" s="218" t="s">
        <v>533</v>
      </c>
      <c r="N106" s="218"/>
      <c r="O106" s="215"/>
      <c r="P106" s="215" t="s">
        <v>533</v>
      </c>
      <c r="Q106" s="215"/>
      <c r="R106" s="215"/>
      <c r="S106" s="215"/>
      <c r="T106" s="216"/>
      <c r="U106" s="216"/>
      <c r="V106" s="216" t="s">
        <v>533</v>
      </c>
      <c r="W106" s="216"/>
      <c r="X106" s="216"/>
      <c r="Y106" s="216"/>
      <c r="Z106" s="216"/>
      <c r="AA106" s="216"/>
      <c r="AB106" s="216"/>
      <c r="AC106" s="216"/>
      <c r="AD106" s="216"/>
      <c r="AE106" s="216"/>
      <c r="AF106" s="216"/>
      <c r="AG106" s="216"/>
      <c r="AH106" s="216"/>
      <c r="AI106" s="207"/>
      <c r="AJ106" s="207" t="s">
        <v>533</v>
      </c>
      <c r="AK106" s="207"/>
      <c r="AL106" s="207"/>
    </row>
    <row r="107" spans="2:38" ht="108" customHeight="1" x14ac:dyDescent="0.2">
      <c r="B107" s="222" t="s">
        <v>926</v>
      </c>
      <c r="C107" s="223" t="s">
        <v>927</v>
      </c>
      <c r="D107" s="231" t="s">
        <v>928</v>
      </c>
      <c r="E107" s="174" t="s">
        <v>533</v>
      </c>
      <c r="F107" s="174"/>
      <c r="G107" s="174" t="s">
        <v>910</v>
      </c>
      <c r="H107" s="225" t="s">
        <v>929</v>
      </c>
      <c r="I107" s="217" t="s">
        <v>533</v>
      </c>
      <c r="J107" s="214"/>
      <c r="K107" s="214"/>
      <c r="L107" s="218" t="s">
        <v>533</v>
      </c>
      <c r="M107" s="218" t="s">
        <v>533</v>
      </c>
      <c r="N107" s="218"/>
      <c r="O107" s="215"/>
      <c r="P107" s="215" t="s">
        <v>533</v>
      </c>
      <c r="Q107" s="215"/>
      <c r="R107" s="215"/>
      <c r="S107" s="215"/>
      <c r="T107" s="216"/>
      <c r="U107" s="216"/>
      <c r="V107" s="216" t="s">
        <v>533</v>
      </c>
      <c r="W107" s="216"/>
      <c r="X107" s="216"/>
      <c r="Y107" s="216"/>
      <c r="Z107" s="216"/>
      <c r="AA107" s="216"/>
      <c r="AB107" s="216"/>
      <c r="AC107" s="216"/>
      <c r="AD107" s="216"/>
      <c r="AE107" s="216"/>
      <c r="AF107" s="216"/>
      <c r="AG107" s="216"/>
      <c r="AH107" s="216"/>
      <c r="AI107" s="207"/>
      <c r="AJ107" s="207" t="s">
        <v>533</v>
      </c>
      <c r="AK107" s="207"/>
      <c r="AL107" s="207"/>
    </row>
    <row r="108" spans="2:38" ht="153.75" customHeight="1" thickBot="1" x14ac:dyDescent="0.25">
      <c r="B108" s="234" t="s">
        <v>930</v>
      </c>
      <c r="C108" s="235" t="s">
        <v>931</v>
      </c>
      <c r="D108" s="236" t="s">
        <v>932</v>
      </c>
      <c r="E108" s="237" t="s">
        <v>533</v>
      </c>
      <c r="F108" s="237"/>
      <c r="G108" s="237" t="s">
        <v>813</v>
      </c>
      <c r="H108" s="238" t="s">
        <v>933</v>
      </c>
      <c r="I108" s="217" t="s">
        <v>533</v>
      </c>
      <c r="J108" s="214"/>
      <c r="K108" s="214"/>
      <c r="L108" s="218" t="s">
        <v>533</v>
      </c>
      <c r="M108" s="218" t="s">
        <v>533</v>
      </c>
      <c r="N108" s="218" t="s">
        <v>533</v>
      </c>
      <c r="O108" s="215"/>
      <c r="P108" s="215"/>
      <c r="Q108" s="215"/>
      <c r="R108" s="215"/>
      <c r="S108" s="215"/>
      <c r="T108" s="216"/>
      <c r="U108" s="216"/>
      <c r="V108" s="216" t="s">
        <v>533</v>
      </c>
      <c r="W108" s="216"/>
      <c r="X108" s="216"/>
      <c r="Y108" s="216" t="s">
        <v>533</v>
      </c>
      <c r="Z108" s="216"/>
      <c r="AA108" s="216"/>
      <c r="AB108" s="216"/>
      <c r="AC108" s="216"/>
      <c r="AD108" s="216"/>
      <c r="AE108" s="216"/>
      <c r="AF108" s="216"/>
      <c r="AG108" s="216"/>
      <c r="AH108" s="216"/>
      <c r="AI108" s="207" t="s">
        <v>533</v>
      </c>
      <c r="AJ108" s="207" t="s">
        <v>533</v>
      </c>
      <c r="AK108" s="207"/>
      <c r="AL108" s="207"/>
    </row>
    <row r="109" spans="2:38" ht="15" x14ac:dyDescent="0.2">
      <c r="B109" s="435" t="s">
        <v>934</v>
      </c>
      <c r="C109" s="436"/>
      <c r="D109" s="436"/>
      <c r="E109" s="436"/>
      <c r="F109" s="436"/>
      <c r="G109" s="436"/>
      <c r="H109" s="436"/>
      <c r="I109" s="436"/>
      <c r="J109" s="436"/>
      <c r="K109" s="436"/>
      <c r="L109" s="436"/>
      <c r="M109" s="436"/>
      <c r="N109" s="436"/>
      <c r="O109" s="436"/>
      <c r="P109" s="436"/>
      <c r="Q109" s="436"/>
      <c r="R109" s="436"/>
      <c r="S109" s="436"/>
      <c r="T109" s="436"/>
      <c r="U109" s="436"/>
      <c r="V109" s="436"/>
      <c r="W109" s="436"/>
      <c r="X109" s="436"/>
      <c r="Y109" s="436"/>
      <c r="Z109" s="436"/>
      <c r="AA109" s="436"/>
      <c r="AB109" s="436"/>
      <c r="AC109" s="436"/>
      <c r="AD109" s="436"/>
      <c r="AE109" s="436"/>
      <c r="AF109" s="436"/>
      <c r="AG109" s="436"/>
      <c r="AH109" s="436"/>
      <c r="AI109" s="436"/>
      <c r="AJ109" s="436"/>
      <c r="AK109" s="436"/>
      <c r="AL109" s="437"/>
    </row>
    <row r="110" spans="2:38" ht="15.75" customHeight="1" x14ac:dyDescent="0.2">
      <c r="B110" s="438" t="s">
        <v>935</v>
      </c>
      <c r="C110" s="438"/>
      <c r="D110" s="438"/>
      <c r="E110" s="438"/>
      <c r="F110" s="439" t="s">
        <v>936</v>
      </c>
      <c r="G110" s="439"/>
      <c r="H110" s="439"/>
      <c r="I110" s="439"/>
      <c r="J110" s="439"/>
      <c r="K110" s="439"/>
      <c r="L110" s="439"/>
      <c r="M110" s="439"/>
      <c r="N110" s="439"/>
      <c r="O110" s="439"/>
      <c r="P110" s="439"/>
      <c r="Q110" s="439"/>
      <c r="R110" s="439"/>
      <c r="S110" s="439"/>
      <c r="T110" s="439"/>
      <c r="U110" s="439"/>
      <c r="V110" s="439"/>
      <c r="W110" s="439"/>
      <c r="X110" s="439"/>
      <c r="Y110" s="439"/>
      <c r="Z110" s="440" t="s">
        <v>937</v>
      </c>
      <c r="AA110" s="441"/>
      <c r="AB110" s="441"/>
      <c r="AC110" s="441"/>
      <c r="AD110" s="441"/>
      <c r="AE110" s="441"/>
      <c r="AF110" s="441"/>
      <c r="AG110" s="441"/>
      <c r="AH110" s="441"/>
      <c r="AI110" s="441"/>
      <c r="AJ110" s="441"/>
      <c r="AK110" s="441"/>
      <c r="AL110" s="442"/>
    </row>
    <row r="111" spans="2:38" ht="15.75" thickBot="1" x14ac:dyDescent="0.25">
      <c r="B111" s="443" t="s">
        <v>938</v>
      </c>
      <c r="C111" s="444"/>
      <c r="D111" s="444"/>
      <c r="E111" s="444"/>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4"/>
      <c r="AE111" s="444"/>
      <c r="AF111" s="444"/>
      <c r="AG111" s="444"/>
      <c r="AH111" s="444"/>
      <c r="AI111" s="444"/>
      <c r="AJ111" s="444"/>
      <c r="AK111" s="444"/>
      <c r="AL111" s="444"/>
    </row>
    <row r="112" spans="2:38" ht="26.25" customHeight="1" thickBot="1" x14ac:dyDescent="0.25">
      <c r="B112" s="445" t="s">
        <v>939</v>
      </c>
      <c r="C112" s="446"/>
      <c r="D112" s="447"/>
      <c r="E112" s="448" t="s">
        <v>940</v>
      </c>
      <c r="F112" s="449"/>
      <c r="G112" s="449"/>
      <c r="H112" s="449"/>
      <c r="I112" s="449"/>
      <c r="J112" s="449"/>
      <c r="K112" s="449"/>
      <c r="L112" s="449"/>
      <c r="M112" s="449"/>
      <c r="N112" s="449"/>
      <c r="O112" s="449"/>
      <c r="P112" s="449"/>
      <c r="Q112" s="449"/>
      <c r="R112" s="449"/>
      <c r="S112" s="449"/>
      <c r="T112" s="449"/>
      <c r="U112" s="449"/>
      <c r="V112" s="449"/>
      <c r="W112" s="449"/>
      <c r="X112" s="449"/>
      <c r="Y112" s="449"/>
      <c r="Z112" s="449"/>
      <c r="AA112" s="449"/>
      <c r="AB112" s="449"/>
      <c r="AC112" s="449"/>
      <c r="AD112" s="449"/>
      <c r="AE112" s="450"/>
      <c r="AF112" s="445" t="s">
        <v>96</v>
      </c>
      <c r="AG112" s="446"/>
      <c r="AH112" s="447"/>
      <c r="AI112" s="445" t="s">
        <v>97</v>
      </c>
      <c r="AJ112" s="446"/>
      <c r="AK112" s="446"/>
      <c r="AL112" s="447"/>
    </row>
    <row r="113" spans="2:38" ht="44.25" customHeight="1" x14ac:dyDescent="0.2">
      <c r="B113" s="408">
        <v>0</v>
      </c>
      <c r="C113" s="409"/>
      <c r="D113" s="410"/>
      <c r="E113" s="414" t="s">
        <v>941</v>
      </c>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6"/>
      <c r="AF113" s="417">
        <v>45548</v>
      </c>
      <c r="AG113" s="418"/>
      <c r="AH113" s="419"/>
      <c r="AI113" s="423">
        <v>1</v>
      </c>
      <c r="AJ113" s="424"/>
      <c r="AK113" s="424"/>
      <c r="AL113" s="425"/>
    </row>
    <row r="114" spans="2:38" ht="15" x14ac:dyDescent="0.2">
      <c r="B114" s="411"/>
      <c r="C114" s="412"/>
      <c r="D114" s="413"/>
      <c r="E114" s="414"/>
      <c r="F114" s="415"/>
      <c r="G114" s="415"/>
      <c r="H114" s="415"/>
      <c r="I114" s="415"/>
      <c r="J114" s="415"/>
      <c r="K114" s="415"/>
      <c r="L114" s="415"/>
      <c r="M114" s="415"/>
      <c r="N114" s="415"/>
      <c r="O114" s="415"/>
      <c r="P114" s="415"/>
      <c r="Q114" s="415"/>
      <c r="R114" s="415"/>
      <c r="S114" s="415"/>
      <c r="T114" s="415"/>
      <c r="U114" s="415"/>
      <c r="V114" s="415"/>
      <c r="W114" s="415"/>
      <c r="X114" s="415"/>
      <c r="Y114" s="415"/>
      <c r="Z114" s="415"/>
      <c r="AA114" s="415"/>
      <c r="AB114" s="415"/>
      <c r="AC114" s="415"/>
      <c r="AD114" s="415"/>
      <c r="AE114" s="416"/>
      <c r="AF114" s="420"/>
      <c r="AG114" s="421"/>
      <c r="AH114" s="422"/>
      <c r="AI114" s="426"/>
      <c r="AJ114" s="427"/>
      <c r="AK114" s="427"/>
      <c r="AL114" s="428"/>
    </row>
  </sheetData>
  <autoFilter ref="B5:AL114" xr:uid="{BE840888-EBE3-49BB-9E92-F7390D25419F}">
    <filterColumn colId="0" showButton="0"/>
    <filterColumn colId="1" showButton="0"/>
    <filterColumn colId="2" showButton="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6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2578125" defaultRowHeight="15" x14ac:dyDescent="0.25"/>
  <cols>
    <col min="2" max="39" width="5.7109375" customWidth="1"/>
    <col min="41" max="46" width="5.7109375" customWidth="1"/>
  </cols>
  <sheetData>
    <row r="1" spans="1:99" x14ac:dyDescent="0.2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x14ac:dyDescent="0.25">
      <c r="A2" s="69"/>
      <c r="B2" s="594" t="s">
        <v>942</v>
      </c>
      <c r="C2" s="594"/>
      <c r="D2" s="594"/>
      <c r="E2" s="594"/>
      <c r="F2" s="594"/>
      <c r="G2" s="594"/>
      <c r="H2" s="594"/>
      <c r="I2" s="594"/>
      <c r="J2" s="562" t="s">
        <v>23</v>
      </c>
      <c r="K2" s="562"/>
      <c r="L2" s="562"/>
      <c r="M2" s="562"/>
      <c r="N2" s="562"/>
      <c r="O2" s="562"/>
      <c r="P2" s="562"/>
      <c r="Q2" s="562"/>
      <c r="R2" s="562"/>
      <c r="S2" s="562"/>
      <c r="T2" s="562"/>
      <c r="U2" s="562"/>
      <c r="V2" s="562"/>
      <c r="W2" s="562"/>
      <c r="X2" s="562"/>
      <c r="Y2" s="562"/>
      <c r="Z2" s="562"/>
      <c r="AA2" s="562"/>
      <c r="AB2" s="562"/>
      <c r="AC2" s="562"/>
      <c r="AD2" s="562"/>
      <c r="AE2" s="562"/>
      <c r="AF2" s="562"/>
      <c r="AG2" s="562"/>
      <c r="AH2" s="562"/>
      <c r="AI2" s="562"/>
      <c r="AJ2" s="562"/>
      <c r="AK2" s="562"/>
      <c r="AL2" s="562"/>
      <c r="AM2" s="562"/>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x14ac:dyDescent="0.25">
      <c r="A3" s="69"/>
      <c r="B3" s="594"/>
      <c r="C3" s="594"/>
      <c r="D3" s="594"/>
      <c r="E3" s="594"/>
      <c r="F3" s="594"/>
      <c r="G3" s="594"/>
      <c r="H3" s="594"/>
      <c r="I3" s="594"/>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x14ac:dyDescent="0.25">
      <c r="A4" s="69"/>
      <c r="B4" s="594"/>
      <c r="C4" s="594"/>
      <c r="D4" s="594"/>
      <c r="E4" s="594"/>
      <c r="F4" s="594"/>
      <c r="G4" s="594"/>
      <c r="H4" s="594"/>
      <c r="I4" s="594"/>
      <c r="J4" s="562"/>
      <c r="K4" s="562"/>
      <c r="L4" s="562"/>
      <c r="M4" s="562"/>
      <c r="N4" s="562"/>
      <c r="O4" s="562"/>
      <c r="P4" s="562"/>
      <c r="Q4" s="562"/>
      <c r="R4" s="562"/>
      <c r="S4" s="562"/>
      <c r="T4" s="562"/>
      <c r="U4" s="562"/>
      <c r="V4" s="562"/>
      <c r="W4" s="562"/>
      <c r="X4" s="562"/>
      <c r="Y4" s="562"/>
      <c r="Z4" s="562"/>
      <c r="AA4" s="562"/>
      <c r="AB4" s="562"/>
      <c r="AC4" s="562"/>
      <c r="AD4" s="562"/>
      <c r="AE4" s="562"/>
      <c r="AF4" s="562"/>
      <c r="AG4" s="562"/>
      <c r="AH4" s="562"/>
      <c r="AI4" s="562"/>
      <c r="AJ4" s="562"/>
      <c r="AK4" s="562"/>
      <c r="AL4" s="562"/>
      <c r="AM4" s="562"/>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75" thickBot="1" x14ac:dyDescent="0.3">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x14ac:dyDescent="0.25">
      <c r="A6" s="69"/>
      <c r="B6" s="509" t="s">
        <v>943</v>
      </c>
      <c r="C6" s="509"/>
      <c r="D6" s="510"/>
      <c r="E6" s="547" t="s">
        <v>944</v>
      </c>
      <c r="F6" s="548"/>
      <c r="G6" s="548"/>
      <c r="H6" s="548"/>
      <c r="I6" s="549"/>
      <c r="J6" s="558" t="str">
        <f>IF(AND('Matriz de Riesgos'!$N$12="Muy Alta",'Matriz de Riesgos'!$R$12="Leve"),CONCATENATE("R",'Matriz de Riesgos'!$A$12),"")</f>
        <v>R</v>
      </c>
      <c r="K6" s="559"/>
      <c r="L6" s="559" t="str">
        <f>IF(AND('Matriz de Riesgos'!$N$15="Muy Alta",'Matriz de Riesgos'!$R$15="Leve"),CONCATENATE("R",'Matriz de Riesgos'!$A$15),"")</f>
        <v/>
      </c>
      <c r="M6" s="559"/>
      <c r="N6" s="559" t="str">
        <f>IF(AND('Matriz de Riesgos'!$N$21="Muy Alta",'Matriz de Riesgos'!$R$21="Leve"),CONCATENATE("R",'Matriz de Riesgos'!$A$21),"")</f>
        <v/>
      </c>
      <c r="O6" s="561"/>
      <c r="P6" s="558" t="str">
        <f>IF(AND('Matriz de Riesgos'!$N$12="Muy Alta",'Matriz de Riesgos'!$R$12="Menor"),CONCATENATE("R",'Matriz de Riesgos'!$A$12),"")</f>
        <v/>
      </c>
      <c r="Q6" s="559"/>
      <c r="R6" s="559" t="str">
        <f>IF(AND('Matriz de Riesgos'!$N$15="Muy Alta",'Matriz de Riesgos'!$R$15="Menor"),CONCATENATE("R",'Matriz de Riesgos'!$A$15),"")</f>
        <v/>
      </c>
      <c r="S6" s="559"/>
      <c r="T6" s="559" t="str">
        <f>IF(AND('Matriz de Riesgos'!$N$21="Muy Alta",'Matriz de Riesgos'!$R$21="Menor"),CONCATENATE("R",'Matriz de Riesgos'!$A$21),"")</f>
        <v/>
      </c>
      <c r="U6" s="561"/>
      <c r="V6" s="558" t="str">
        <f>IF(AND('Matriz de Riesgos'!$N$12="Muy Alta",'Matriz de Riesgos'!$R$12="Moderado"),CONCATENATE("R",'Matriz de Riesgos'!$A$12),"")</f>
        <v/>
      </c>
      <c r="W6" s="559"/>
      <c r="X6" s="559" t="str">
        <f>IF(AND('Matriz de Riesgos'!$N$15="Muy Alta",'Matriz de Riesgos'!$R$15="Moderado"),CONCATENATE("R",'Matriz de Riesgos'!$A$15),"")</f>
        <v/>
      </c>
      <c r="Y6" s="559"/>
      <c r="Z6" s="559" t="str">
        <f>IF(AND('Matriz de Riesgos'!$N$21="Muy Alta",'Matriz de Riesgos'!$R$21="Moderado"),CONCATENATE("R",'Matriz de Riesgos'!$A$21),"")</f>
        <v/>
      </c>
      <c r="AA6" s="561"/>
      <c r="AB6" s="558" t="str">
        <f>IF(AND('Matriz de Riesgos'!$N$12="Muy Alta",'Matriz de Riesgos'!$R$12="Mayor"),CONCATENATE("R",'Matriz de Riesgos'!$A$12),"")</f>
        <v/>
      </c>
      <c r="AC6" s="559"/>
      <c r="AD6" s="559" t="str">
        <f>IF(AND('Matriz de Riesgos'!$N$15="Muy Alta",'Matriz de Riesgos'!$R$15="Mayor"),CONCATENATE("R",'Matriz de Riesgos'!$A$15),"")</f>
        <v/>
      </c>
      <c r="AE6" s="559"/>
      <c r="AF6" s="559" t="str">
        <f>IF(AND('Matriz de Riesgos'!$N$21="Muy Alta",'Matriz de Riesgos'!$R$21="Mayor"),CONCATENATE("R",'Matriz de Riesgos'!$A$21),"")</f>
        <v/>
      </c>
      <c r="AG6" s="561"/>
      <c r="AH6" s="573" t="str">
        <f>IF(AND('Matriz de Riesgos'!$N$12="Muy Alta",'Matriz de Riesgos'!$R$12="Catastrófico"),CONCATENATE("R",'Matriz de Riesgos'!$A$12),"")</f>
        <v/>
      </c>
      <c r="AI6" s="574"/>
      <c r="AJ6" s="574" t="str">
        <f>IF(AND('Matriz de Riesgos'!$N$15="Muy Alta",'Matriz de Riesgos'!$R$15="Catastrófico"),CONCATENATE("R",'Matriz de Riesgos'!$A$15),"")</f>
        <v/>
      </c>
      <c r="AK6" s="574"/>
      <c r="AL6" s="574" t="str">
        <f>IF(AND('Matriz de Riesgos'!$N$21="Muy Alta",'Matriz de Riesgos'!$R$21="Catastrófico"),CONCATENATE("R",'Matriz de Riesgos'!$A$21),"")</f>
        <v/>
      </c>
      <c r="AM6" s="575"/>
      <c r="AO6" s="511" t="s">
        <v>945</v>
      </c>
      <c r="AP6" s="512"/>
      <c r="AQ6" s="512"/>
      <c r="AR6" s="512"/>
      <c r="AS6" s="512"/>
      <c r="AT6" s="513"/>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x14ac:dyDescent="0.25">
      <c r="A7" s="69"/>
      <c r="B7" s="509"/>
      <c r="C7" s="509"/>
      <c r="D7" s="510"/>
      <c r="E7" s="550"/>
      <c r="F7" s="551"/>
      <c r="G7" s="551"/>
      <c r="H7" s="551"/>
      <c r="I7" s="552"/>
      <c r="J7" s="560"/>
      <c r="K7" s="556"/>
      <c r="L7" s="556"/>
      <c r="M7" s="556"/>
      <c r="N7" s="556"/>
      <c r="O7" s="557"/>
      <c r="P7" s="560"/>
      <c r="Q7" s="556"/>
      <c r="R7" s="556"/>
      <c r="S7" s="556"/>
      <c r="T7" s="556"/>
      <c r="U7" s="557"/>
      <c r="V7" s="560"/>
      <c r="W7" s="556"/>
      <c r="X7" s="556"/>
      <c r="Y7" s="556"/>
      <c r="Z7" s="556"/>
      <c r="AA7" s="557"/>
      <c r="AB7" s="560"/>
      <c r="AC7" s="556"/>
      <c r="AD7" s="556"/>
      <c r="AE7" s="556"/>
      <c r="AF7" s="556"/>
      <c r="AG7" s="557"/>
      <c r="AH7" s="567"/>
      <c r="AI7" s="568"/>
      <c r="AJ7" s="568"/>
      <c r="AK7" s="568"/>
      <c r="AL7" s="568"/>
      <c r="AM7" s="569"/>
      <c r="AN7" s="69"/>
      <c r="AO7" s="514"/>
      <c r="AP7" s="515"/>
      <c r="AQ7" s="515"/>
      <c r="AR7" s="515"/>
      <c r="AS7" s="515"/>
      <c r="AT7" s="516"/>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x14ac:dyDescent="0.25">
      <c r="A8" s="69"/>
      <c r="B8" s="509"/>
      <c r="C8" s="509"/>
      <c r="D8" s="510"/>
      <c r="E8" s="550"/>
      <c r="F8" s="551"/>
      <c r="G8" s="551"/>
      <c r="H8" s="551"/>
      <c r="I8" s="552"/>
      <c r="J8" s="560" t="str">
        <f>IF(AND('Matriz de Riesgos'!$N$27="Muy Alta",'Matriz de Riesgos'!$R$27="Leve"),CONCATENATE("R",'Matriz de Riesgos'!$A$27),"")</f>
        <v/>
      </c>
      <c r="K8" s="556"/>
      <c r="L8" s="556" t="str">
        <f>IF(AND('Matriz de Riesgos'!$N$33="Muy Alta",'Matriz de Riesgos'!$R$33="Leve"),CONCATENATE("R",'Matriz de Riesgos'!$A$33),"")</f>
        <v/>
      </c>
      <c r="M8" s="556"/>
      <c r="N8" s="556" t="str">
        <f>IF(AND('Matriz de Riesgos'!$N$39="Muy Alta",'Matriz de Riesgos'!$R$39="Leve"),CONCATENATE("R",'Matriz de Riesgos'!$A$39),"")</f>
        <v/>
      </c>
      <c r="O8" s="557"/>
      <c r="P8" s="560" t="str">
        <f>IF(AND('Matriz de Riesgos'!$N$27="Muy Alta",'Matriz de Riesgos'!$R$27="Menor"),CONCATENATE("R",'Matriz de Riesgos'!$A$27),"")</f>
        <v/>
      </c>
      <c r="Q8" s="556"/>
      <c r="R8" s="556" t="str">
        <f>IF(AND('Matriz de Riesgos'!$N$33="Muy Alta",'Matriz de Riesgos'!$R$33="Menor"),CONCATENATE("R",'Matriz de Riesgos'!$A$33),"")</f>
        <v/>
      </c>
      <c r="S8" s="556"/>
      <c r="T8" s="556" t="str">
        <f>IF(AND('Matriz de Riesgos'!$N$39="Muy Alta",'Matriz de Riesgos'!$R$39="Menor"),CONCATENATE("R",'Matriz de Riesgos'!$A$39),"")</f>
        <v/>
      </c>
      <c r="U8" s="557"/>
      <c r="V8" s="560" t="str">
        <f>IF(AND('Matriz de Riesgos'!$N$27="Muy Alta",'Matriz de Riesgos'!$R$27="Moderado"),CONCATENATE("R",'Matriz de Riesgos'!$A$27),"")</f>
        <v/>
      </c>
      <c r="W8" s="556"/>
      <c r="X8" s="556" t="str">
        <f>IF(AND('Matriz de Riesgos'!$N$33="Muy Alta",'Matriz de Riesgos'!$R$33="Moderado"),CONCATENATE("R",'Matriz de Riesgos'!$A$33),"")</f>
        <v/>
      </c>
      <c r="Y8" s="556"/>
      <c r="Z8" s="556" t="str">
        <f>IF(AND('Matriz de Riesgos'!$N$39="Muy Alta",'Matriz de Riesgos'!$R$39="Moderado"),CONCATENATE("R",'Matriz de Riesgos'!$A$39),"")</f>
        <v/>
      </c>
      <c r="AA8" s="557"/>
      <c r="AB8" s="560" t="str">
        <f>IF(AND('Matriz de Riesgos'!$N$27="Muy Alta",'Matriz de Riesgos'!$R$27="Mayor"),CONCATENATE("R",'Matriz de Riesgos'!$A$27),"")</f>
        <v/>
      </c>
      <c r="AC8" s="556"/>
      <c r="AD8" s="556" t="str">
        <f>IF(AND('Matriz de Riesgos'!$N$33="Muy Alta",'Matriz de Riesgos'!$R$33="Mayor"),CONCATENATE("R",'Matriz de Riesgos'!$A$33),"")</f>
        <v/>
      </c>
      <c r="AE8" s="556"/>
      <c r="AF8" s="556" t="str">
        <f>IF(AND('Matriz de Riesgos'!$N$39="Muy Alta",'Matriz de Riesgos'!$R$39="Mayor"),CONCATENATE("R",'Matriz de Riesgos'!$A$39),"")</f>
        <v/>
      </c>
      <c r="AG8" s="557"/>
      <c r="AH8" s="567" t="str">
        <f>IF(AND('Matriz de Riesgos'!$N$27="Muy Alta",'Matriz de Riesgos'!$R$27="Catastrófico"),CONCATENATE("R",'Matriz de Riesgos'!$A$27),"")</f>
        <v/>
      </c>
      <c r="AI8" s="568"/>
      <c r="AJ8" s="568" t="str">
        <f>IF(AND('Matriz de Riesgos'!$N$33="Muy Alta",'Matriz de Riesgos'!$R$33="Catastrófico"),CONCATENATE("R",'Matriz de Riesgos'!$A$33),"")</f>
        <v/>
      </c>
      <c r="AK8" s="568"/>
      <c r="AL8" s="568" t="str">
        <f>IF(AND('Matriz de Riesgos'!$N$39="Muy Alta",'Matriz de Riesgos'!$R$39="Catastrófico"),CONCATENATE("R",'Matriz de Riesgos'!$A$39),"")</f>
        <v/>
      </c>
      <c r="AM8" s="569"/>
      <c r="AN8" s="69"/>
      <c r="AO8" s="514"/>
      <c r="AP8" s="515"/>
      <c r="AQ8" s="515"/>
      <c r="AR8" s="515"/>
      <c r="AS8" s="515"/>
      <c r="AT8" s="516"/>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x14ac:dyDescent="0.25">
      <c r="A9" s="69"/>
      <c r="B9" s="509"/>
      <c r="C9" s="509"/>
      <c r="D9" s="510"/>
      <c r="E9" s="550"/>
      <c r="F9" s="551"/>
      <c r="G9" s="551"/>
      <c r="H9" s="551"/>
      <c r="I9" s="552"/>
      <c r="J9" s="560"/>
      <c r="K9" s="556"/>
      <c r="L9" s="556"/>
      <c r="M9" s="556"/>
      <c r="N9" s="556"/>
      <c r="O9" s="557"/>
      <c r="P9" s="560"/>
      <c r="Q9" s="556"/>
      <c r="R9" s="556"/>
      <c r="S9" s="556"/>
      <c r="T9" s="556"/>
      <c r="U9" s="557"/>
      <c r="V9" s="560"/>
      <c r="W9" s="556"/>
      <c r="X9" s="556"/>
      <c r="Y9" s="556"/>
      <c r="Z9" s="556"/>
      <c r="AA9" s="557"/>
      <c r="AB9" s="560"/>
      <c r="AC9" s="556"/>
      <c r="AD9" s="556"/>
      <c r="AE9" s="556"/>
      <c r="AF9" s="556"/>
      <c r="AG9" s="557"/>
      <c r="AH9" s="567"/>
      <c r="AI9" s="568"/>
      <c r="AJ9" s="568"/>
      <c r="AK9" s="568"/>
      <c r="AL9" s="568"/>
      <c r="AM9" s="569"/>
      <c r="AN9" s="69"/>
      <c r="AO9" s="514"/>
      <c r="AP9" s="515"/>
      <c r="AQ9" s="515"/>
      <c r="AR9" s="515"/>
      <c r="AS9" s="515"/>
      <c r="AT9" s="516"/>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x14ac:dyDescent="0.25">
      <c r="A10" s="69"/>
      <c r="B10" s="509"/>
      <c r="C10" s="509"/>
      <c r="D10" s="510"/>
      <c r="E10" s="550"/>
      <c r="F10" s="551"/>
      <c r="G10" s="551"/>
      <c r="H10" s="551"/>
      <c r="I10" s="552"/>
      <c r="J10" s="560" t="str">
        <f>IF(AND('Matriz de Riesgos'!$N$45="Muy Alta",'Matriz de Riesgos'!$R$45="Leve"),CONCATENATE("R",'Matriz de Riesgos'!$A$45),"")</f>
        <v/>
      </c>
      <c r="K10" s="556"/>
      <c r="L10" s="556" t="str">
        <f>IF(AND('Matriz de Riesgos'!$N$51="Muy Alta",'Matriz de Riesgos'!$R$51="Leve"),CONCATENATE("R",'Matriz de Riesgos'!$A$51),"")</f>
        <v/>
      </c>
      <c r="M10" s="556"/>
      <c r="N10" s="556" t="e">
        <f>IF(AND('Matriz de Riesgos'!#REF!="Muy Alta",'Matriz de Riesgos'!#REF!="Leve"),CONCATENATE("R",'Matriz de Riesgos'!#REF!),"")</f>
        <v>#REF!</v>
      </c>
      <c r="O10" s="557"/>
      <c r="P10" s="560" t="str">
        <f>IF(AND('Matriz de Riesgos'!$N$45="Muy Alta",'Matriz de Riesgos'!$R$45="Menor"),CONCATENATE("R",'Matriz de Riesgos'!$A$45),"")</f>
        <v/>
      </c>
      <c r="Q10" s="556"/>
      <c r="R10" s="556" t="str">
        <f>IF(AND('Matriz de Riesgos'!$N$51="Muy Alta",'Matriz de Riesgos'!$R$51="Menor"),CONCATENATE("R",'Matriz de Riesgos'!$A$51),"")</f>
        <v/>
      </c>
      <c r="S10" s="556"/>
      <c r="T10" s="556" t="e">
        <f>IF(AND('Matriz de Riesgos'!#REF!="Muy Alta",'Matriz de Riesgos'!#REF!="Menor"),CONCATENATE("R",'Matriz de Riesgos'!#REF!),"")</f>
        <v>#REF!</v>
      </c>
      <c r="U10" s="557"/>
      <c r="V10" s="560" t="str">
        <f>IF(AND('Matriz de Riesgos'!$N$45="Muy Alta",'Matriz de Riesgos'!$R$45="Moderado"),CONCATENATE("R",'Matriz de Riesgos'!$A$45),"")</f>
        <v/>
      </c>
      <c r="W10" s="556"/>
      <c r="X10" s="556" t="str">
        <f>IF(AND('Matriz de Riesgos'!$N$51="Muy Alta",'Matriz de Riesgos'!$R$51="Moderado"),CONCATENATE("R",'Matriz de Riesgos'!$A$51),"")</f>
        <v/>
      </c>
      <c r="Y10" s="556"/>
      <c r="Z10" s="556" t="e">
        <f>IF(AND('Matriz de Riesgos'!#REF!="Muy Alta",'Matriz de Riesgos'!#REF!="Moderado"),CONCATENATE("R",'Matriz de Riesgos'!#REF!),"")</f>
        <v>#REF!</v>
      </c>
      <c r="AA10" s="557"/>
      <c r="AB10" s="560" t="str">
        <f>IF(AND('Matriz de Riesgos'!$N$45="Muy Alta",'Matriz de Riesgos'!$R$45="Mayor"),CONCATENATE("R",'Matriz de Riesgos'!$A$45),"")</f>
        <v/>
      </c>
      <c r="AC10" s="556"/>
      <c r="AD10" s="556" t="str">
        <f>IF(AND('Matriz de Riesgos'!$N$51="Muy Alta",'Matriz de Riesgos'!$R$51="Mayor"),CONCATENATE("R",'Matriz de Riesgos'!$A$51),"")</f>
        <v/>
      </c>
      <c r="AE10" s="556"/>
      <c r="AF10" s="556" t="e">
        <f>IF(AND('Matriz de Riesgos'!#REF!="Muy Alta",'Matriz de Riesgos'!#REF!="Mayor"),CONCATENATE("R",'Matriz de Riesgos'!#REF!),"")</f>
        <v>#REF!</v>
      </c>
      <c r="AG10" s="557"/>
      <c r="AH10" s="567" t="str">
        <f>IF(AND('Matriz de Riesgos'!$N$45="Muy Alta",'Matriz de Riesgos'!$R$45="Catastrófico"),CONCATENATE("R",'Matriz de Riesgos'!$A$45),"")</f>
        <v/>
      </c>
      <c r="AI10" s="568"/>
      <c r="AJ10" s="568" t="str">
        <f>IF(AND('Matriz de Riesgos'!$N$51="Muy Alta",'Matriz de Riesgos'!$R$51="Catastrófico"),CONCATENATE("R",'Matriz de Riesgos'!$A$51),"")</f>
        <v/>
      </c>
      <c r="AK10" s="568"/>
      <c r="AL10" s="568" t="e">
        <f>IF(AND('Matriz de Riesgos'!#REF!="Muy Alta",'Matriz de Riesgos'!#REF!="Catastrófico"),CONCATENATE("R",'Matriz de Riesgos'!#REF!),"")</f>
        <v>#REF!</v>
      </c>
      <c r="AM10" s="569"/>
      <c r="AN10" s="69"/>
      <c r="AO10" s="514"/>
      <c r="AP10" s="515"/>
      <c r="AQ10" s="515"/>
      <c r="AR10" s="515"/>
      <c r="AS10" s="515"/>
      <c r="AT10" s="516"/>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x14ac:dyDescent="0.25">
      <c r="A11" s="69"/>
      <c r="B11" s="509"/>
      <c r="C11" s="509"/>
      <c r="D11" s="510"/>
      <c r="E11" s="550"/>
      <c r="F11" s="551"/>
      <c r="G11" s="551"/>
      <c r="H11" s="551"/>
      <c r="I11" s="552"/>
      <c r="J11" s="560"/>
      <c r="K11" s="556"/>
      <c r="L11" s="556"/>
      <c r="M11" s="556"/>
      <c r="N11" s="556"/>
      <c r="O11" s="557"/>
      <c r="P11" s="560"/>
      <c r="Q11" s="556"/>
      <c r="R11" s="556"/>
      <c r="S11" s="556"/>
      <c r="T11" s="556"/>
      <c r="U11" s="557"/>
      <c r="V11" s="560"/>
      <c r="W11" s="556"/>
      <c r="X11" s="556"/>
      <c r="Y11" s="556"/>
      <c r="Z11" s="556"/>
      <c r="AA11" s="557"/>
      <c r="AB11" s="560"/>
      <c r="AC11" s="556"/>
      <c r="AD11" s="556"/>
      <c r="AE11" s="556"/>
      <c r="AF11" s="556"/>
      <c r="AG11" s="557"/>
      <c r="AH11" s="567"/>
      <c r="AI11" s="568"/>
      <c r="AJ11" s="568"/>
      <c r="AK11" s="568"/>
      <c r="AL11" s="568"/>
      <c r="AM11" s="569"/>
      <c r="AN11" s="69"/>
      <c r="AO11" s="514"/>
      <c r="AP11" s="515"/>
      <c r="AQ11" s="515"/>
      <c r="AR11" s="515"/>
      <c r="AS11" s="515"/>
      <c r="AT11" s="516"/>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x14ac:dyDescent="0.25">
      <c r="A12" s="69"/>
      <c r="B12" s="509"/>
      <c r="C12" s="509"/>
      <c r="D12" s="510"/>
      <c r="E12" s="550"/>
      <c r="F12" s="551"/>
      <c r="G12" s="551"/>
      <c r="H12" s="551"/>
      <c r="I12" s="552"/>
      <c r="J12" s="560" t="e">
        <f>IF(AND('Matriz de Riesgos'!#REF!="Muy Alta",'Matriz de Riesgos'!#REF!="Leve"),CONCATENATE("R",'Matriz de Riesgos'!#REF!),"")</f>
        <v>#REF!</v>
      </c>
      <c r="K12" s="556"/>
      <c r="L12" s="556" t="e">
        <f>IF(AND('Matriz de Riesgos'!#REF!="Muy Alta",'Matriz de Riesgos'!#REF!="Leve"),CONCATENATE("R",'Matriz de Riesgos'!#REF!),"")</f>
        <v>#REF!</v>
      </c>
      <c r="M12" s="556"/>
      <c r="N12" s="556" t="e">
        <f>IF(AND('Matriz de Riesgos'!#REF!="Muy Alta",'Matriz de Riesgos'!#REF!="Leve"),CONCATENATE("R",'Matriz de Riesgos'!$A$62),"")</f>
        <v>#REF!</v>
      </c>
      <c r="O12" s="557"/>
      <c r="P12" s="560" t="e">
        <f>IF(AND('Matriz de Riesgos'!#REF!="Muy Alta",'Matriz de Riesgos'!#REF!="Menor"),CONCATENATE("R",'Matriz de Riesgos'!#REF!),"")</f>
        <v>#REF!</v>
      </c>
      <c r="Q12" s="556"/>
      <c r="R12" s="556" t="e">
        <f>IF(AND('Matriz de Riesgos'!#REF!="Muy Alta",'Matriz de Riesgos'!#REF!="Menor"),CONCATENATE("R",'Matriz de Riesgos'!#REF!),"")</f>
        <v>#REF!</v>
      </c>
      <c r="S12" s="556"/>
      <c r="T12" s="556" t="e">
        <f>IF(AND('Matriz de Riesgos'!#REF!="Muy Alta",'Matriz de Riesgos'!#REF!="Menor"),CONCATENATE("R",'Matriz de Riesgos'!$A$62),"")</f>
        <v>#REF!</v>
      </c>
      <c r="U12" s="557"/>
      <c r="V12" s="560" t="e">
        <f>IF(AND('Matriz de Riesgos'!#REF!="Muy Alta",'Matriz de Riesgos'!#REF!="Moderado"),CONCATENATE("R",'Matriz de Riesgos'!#REF!),"")</f>
        <v>#REF!</v>
      </c>
      <c r="W12" s="556"/>
      <c r="X12" s="556" t="e">
        <f>IF(AND('Matriz de Riesgos'!#REF!="Muy Alta",'Matriz de Riesgos'!#REF!="Moderado"),CONCATENATE("R",'Matriz de Riesgos'!#REF!),"")</f>
        <v>#REF!</v>
      </c>
      <c r="Y12" s="556"/>
      <c r="Z12" s="556" t="e">
        <f>IF(AND('Matriz de Riesgos'!#REF!="Muy Alta",'Matriz de Riesgos'!#REF!="Moderado"),CONCATENATE("R",'Matriz de Riesgos'!$A$62),"")</f>
        <v>#REF!</v>
      </c>
      <c r="AA12" s="557"/>
      <c r="AB12" s="560" t="e">
        <f>IF(AND('Matriz de Riesgos'!#REF!="Muy Alta",'Matriz de Riesgos'!#REF!="Mayor"),CONCATENATE("R",'Matriz de Riesgos'!#REF!),"")</f>
        <v>#REF!</v>
      </c>
      <c r="AC12" s="556"/>
      <c r="AD12" s="556" t="e">
        <f>IF(AND('Matriz de Riesgos'!#REF!="Muy Alta",'Matriz de Riesgos'!#REF!="Mayor"),CONCATENATE("R",'Matriz de Riesgos'!#REF!),"")</f>
        <v>#REF!</v>
      </c>
      <c r="AE12" s="556"/>
      <c r="AF12" s="556" t="e">
        <f>IF(AND('Matriz de Riesgos'!#REF!="Muy Alta",'Matriz de Riesgos'!#REF!="Mayor"),CONCATENATE("R",'Matriz de Riesgos'!$A$62),"")</f>
        <v>#REF!</v>
      </c>
      <c r="AG12" s="557"/>
      <c r="AH12" s="567" t="e">
        <f>IF(AND('Matriz de Riesgos'!#REF!="Muy Alta",'Matriz de Riesgos'!#REF!="Catastrófico"),CONCATENATE("R",'Matriz de Riesgos'!#REF!),"")</f>
        <v>#REF!</v>
      </c>
      <c r="AI12" s="568"/>
      <c r="AJ12" s="568" t="e">
        <f>IF(AND('Matriz de Riesgos'!#REF!="Muy Alta",'Matriz de Riesgos'!#REF!="Catastrófico"),CONCATENATE("R",'Matriz de Riesgos'!#REF!),"")</f>
        <v>#REF!</v>
      </c>
      <c r="AK12" s="568"/>
      <c r="AL12" s="568" t="e">
        <f>IF(AND('Matriz de Riesgos'!#REF!="Muy Alta",'Matriz de Riesgos'!#REF!="Catastrófico"),CONCATENATE("R",'Matriz de Riesgos'!$A$62),"")</f>
        <v>#REF!</v>
      </c>
      <c r="AM12" s="569"/>
      <c r="AN12" s="69"/>
      <c r="AO12" s="514"/>
      <c r="AP12" s="515"/>
      <c r="AQ12" s="515"/>
      <c r="AR12" s="515"/>
      <c r="AS12" s="515"/>
      <c r="AT12" s="516"/>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x14ac:dyDescent="0.3">
      <c r="A13" s="69"/>
      <c r="B13" s="509"/>
      <c r="C13" s="509"/>
      <c r="D13" s="510"/>
      <c r="E13" s="553"/>
      <c r="F13" s="554"/>
      <c r="G13" s="554"/>
      <c r="H13" s="554"/>
      <c r="I13" s="555"/>
      <c r="J13" s="560"/>
      <c r="K13" s="556"/>
      <c r="L13" s="556"/>
      <c r="M13" s="556"/>
      <c r="N13" s="556"/>
      <c r="O13" s="557"/>
      <c r="P13" s="560"/>
      <c r="Q13" s="556"/>
      <c r="R13" s="556"/>
      <c r="S13" s="556"/>
      <c r="T13" s="556"/>
      <c r="U13" s="557"/>
      <c r="V13" s="560"/>
      <c r="W13" s="556"/>
      <c r="X13" s="556"/>
      <c r="Y13" s="556"/>
      <c r="Z13" s="556"/>
      <c r="AA13" s="557"/>
      <c r="AB13" s="560"/>
      <c r="AC13" s="556"/>
      <c r="AD13" s="556"/>
      <c r="AE13" s="556"/>
      <c r="AF13" s="556"/>
      <c r="AG13" s="557"/>
      <c r="AH13" s="570"/>
      <c r="AI13" s="571"/>
      <c r="AJ13" s="571"/>
      <c r="AK13" s="571"/>
      <c r="AL13" s="571"/>
      <c r="AM13" s="572"/>
      <c r="AN13" s="69"/>
      <c r="AO13" s="517"/>
      <c r="AP13" s="518"/>
      <c r="AQ13" s="518"/>
      <c r="AR13" s="518"/>
      <c r="AS13" s="518"/>
      <c r="AT13" s="51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x14ac:dyDescent="0.25">
      <c r="A14" s="69"/>
      <c r="B14" s="509"/>
      <c r="C14" s="509"/>
      <c r="D14" s="510"/>
      <c r="E14" s="547" t="s">
        <v>946</v>
      </c>
      <c r="F14" s="548"/>
      <c r="G14" s="548"/>
      <c r="H14" s="548"/>
      <c r="I14" s="548"/>
      <c r="J14" s="582" t="str">
        <f>IF(AND('Matriz de Riesgos'!$N$12="Alta",'Matriz de Riesgos'!$R$12="Leve"),CONCATENATE("R",'Matriz de Riesgos'!$A$12),"")</f>
        <v/>
      </c>
      <c r="K14" s="583"/>
      <c r="L14" s="583" t="str">
        <f>IF(AND('Matriz de Riesgos'!$N$15="Alta",'Matriz de Riesgos'!$R$15="Leve"),CONCATENATE("R",'Matriz de Riesgos'!$A$15),"")</f>
        <v/>
      </c>
      <c r="M14" s="583"/>
      <c r="N14" s="583" t="str">
        <f>IF(AND('Matriz de Riesgos'!$N$21="Alta",'Matriz de Riesgos'!$R$21="Leve"),CONCATENATE("R",'Matriz de Riesgos'!$A$21),"")</f>
        <v/>
      </c>
      <c r="O14" s="584"/>
      <c r="P14" s="582" t="str">
        <f>IF(AND('Matriz de Riesgos'!$N$12="Alta",'Matriz de Riesgos'!$R$12="Menor"),CONCATENATE("R",'Matriz de Riesgos'!$A$12),"")</f>
        <v/>
      </c>
      <c r="Q14" s="583"/>
      <c r="R14" s="583" t="str">
        <f>IF(AND('Matriz de Riesgos'!$N$15="Alta",'Matriz de Riesgos'!$R$15="Menor"),CONCATENATE("R",'Matriz de Riesgos'!$A$15),"")</f>
        <v/>
      </c>
      <c r="S14" s="583"/>
      <c r="T14" s="583" t="str">
        <f>IF(AND('Matriz de Riesgos'!$N$21="Alta",'Matriz de Riesgos'!$R$21="Menor"),CONCATENATE("R",'Matriz de Riesgos'!$A$21),"")</f>
        <v/>
      </c>
      <c r="U14" s="584"/>
      <c r="V14" s="558" t="str">
        <f>IF(AND('Matriz de Riesgos'!$N$12="Alta",'Matriz de Riesgos'!$R$12="Moderado"),CONCATENATE("R",'Matriz de Riesgos'!$A$12),"")</f>
        <v/>
      </c>
      <c r="W14" s="559"/>
      <c r="X14" s="559" t="str">
        <f>IF(AND('Matriz de Riesgos'!$N$15="Alta",'Matriz de Riesgos'!$R$15="Moderado"),CONCATENATE("R",'Matriz de Riesgos'!$A$15),"")</f>
        <v/>
      </c>
      <c r="Y14" s="559"/>
      <c r="Z14" s="559" t="str">
        <f>IF(AND('Matriz de Riesgos'!$N$21="Alta",'Matriz de Riesgos'!$R$21="Moderado"),CONCATENATE("R",'Matriz de Riesgos'!$A$21),"")</f>
        <v/>
      </c>
      <c r="AA14" s="561"/>
      <c r="AB14" s="558" t="str">
        <f>IF(AND('Matriz de Riesgos'!$N$12="Alta",'Matriz de Riesgos'!$R$12="Mayor"),CONCATENATE("R",'Matriz de Riesgos'!$A$12),"")</f>
        <v/>
      </c>
      <c r="AC14" s="559"/>
      <c r="AD14" s="559" t="str">
        <f>IF(AND('Matriz de Riesgos'!$N$15="Alta",'Matriz de Riesgos'!$R$15="Mayor"),CONCATENATE("R",'Matriz de Riesgos'!$A$15),"")</f>
        <v/>
      </c>
      <c r="AE14" s="559"/>
      <c r="AF14" s="559" t="str">
        <f>IF(AND('Matriz de Riesgos'!$N$21="Alta",'Matriz de Riesgos'!$R$21="Mayor"),CONCATENATE("R",'Matriz de Riesgos'!$A$21),"")</f>
        <v/>
      </c>
      <c r="AG14" s="561"/>
      <c r="AH14" s="573" t="str">
        <f>IF(AND('Matriz de Riesgos'!$N$12="Alta",'Matriz de Riesgos'!$R$12="Catastrófico"),CONCATENATE("R",'Matriz de Riesgos'!$A$12),"")</f>
        <v/>
      </c>
      <c r="AI14" s="574"/>
      <c r="AJ14" s="574" t="str">
        <f>IF(AND('Matriz de Riesgos'!$N$15="Alta",'Matriz de Riesgos'!$R$15="Catastrófico"),CONCATENATE("R",'Matriz de Riesgos'!$A$15),"")</f>
        <v/>
      </c>
      <c r="AK14" s="574"/>
      <c r="AL14" s="574" t="str">
        <f>IF(AND('Matriz de Riesgos'!$N$21="Alta",'Matriz de Riesgos'!$R$21="Catastrófico"),CONCATENATE("R",'Matriz de Riesgos'!$A$21),"")</f>
        <v/>
      </c>
      <c r="AM14" s="575"/>
      <c r="AN14" s="69"/>
      <c r="AO14" s="520" t="s">
        <v>69</v>
      </c>
      <c r="AP14" s="521"/>
      <c r="AQ14" s="521"/>
      <c r="AR14" s="521"/>
      <c r="AS14" s="521"/>
      <c r="AT14" s="522"/>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x14ac:dyDescent="0.25">
      <c r="A15" s="69"/>
      <c r="B15" s="509"/>
      <c r="C15" s="509"/>
      <c r="D15" s="510"/>
      <c r="E15" s="550"/>
      <c r="F15" s="551"/>
      <c r="G15" s="551"/>
      <c r="H15" s="551"/>
      <c r="I15" s="551"/>
      <c r="J15" s="576"/>
      <c r="K15" s="577"/>
      <c r="L15" s="577"/>
      <c r="M15" s="577"/>
      <c r="N15" s="577"/>
      <c r="O15" s="578"/>
      <c r="P15" s="576"/>
      <c r="Q15" s="577"/>
      <c r="R15" s="577"/>
      <c r="S15" s="577"/>
      <c r="T15" s="577"/>
      <c r="U15" s="578"/>
      <c r="V15" s="560"/>
      <c r="W15" s="556"/>
      <c r="X15" s="556"/>
      <c r="Y15" s="556"/>
      <c r="Z15" s="556"/>
      <c r="AA15" s="557"/>
      <c r="AB15" s="560"/>
      <c r="AC15" s="556"/>
      <c r="AD15" s="556"/>
      <c r="AE15" s="556"/>
      <c r="AF15" s="556"/>
      <c r="AG15" s="557"/>
      <c r="AH15" s="567"/>
      <c r="AI15" s="568"/>
      <c r="AJ15" s="568"/>
      <c r="AK15" s="568"/>
      <c r="AL15" s="568"/>
      <c r="AM15" s="569"/>
      <c r="AN15" s="69"/>
      <c r="AO15" s="523"/>
      <c r="AP15" s="524"/>
      <c r="AQ15" s="524"/>
      <c r="AR15" s="524"/>
      <c r="AS15" s="524"/>
      <c r="AT15" s="525"/>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x14ac:dyDescent="0.25">
      <c r="A16" s="69"/>
      <c r="B16" s="509"/>
      <c r="C16" s="509"/>
      <c r="D16" s="510"/>
      <c r="E16" s="550"/>
      <c r="F16" s="551"/>
      <c r="G16" s="551"/>
      <c r="H16" s="551"/>
      <c r="I16" s="551"/>
      <c r="J16" s="576" t="str">
        <f>IF(AND('Matriz de Riesgos'!$N$27="Alta",'Matriz de Riesgos'!$R$27="Leve"),CONCATENATE("R",'Matriz de Riesgos'!$A$27),"")</f>
        <v/>
      </c>
      <c r="K16" s="577"/>
      <c r="L16" s="577" t="str">
        <f>IF(AND('Matriz de Riesgos'!$N$33="Alta",'Matriz de Riesgos'!$R$33="Leve"),CONCATENATE("R",'Matriz de Riesgos'!$A$33),"")</f>
        <v/>
      </c>
      <c r="M16" s="577"/>
      <c r="N16" s="577" t="str">
        <f>IF(AND('Matriz de Riesgos'!$N$39="Alta",'Matriz de Riesgos'!$R$39="Leve"),CONCATENATE("R",'Matriz de Riesgos'!$A$39),"")</f>
        <v/>
      </c>
      <c r="O16" s="578"/>
      <c r="P16" s="576" t="str">
        <f>IF(AND('Matriz de Riesgos'!$N$27="Alta",'Matriz de Riesgos'!$R$27="Menor"),CONCATENATE("R",'Matriz de Riesgos'!$A$27),"")</f>
        <v/>
      </c>
      <c r="Q16" s="577"/>
      <c r="R16" s="577" t="str">
        <f>IF(AND('Matriz de Riesgos'!$N$33="Alta",'Matriz de Riesgos'!$R$33="Menor"),CONCATENATE("R",'Matriz de Riesgos'!$A$33),"")</f>
        <v/>
      </c>
      <c r="S16" s="577"/>
      <c r="T16" s="577" t="str">
        <f>IF(AND('Matriz de Riesgos'!$N$39="Alta",'Matriz de Riesgos'!$R$39="Menor"),CONCATENATE("R",'Matriz de Riesgos'!$A$39),"")</f>
        <v/>
      </c>
      <c r="U16" s="578"/>
      <c r="V16" s="560" t="str">
        <f>IF(AND('Matriz de Riesgos'!$N$27="Alta",'Matriz de Riesgos'!$R$27="Moderado"),CONCATENATE("R",'Matriz de Riesgos'!$A$27),"")</f>
        <v/>
      </c>
      <c r="W16" s="556"/>
      <c r="X16" s="556" t="str">
        <f>IF(AND('Matriz de Riesgos'!$N$33="Alta",'Matriz de Riesgos'!$R$33="Moderado"),CONCATENATE("R",'Matriz de Riesgos'!$A$33),"")</f>
        <v/>
      </c>
      <c r="Y16" s="556"/>
      <c r="Z16" s="556" t="str">
        <f>IF(AND('Matriz de Riesgos'!$N$39="Alta",'Matriz de Riesgos'!$R$39="Moderado"),CONCATENATE("R",'Matriz de Riesgos'!$A$39),"")</f>
        <v/>
      </c>
      <c r="AA16" s="557"/>
      <c r="AB16" s="560" t="str">
        <f>IF(AND('Matriz de Riesgos'!$N$27="Alta",'Matriz de Riesgos'!$R$27="Mayor"),CONCATENATE("R",'Matriz de Riesgos'!$A$27),"")</f>
        <v/>
      </c>
      <c r="AC16" s="556"/>
      <c r="AD16" s="556" t="str">
        <f>IF(AND('Matriz de Riesgos'!$N$33="Alta",'Matriz de Riesgos'!$R$33="Mayor"),CONCATENATE("R",'Matriz de Riesgos'!$A$33),"")</f>
        <v/>
      </c>
      <c r="AE16" s="556"/>
      <c r="AF16" s="556" t="str">
        <f>IF(AND('Matriz de Riesgos'!$N$39="Alta",'Matriz de Riesgos'!$R$39="Mayor"),CONCATENATE("R",'Matriz de Riesgos'!$A$39),"")</f>
        <v/>
      </c>
      <c r="AG16" s="557"/>
      <c r="AH16" s="567" t="str">
        <f>IF(AND('Matriz de Riesgos'!$N$27="Alta",'Matriz de Riesgos'!$R$27="Catastrófico"),CONCATENATE("R",'Matriz de Riesgos'!$A$27),"")</f>
        <v/>
      </c>
      <c r="AI16" s="568"/>
      <c r="AJ16" s="568" t="str">
        <f>IF(AND('Matriz de Riesgos'!$N$33="Alta",'Matriz de Riesgos'!$R$33="Catastrófico"),CONCATENATE("R",'Matriz de Riesgos'!$A$33),"")</f>
        <v/>
      </c>
      <c r="AK16" s="568"/>
      <c r="AL16" s="568" t="str">
        <f>IF(AND('Matriz de Riesgos'!$N$39="Alta",'Matriz de Riesgos'!$R$39="Catastrófico"),CONCATENATE("R",'Matriz de Riesgos'!$A$39),"")</f>
        <v/>
      </c>
      <c r="AM16" s="569"/>
      <c r="AN16" s="69"/>
      <c r="AO16" s="523"/>
      <c r="AP16" s="524"/>
      <c r="AQ16" s="524"/>
      <c r="AR16" s="524"/>
      <c r="AS16" s="524"/>
      <c r="AT16" s="525"/>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x14ac:dyDescent="0.25">
      <c r="A17" s="69"/>
      <c r="B17" s="509"/>
      <c r="C17" s="509"/>
      <c r="D17" s="510"/>
      <c r="E17" s="550"/>
      <c r="F17" s="551"/>
      <c r="G17" s="551"/>
      <c r="H17" s="551"/>
      <c r="I17" s="551"/>
      <c r="J17" s="576"/>
      <c r="K17" s="577"/>
      <c r="L17" s="577"/>
      <c r="M17" s="577"/>
      <c r="N17" s="577"/>
      <c r="O17" s="578"/>
      <c r="P17" s="576"/>
      <c r="Q17" s="577"/>
      <c r="R17" s="577"/>
      <c r="S17" s="577"/>
      <c r="T17" s="577"/>
      <c r="U17" s="578"/>
      <c r="V17" s="560"/>
      <c r="W17" s="556"/>
      <c r="X17" s="556"/>
      <c r="Y17" s="556"/>
      <c r="Z17" s="556"/>
      <c r="AA17" s="557"/>
      <c r="AB17" s="560"/>
      <c r="AC17" s="556"/>
      <c r="AD17" s="556"/>
      <c r="AE17" s="556"/>
      <c r="AF17" s="556"/>
      <c r="AG17" s="557"/>
      <c r="AH17" s="567"/>
      <c r="AI17" s="568"/>
      <c r="AJ17" s="568"/>
      <c r="AK17" s="568"/>
      <c r="AL17" s="568"/>
      <c r="AM17" s="569"/>
      <c r="AN17" s="69"/>
      <c r="AO17" s="523"/>
      <c r="AP17" s="524"/>
      <c r="AQ17" s="524"/>
      <c r="AR17" s="524"/>
      <c r="AS17" s="524"/>
      <c r="AT17" s="525"/>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x14ac:dyDescent="0.25">
      <c r="A18" s="69"/>
      <c r="B18" s="509"/>
      <c r="C18" s="509"/>
      <c r="D18" s="510"/>
      <c r="E18" s="550"/>
      <c r="F18" s="551"/>
      <c r="G18" s="551"/>
      <c r="H18" s="551"/>
      <c r="I18" s="551"/>
      <c r="J18" s="576" t="str">
        <f>IF(AND('Matriz de Riesgos'!$N$45="Alta",'Matriz de Riesgos'!$R$45="Leve"),CONCATENATE("R",'Matriz de Riesgos'!$A$45),"")</f>
        <v/>
      </c>
      <c r="K18" s="577"/>
      <c r="L18" s="577" t="str">
        <f>IF(AND('Matriz de Riesgos'!$N$51="Alta",'Matriz de Riesgos'!$R$51="Leve"),CONCATENATE("R",'Matriz de Riesgos'!$A$51),"")</f>
        <v/>
      </c>
      <c r="M18" s="577"/>
      <c r="N18" s="577" t="e">
        <f>IF(AND('Matriz de Riesgos'!#REF!="Alta",'Matriz de Riesgos'!#REF!="Leve"),CONCATENATE("R",'Matriz de Riesgos'!#REF!),"")</f>
        <v>#REF!</v>
      </c>
      <c r="O18" s="578"/>
      <c r="P18" s="576" t="str">
        <f>IF(AND('Matriz de Riesgos'!$N$45="Alta",'Matriz de Riesgos'!$R$45="Menor"),CONCATENATE("R",'Matriz de Riesgos'!$A$45),"")</f>
        <v/>
      </c>
      <c r="Q18" s="577"/>
      <c r="R18" s="577" t="str">
        <f>IF(AND('Matriz de Riesgos'!$N$51="Alta",'Matriz de Riesgos'!$R$51="Menor"),CONCATENATE("R",'Matriz de Riesgos'!$A$51),"")</f>
        <v/>
      </c>
      <c r="S18" s="577"/>
      <c r="T18" s="577" t="e">
        <f>IF(AND('Matriz de Riesgos'!#REF!="Alta",'Matriz de Riesgos'!#REF!="Menor"),CONCATENATE("R",'Matriz de Riesgos'!#REF!),"")</f>
        <v>#REF!</v>
      </c>
      <c r="U18" s="578"/>
      <c r="V18" s="560" t="str">
        <f>IF(AND('Matriz de Riesgos'!$N$45="Alta",'Matriz de Riesgos'!$R$45="Moderado"),CONCATENATE("R",'Matriz de Riesgos'!$A$45),"")</f>
        <v/>
      </c>
      <c r="W18" s="556"/>
      <c r="X18" s="556" t="str">
        <f>IF(AND('Matriz de Riesgos'!$N$51="Alta",'Matriz de Riesgos'!$R$51="Moderado"),CONCATENATE("R",'Matriz de Riesgos'!$A$51),"")</f>
        <v/>
      </c>
      <c r="Y18" s="556"/>
      <c r="Z18" s="556" t="e">
        <f>IF(AND('Matriz de Riesgos'!#REF!="Alta",'Matriz de Riesgos'!#REF!="Moderado"),CONCATENATE("R",'Matriz de Riesgos'!#REF!),"")</f>
        <v>#REF!</v>
      </c>
      <c r="AA18" s="557"/>
      <c r="AB18" s="560" t="str">
        <f>IF(AND('Matriz de Riesgos'!$N$45="Alta",'Matriz de Riesgos'!$R$45="Mayor"),CONCATENATE("R",'Matriz de Riesgos'!$A$45),"")</f>
        <v/>
      </c>
      <c r="AC18" s="556"/>
      <c r="AD18" s="556" t="str">
        <f>IF(AND('Matriz de Riesgos'!$N$51="Alta",'Matriz de Riesgos'!$R$51="Mayor"),CONCATENATE("R",'Matriz de Riesgos'!$A$51),"")</f>
        <v/>
      </c>
      <c r="AE18" s="556"/>
      <c r="AF18" s="556" t="e">
        <f>IF(AND('Matriz de Riesgos'!#REF!="Alta",'Matriz de Riesgos'!#REF!="Mayor"),CONCATENATE("R",'Matriz de Riesgos'!#REF!),"")</f>
        <v>#REF!</v>
      </c>
      <c r="AG18" s="557"/>
      <c r="AH18" s="567" t="str">
        <f>IF(AND('Matriz de Riesgos'!$N$45="Alta",'Matriz de Riesgos'!$R$45="Catastrófico"),CONCATENATE("R",'Matriz de Riesgos'!$A$45),"")</f>
        <v/>
      </c>
      <c r="AI18" s="568"/>
      <c r="AJ18" s="568" t="str">
        <f>IF(AND('Matriz de Riesgos'!$N$51="Alta",'Matriz de Riesgos'!$R$51="Catastrófico"),CONCATENATE("R",'Matriz de Riesgos'!$A$51),"")</f>
        <v/>
      </c>
      <c r="AK18" s="568"/>
      <c r="AL18" s="568" t="e">
        <f>IF(AND('Matriz de Riesgos'!#REF!="Alta",'Matriz de Riesgos'!#REF!="Catastrófico"),CONCATENATE("R",'Matriz de Riesgos'!#REF!),"")</f>
        <v>#REF!</v>
      </c>
      <c r="AM18" s="569"/>
      <c r="AN18" s="69"/>
      <c r="AO18" s="523"/>
      <c r="AP18" s="524"/>
      <c r="AQ18" s="524"/>
      <c r="AR18" s="524"/>
      <c r="AS18" s="524"/>
      <c r="AT18" s="525"/>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x14ac:dyDescent="0.25">
      <c r="A19" s="69"/>
      <c r="B19" s="509"/>
      <c r="C19" s="509"/>
      <c r="D19" s="510"/>
      <c r="E19" s="550"/>
      <c r="F19" s="551"/>
      <c r="G19" s="551"/>
      <c r="H19" s="551"/>
      <c r="I19" s="551"/>
      <c r="J19" s="576"/>
      <c r="K19" s="577"/>
      <c r="L19" s="577"/>
      <c r="M19" s="577"/>
      <c r="N19" s="577"/>
      <c r="O19" s="578"/>
      <c r="P19" s="576"/>
      <c r="Q19" s="577"/>
      <c r="R19" s="577"/>
      <c r="S19" s="577"/>
      <c r="T19" s="577"/>
      <c r="U19" s="578"/>
      <c r="V19" s="560"/>
      <c r="W19" s="556"/>
      <c r="X19" s="556"/>
      <c r="Y19" s="556"/>
      <c r="Z19" s="556"/>
      <c r="AA19" s="557"/>
      <c r="AB19" s="560"/>
      <c r="AC19" s="556"/>
      <c r="AD19" s="556"/>
      <c r="AE19" s="556"/>
      <c r="AF19" s="556"/>
      <c r="AG19" s="557"/>
      <c r="AH19" s="567"/>
      <c r="AI19" s="568"/>
      <c r="AJ19" s="568"/>
      <c r="AK19" s="568"/>
      <c r="AL19" s="568"/>
      <c r="AM19" s="569"/>
      <c r="AN19" s="69"/>
      <c r="AO19" s="523"/>
      <c r="AP19" s="524"/>
      <c r="AQ19" s="524"/>
      <c r="AR19" s="524"/>
      <c r="AS19" s="524"/>
      <c r="AT19" s="525"/>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x14ac:dyDescent="0.25">
      <c r="A20" s="69"/>
      <c r="B20" s="509"/>
      <c r="C20" s="509"/>
      <c r="D20" s="510"/>
      <c r="E20" s="550"/>
      <c r="F20" s="551"/>
      <c r="G20" s="551"/>
      <c r="H20" s="551"/>
      <c r="I20" s="551"/>
      <c r="J20" s="576" t="e">
        <f>IF(AND('Matriz de Riesgos'!#REF!="Alta",'Matriz de Riesgos'!#REF!="Leve"),CONCATENATE("R",'Matriz de Riesgos'!#REF!),"")</f>
        <v>#REF!</v>
      </c>
      <c r="K20" s="577"/>
      <c r="L20" s="577" t="e">
        <f>IF(AND('Matriz de Riesgos'!#REF!="Alta",'Matriz de Riesgos'!#REF!="Leve"),CONCATENATE("R",'Matriz de Riesgos'!#REF!),"")</f>
        <v>#REF!</v>
      </c>
      <c r="M20" s="577"/>
      <c r="N20" s="577" t="e">
        <f>IF(AND('Matriz de Riesgos'!#REF!="Alta",'Matriz de Riesgos'!#REF!="Leve"),CONCATENATE("R",'Matriz de Riesgos'!$A$62),"")</f>
        <v>#REF!</v>
      </c>
      <c r="O20" s="578"/>
      <c r="P20" s="576" t="e">
        <f>IF(AND('Matriz de Riesgos'!#REF!="Alta",'Matriz de Riesgos'!#REF!="Menor"),CONCATENATE("R",'Matriz de Riesgos'!#REF!),"")</f>
        <v>#REF!</v>
      </c>
      <c r="Q20" s="577"/>
      <c r="R20" s="577" t="e">
        <f>IF(AND('Matriz de Riesgos'!#REF!="Alta",'Matriz de Riesgos'!#REF!="Menor"),CONCATENATE("R",'Matriz de Riesgos'!#REF!),"")</f>
        <v>#REF!</v>
      </c>
      <c r="S20" s="577"/>
      <c r="T20" s="577" t="e">
        <f>IF(AND('Matriz de Riesgos'!#REF!="Alta",'Matriz de Riesgos'!#REF!="Menor"),CONCATENATE("R",'Matriz de Riesgos'!$A$62),"")</f>
        <v>#REF!</v>
      </c>
      <c r="U20" s="578"/>
      <c r="V20" s="560" t="e">
        <f>IF(AND('Matriz de Riesgos'!#REF!="Alta",'Matriz de Riesgos'!#REF!="Moderado"),CONCATENATE("R",'Matriz de Riesgos'!#REF!),"")</f>
        <v>#REF!</v>
      </c>
      <c r="W20" s="556"/>
      <c r="X20" s="556" t="e">
        <f>IF(AND('Matriz de Riesgos'!#REF!="Alta",'Matriz de Riesgos'!#REF!="Moderado"),CONCATENATE("R",'Matriz de Riesgos'!#REF!),"")</f>
        <v>#REF!</v>
      </c>
      <c r="Y20" s="556"/>
      <c r="Z20" s="556" t="e">
        <f>IF(AND('Matriz de Riesgos'!#REF!="Alta",'Matriz de Riesgos'!#REF!="Moderado"),CONCATENATE("R",'Matriz de Riesgos'!$A$62),"")</f>
        <v>#REF!</v>
      </c>
      <c r="AA20" s="557"/>
      <c r="AB20" s="560" t="e">
        <f>IF(AND('Matriz de Riesgos'!#REF!="Alta",'Matriz de Riesgos'!#REF!="Mayor"),CONCATENATE("R",'Matriz de Riesgos'!#REF!),"")</f>
        <v>#REF!</v>
      </c>
      <c r="AC20" s="556"/>
      <c r="AD20" s="556" t="e">
        <f>IF(AND('Matriz de Riesgos'!#REF!="Alta",'Matriz de Riesgos'!#REF!="Mayor"),CONCATENATE("R",'Matriz de Riesgos'!#REF!),"")</f>
        <v>#REF!</v>
      </c>
      <c r="AE20" s="556"/>
      <c r="AF20" s="556" t="e">
        <f>IF(AND('Matriz de Riesgos'!#REF!="Alta",'Matriz de Riesgos'!#REF!="Mayor"),CONCATENATE("R",'Matriz de Riesgos'!$A$62),"")</f>
        <v>#REF!</v>
      </c>
      <c r="AG20" s="557"/>
      <c r="AH20" s="567" t="e">
        <f>IF(AND('Matriz de Riesgos'!#REF!="Alta",'Matriz de Riesgos'!#REF!="Catastrófico"),CONCATENATE("R",'Matriz de Riesgos'!#REF!),"")</f>
        <v>#REF!</v>
      </c>
      <c r="AI20" s="568"/>
      <c r="AJ20" s="568" t="e">
        <f>IF(AND('Matriz de Riesgos'!#REF!="Alta",'Matriz de Riesgos'!#REF!="Catastrófico"),CONCATENATE("R",'Matriz de Riesgos'!#REF!),"")</f>
        <v>#REF!</v>
      </c>
      <c r="AK20" s="568"/>
      <c r="AL20" s="568" t="e">
        <f>IF(AND('Matriz de Riesgos'!#REF!="Alta",'Matriz de Riesgos'!#REF!="Catastrófico"),CONCATENATE("R",'Matriz de Riesgos'!$A$62),"")</f>
        <v>#REF!</v>
      </c>
      <c r="AM20" s="569"/>
      <c r="AN20" s="69"/>
      <c r="AO20" s="523"/>
      <c r="AP20" s="524"/>
      <c r="AQ20" s="524"/>
      <c r="AR20" s="524"/>
      <c r="AS20" s="524"/>
      <c r="AT20" s="525"/>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x14ac:dyDescent="0.3">
      <c r="A21" s="69"/>
      <c r="B21" s="509"/>
      <c r="C21" s="509"/>
      <c r="D21" s="510"/>
      <c r="E21" s="553"/>
      <c r="F21" s="554"/>
      <c r="G21" s="554"/>
      <c r="H21" s="554"/>
      <c r="I21" s="554"/>
      <c r="J21" s="579"/>
      <c r="K21" s="580"/>
      <c r="L21" s="580"/>
      <c r="M21" s="580"/>
      <c r="N21" s="580"/>
      <c r="O21" s="581"/>
      <c r="P21" s="579"/>
      <c r="Q21" s="580"/>
      <c r="R21" s="580"/>
      <c r="S21" s="580"/>
      <c r="T21" s="580"/>
      <c r="U21" s="581"/>
      <c r="V21" s="564"/>
      <c r="W21" s="565"/>
      <c r="X21" s="565"/>
      <c r="Y21" s="565"/>
      <c r="Z21" s="565"/>
      <c r="AA21" s="566"/>
      <c r="AB21" s="564"/>
      <c r="AC21" s="565"/>
      <c r="AD21" s="565"/>
      <c r="AE21" s="565"/>
      <c r="AF21" s="565"/>
      <c r="AG21" s="566"/>
      <c r="AH21" s="570"/>
      <c r="AI21" s="571"/>
      <c r="AJ21" s="571"/>
      <c r="AK21" s="571"/>
      <c r="AL21" s="571"/>
      <c r="AM21" s="572"/>
      <c r="AN21" s="69"/>
      <c r="AO21" s="526"/>
      <c r="AP21" s="527"/>
      <c r="AQ21" s="527"/>
      <c r="AR21" s="527"/>
      <c r="AS21" s="527"/>
      <c r="AT21" s="528"/>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x14ac:dyDescent="0.25">
      <c r="A22" s="69"/>
      <c r="B22" s="509"/>
      <c r="C22" s="509"/>
      <c r="D22" s="510"/>
      <c r="E22" s="547" t="s">
        <v>947</v>
      </c>
      <c r="F22" s="548"/>
      <c r="G22" s="548"/>
      <c r="H22" s="548"/>
      <c r="I22" s="549"/>
      <c r="J22" s="582" t="str">
        <f>IF(AND('Matriz de Riesgos'!$N$12="Media",'Matriz de Riesgos'!$R$12="Leve"),CONCATENATE("R",'Matriz de Riesgos'!$A$12),"")</f>
        <v/>
      </c>
      <c r="K22" s="583"/>
      <c r="L22" s="583" t="str">
        <f>IF(AND('Matriz de Riesgos'!$N$15="Media",'Matriz de Riesgos'!$R$15="Leve"),CONCATENATE("R",'Matriz de Riesgos'!$A$15),"")</f>
        <v/>
      </c>
      <c r="M22" s="583"/>
      <c r="N22" s="583" t="str">
        <f>IF(AND('Matriz de Riesgos'!$N$21="Media",'Matriz de Riesgos'!$R$21="Leve"),CONCATENATE("R",'Matriz de Riesgos'!$A$21),"")</f>
        <v/>
      </c>
      <c r="O22" s="584"/>
      <c r="P22" s="582" t="str">
        <f>IF(AND('Matriz de Riesgos'!$N$12="Media",'Matriz de Riesgos'!$R$12="Menor"),CONCATENATE("R",'Matriz de Riesgos'!$A$12),"")</f>
        <v/>
      </c>
      <c r="Q22" s="583"/>
      <c r="R22" s="583" t="str">
        <f>IF(AND('Matriz de Riesgos'!$N$15="Media",'Matriz de Riesgos'!$R$15="Menor"),CONCATENATE("R",'Matriz de Riesgos'!$A$15),"")</f>
        <v/>
      </c>
      <c r="S22" s="583"/>
      <c r="T22" s="583" t="str">
        <f>IF(AND('Matriz de Riesgos'!$N$21="Media",'Matriz de Riesgos'!$R$21="Menor"),CONCATENATE("R",'Matriz de Riesgos'!$A$21),"")</f>
        <v/>
      </c>
      <c r="U22" s="584"/>
      <c r="V22" s="582" t="str">
        <f>IF(AND('Matriz de Riesgos'!$N$12="Media",'Matriz de Riesgos'!$R$12="Moderado"),CONCATENATE("R",'Matriz de Riesgos'!$A$12),"")</f>
        <v/>
      </c>
      <c r="W22" s="583"/>
      <c r="X22" s="583" t="str">
        <f>IF(AND('Matriz de Riesgos'!$N$15="Media",'Matriz de Riesgos'!$R$15="Moderado"),CONCATENATE("R",'Matriz de Riesgos'!$A$15),"")</f>
        <v>R</v>
      </c>
      <c r="Y22" s="583"/>
      <c r="Z22" s="583" t="str">
        <f>IF(AND('Matriz de Riesgos'!$N$21="Media",'Matriz de Riesgos'!$R$21="Moderado"),CONCATENATE("R",'Matriz de Riesgos'!$A$21),"")</f>
        <v>R</v>
      </c>
      <c r="AA22" s="584"/>
      <c r="AB22" s="558" t="str">
        <f>IF(AND('Matriz de Riesgos'!$N$12="Media",'Matriz de Riesgos'!$R$12="Mayor"),CONCATENATE("R",'Matriz de Riesgos'!$A$12),"")</f>
        <v/>
      </c>
      <c r="AC22" s="559"/>
      <c r="AD22" s="559" t="str">
        <f>IF(AND('Matriz de Riesgos'!$N$15="Media",'Matriz de Riesgos'!$R$15="Mayor"),CONCATENATE("R",'Matriz de Riesgos'!$A$15),"")</f>
        <v/>
      </c>
      <c r="AE22" s="559"/>
      <c r="AF22" s="559" t="str">
        <f>IF(AND('Matriz de Riesgos'!$N$21="Media",'Matriz de Riesgos'!$R$21="Mayor"),CONCATENATE("R",'Matriz de Riesgos'!$A$21),"")</f>
        <v/>
      </c>
      <c r="AG22" s="561"/>
      <c r="AH22" s="573" t="str">
        <f>IF(AND('Matriz de Riesgos'!$N$12="Media",'Matriz de Riesgos'!$R$12="Catastrófico"),CONCATENATE("R",'Matriz de Riesgos'!$A$12),"")</f>
        <v/>
      </c>
      <c r="AI22" s="574"/>
      <c r="AJ22" s="574" t="str">
        <f>IF(AND('Matriz de Riesgos'!$N$15="Media",'Matriz de Riesgos'!$R$15="Catastrófico"),CONCATENATE("R",'Matriz de Riesgos'!$A$15),"")</f>
        <v/>
      </c>
      <c r="AK22" s="574"/>
      <c r="AL22" s="574" t="str">
        <f>IF(AND('Matriz de Riesgos'!$N$21="Media",'Matriz de Riesgos'!$R$21="Catastrófico"),CONCATENATE("R",'Matriz de Riesgos'!$A$21),"")</f>
        <v/>
      </c>
      <c r="AM22" s="575"/>
      <c r="AN22" s="69"/>
      <c r="AO22" s="529" t="s">
        <v>948</v>
      </c>
      <c r="AP22" s="530"/>
      <c r="AQ22" s="530"/>
      <c r="AR22" s="530"/>
      <c r="AS22" s="530"/>
      <c r="AT22" s="531"/>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x14ac:dyDescent="0.25">
      <c r="A23" s="69"/>
      <c r="B23" s="509"/>
      <c r="C23" s="509"/>
      <c r="D23" s="510"/>
      <c r="E23" s="550"/>
      <c r="F23" s="551"/>
      <c r="G23" s="551"/>
      <c r="H23" s="551"/>
      <c r="I23" s="552"/>
      <c r="J23" s="576"/>
      <c r="K23" s="577"/>
      <c r="L23" s="577"/>
      <c r="M23" s="577"/>
      <c r="N23" s="577"/>
      <c r="O23" s="578"/>
      <c r="P23" s="576"/>
      <c r="Q23" s="577"/>
      <c r="R23" s="577"/>
      <c r="S23" s="577"/>
      <c r="T23" s="577"/>
      <c r="U23" s="578"/>
      <c r="V23" s="576"/>
      <c r="W23" s="577"/>
      <c r="X23" s="577"/>
      <c r="Y23" s="577"/>
      <c r="Z23" s="577"/>
      <c r="AA23" s="578"/>
      <c r="AB23" s="560"/>
      <c r="AC23" s="556"/>
      <c r="AD23" s="556"/>
      <c r="AE23" s="556"/>
      <c r="AF23" s="556"/>
      <c r="AG23" s="557"/>
      <c r="AH23" s="567"/>
      <c r="AI23" s="568"/>
      <c r="AJ23" s="568"/>
      <c r="AK23" s="568"/>
      <c r="AL23" s="568"/>
      <c r="AM23" s="569"/>
      <c r="AN23" s="69"/>
      <c r="AO23" s="532"/>
      <c r="AP23" s="533"/>
      <c r="AQ23" s="533"/>
      <c r="AR23" s="533"/>
      <c r="AS23" s="533"/>
      <c r="AT23" s="534"/>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x14ac:dyDescent="0.25">
      <c r="A24" s="69"/>
      <c r="B24" s="509"/>
      <c r="C24" s="509"/>
      <c r="D24" s="510"/>
      <c r="E24" s="550"/>
      <c r="F24" s="551"/>
      <c r="G24" s="551"/>
      <c r="H24" s="551"/>
      <c r="I24" s="552"/>
      <c r="J24" s="576" t="str">
        <f>IF(AND('Matriz de Riesgos'!$N$27="Media",'Matriz de Riesgos'!$R$27="Leve"),CONCATENATE("R",'Matriz de Riesgos'!$A$27),"")</f>
        <v/>
      </c>
      <c r="K24" s="577"/>
      <c r="L24" s="577" t="str">
        <f>IF(AND('Matriz de Riesgos'!$N$33="Media",'Matriz de Riesgos'!$R$33="Leve"),CONCATENATE("R",'Matriz de Riesgos'!$A$33),"")</f>
        <v/>
      </c>
      <c r="M24" s="577"/>
      <c r="N24" s="577" t="str">
        <f>IF(AND('Matriz de Riesgos'!$N$39="Media",'Matriz de Riesgos'!$R$39="Leve"),CONCATENATE("R",'Matriz de Riesgos'!$A$39),"")</f>
        <v/>
      </c>
      <c r="O24" s="578"/>
      <c r="P24" s="576" t="str">
        <f>IF(AND('Matriz de Riesgos'!$N$27="Media",'Matriz de Riesgos'!$R$27="Menor"),CONCATENATE("R",'Matriz de Riesgos'!$A$27),"")</f>
        <v/>
      </c>
      <c r="Q24" s="577"/>
      <c r="R24" s="577" t="str">
        <f>IF(AND('Matriz de Riesgos'!$N$33="Media",'Matriz de Riesgos'!$R$33="Menor"),CONCATENATE("R",'Matriz de Riesgos'!$A$33),"")</f>
        <v/>
      </c>
      <c r="S24" s="577"/>
      <c r="T24" s="577" t="str">
        <f>IF(AND('Matriz de Riesgos'!$N$39="Media",'Matriz de Riesgos'!$R$39="Menor"),CONCATENATE("R",'Matriz de Riesgos'!$A$39),"")</f>
        <v/>
      </c>
      <c r="U24" s="578"/>
      <c r="V24" s="576" t="str">
        <f>IF(AND('Matriz de Riesgos'!$N$27="Media",'Matriz de Riesgos'!$R$27="Moderado"),CONCATENATE("R",'Matriz de Riesgos'!$A$27),"")</f>
        <v/>
      </c>
      <c r="W24" s="577"/>
      <c r="X24" s="577" t="str">
        <f>IF(AND('Matriz de Riesgos'!$N$33="Media",'Matriz de Riesgos'!$R$33="Moderado"),CONCATENATE("R",'Matriz de Riesgos'!$A$33),"")</f>
        <v/>
      </c>
      <c r="Y24" s="577"/>
      <c r="Z24" s="577" t="str">
        <f>IF(AND('Matriz de Riesgos'!$N$39="Media",'Matriz de Riesgos'!$R$39="Moderado"),CONCATENATE("R",'Matriz de Riesgos'!$A$39),"")</f>
        <v/>
      </c>
      <c r="AA24" s="578"/>
      <c r="AB24" s="560" t="str">
        <f>IF(AND('Matriz de Riesgos'!$N$27="Media",'Matriz de Riesgos'!$R$27="Mayor"),CONCATENATE("R",'Matriz de Riesgos'!$A$27),"")</f>
        <v/>
      </c>
      <c r="AC24" s="556"/>
      <c r="AD24" s="556" t="str">
        <f>IF(AND('Matriz de Riesgos'!$N$33="Media",'Matriz de Riesgos'!$R$33="Mayor"),CONCATENATE("R",'Matriz de Riesgos'!$A$33),"")</f>
        <v/>
      </c>
      <c r="AE24" s="556"/>
      <c r="AF24" s="556" t="str">
        <f>IF(AND('Matriz de Riesgos'!$N$39="Media",'Matriz de Riesgos'!$R$39="Mayor"),CONCATENATE("R",'Matriz de Riesgos'!$A$39),"")</f>
        <v/>
      </c>
      <c r="AG24" s="557"/>
      <c r="AH24" s="567" t="str">
        <f>IF(AND('Matriz de Riesgos'!$N$27="Media",'Matriz de Riesgos'!$R$27="Catastrófico"),CONCATENATE("R",'Matriz de Riesgos'!$A$27),"")</f>
        <v/>
      </c>
      <c r="AI24" s="568"/>
      <c r="AJ24" s="568" t="str">
        <f>IF(AND('Matriz de Riesgos'!$N$33="Media",'Matriz de Riesgos'!$R$33="Catastrófico"),CONCATENATE("R",'Matriz de Riesgos'!$A$33),"")</f>
        <v/>
      </c>
      <c r="AK24" s="568"/>
      <c r="AL24" s="568" t="str">
        <f>IF(AND('Matriz de Riesgos'!$N$39="Media",'Matriz de Riesgos'!$R$39="Catastrófico"),CONCATENATE("R",'Matriz de Riesgos'!$A$39),"")</f>
        <v/>
      </c>
      <c r="AM24" s="569"/>
      <c r="AN24" s="69"/>
      <c r="AO24" s="532"/>
      <c r="AP24" s="533"/>
      <c r="AQ24" s="533"/>
      <c r="AR24" s="533"/>
      <c r="AS24" s="533"/>
      <c r="AT24" s="534"/>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x14ac:dyDescent="0.25">
      <c r="A25" s="69"/>
      <c r="B25" s="509"/>
      <c r="C25" s="509"/>
      <c r="D25" s="510"/>
      <c r="E25" s="550"/>
      <c r="F25" s="551"/>
      <c r="G25" s="551"/>
      <c r="H25" s="551"/>
      <c r="I25" s="552"/>
      <c r="J25" s="576"/>
      <c r="K25" s="577"/>
      <c r="L25" s="577"/>
      <c r="M25" s="577"/>
      <c r="N25" s="577"/>
      <c r="O25" s="578"/>
      <c r="P25" s="576"/>
      <c r="Q25" s="577"/>
      <c r="R25" s="577"/>
      <c r="S25" s="577"/>
      <c r="T25" s="577"/>
      <c r="U25" s="578"/>
      <c r="V25" s="576"/>
      <c r="W25" s="577"/>
      <c r="X25" s="577"/>
      <c r="Y25" s="577"/>
      <c r="Z25" s="577"/>
      <c r="AA25" s="578"/>
      <c r="AB25" s="560"/>
      <c r="AC25" s="556"/>
      <c r="AD25" s="556"/>
      <c r="AE25" s="556"/>
      <c r="AF25" s="556"/>
      <c r="AG25" s="557"/>
      <c r="AH25" s="567"/>
      <c r="AI25" s="568"/>
      <c r="AJ25" s="568"/>
      <c r="AK25" s="568"/>
      <c r="AL25" s="568"/>
      <c r="AM25" s="569"/>
      <c r="AN25" s="69"/>
      <c r="AO25" s="532"/>
      <c r="AP25" s="533"/>
      <c r="AQ25" s="533"/>
      <c r="AR25" s="533"/>
      <c r="AS25" s="533"/>
      <c r="AT25" s="534"/>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x14ac:dyDescent="0.25">
      <c r="A26" s="69"/>
      <c r="B26" s="509"/>
      <c r="C26" s="509"/>
      <c r="D26" s="510"/>
      <c r="E26" s="550"/>
      <c r="F26" s="551"/>
      <c r="G26" s="551"/>
      <c r="H26" s="551"/>
      <c r="I26" s="552"/>
      <c r="J26" s="576" t="str">
        <f>IF(AND('Matriz de Riesgos'!$N$45="Media",'Matriz de Riesgos'!$R$45="Leve"),CONCATENATE("R",'Matriz de Riesgos'!$A$45),"")</f>
        <v/>
      </c>
      <c r="K26" s="577"/>
      <c r="L26" s="577" t="str">
        <f>IF(AND('Matriz de Riesgos'!$N$51="Media",'Matriz de Riesgos'!$R$51="Leve"),CONCATENATE("R",'Matriz de Riesgos'!$A$51),"")</f>
        <v/>
      </c>
      <c r="M26" s="577"/>
      <c r="N26" s="577" t="e">
        <f>IF(AND('Matriz de Riesgos'!#REF!="Media",'Matriz de Riesgos'!#REF!="Leve"),CONCATENATE("R",'Matriz de Riesgos'!#REF!),"")</f>
        <v>#REF!</v>
      </c>
      <c r="O26" s="578"/>
      <c r="P26" s="576" t="str">
        <f>IF(AND('Matriz de Riesgos'!$N$45="Media",'Matriz de Riesgos'!$R$45="Menor"),CONCATENATE("R",'Matriz de Riesgos'!$A$45),"")</f>
        <v/>
      </c>
      <c r="Q26" s="577"/>
      <c r="R26" s="577" t="str">
        <f>IF(AND('Matriz de Riesgos'!$N$51="Media",'Matriz de Riesgos'!$R$51="Menor"),CONCATENATE("R",'Matriz de Riesgos'!$A$51),"")</f>
        <v/>
      </c>
      <c r="S26" s="577"/>
      <c r="T26" s="577" t="e">
        <f>IF(AND('Matriz de Riesgos'!#REF!="Media",'Matriz de Riesgos'!#REF!="Menor"),CONCATENATE("R",'Matriz de Riesgos'!#REF!),"")</f>
        <v>#REF!</v>
      </c>
      <c r="U26" s="578"/>
      <c r="V26" s="576" t="str">
        <f>IF(AND('Matriz de Riesgos'!$N$45="Media",'Matriz de Riesgos'!$R$45="Moderado"),CONCATENATE("R",'Matriz de Riesgos'!$A$45),"")</f>
        <v/>
      </c>
      <c r="W26" s="577"/>
      <c r="X26" s="577" t="str">
        <f>IF(AND('Matriz de Riesgos'!$N$51="Media",'Matriz de Riesgos'!$R$51="Moderado"),CONCATENATE("R",'Matriz de Riesgos'!$A$51),"")</f>
        <v/>
      </c>
      <c r="Y26" s="577"/>
      <c r="Z26" s="577" t="e">
        <f>IF(AND('Matriz de Riesgos'!#REF!="Media",'Matriz de Riesgos'!#REF!="Moderado"),CONCATENATE("R",'Matriz de Riesgos'!#REF!),"")</f>
        <v>#REF!</v>
      </c>
      <c r="AA26" s="578"/>
      <c r="AB26" s="560" t="str">
        <f>IF(AND('Matriz de Riesgos'!$N$45="Media",'Matriz de Riesgos'!$R$45="Mayor"),CONCATENATE("R",'Matriz de Riesgos'!$A$45),"")</f>
        <v/>
      </c>
      <c r="AC26" s="556"/>
      <c r="AD26" s="556" t="str">
        <f>IF(AND('Matriz de Riesgos'!$N$51="Media",'Matriz de Riesgos'!$R$51="Mayor"),CONCATENATE("R",'Matriz de Riesgos'!$A$51),"")</f>
        <v/>
      </c>
      <c r="AE26" s="556"/>
      <c r="AF26" s="556" t="e">
        <f>IF(AND('Matriz de Riesgos'!#REF!="Media",'Matriz de Riesgos'!#REF!="Mayor"),CONCATENATE("R",'Matriz de Riesgos'!#REF!),"")</f>
        <v>#REF!</v>
      </c>
      <c r="AG26" s="557"/>
      <c r="AH26" s="567" t="str">
        <f>IF(AND('Matriz de Riesgos'!$N$45="Media",'Matriz de Riesgos'!$R$45="Catastrófico"),CONCATENATE("R",'Matriz de Riesgos'!$A$45),"")</f>
        <v/>
      </c>
      <c r="AI26" s="568"/>
      <c r="AJ26" s="568" t="str">
        <f>IF(AND('Matriz de Riesgos'!$N$51="Media",'Matriz de Riesgos'!$R$51="Catastrófico"),CONCATENATE("R",'Matriz de Riesgos'!$A$51),"")</f>
        <v/>
      </c>
      <c r="AK26" s="568"/>
      <c r="AL26" s="568" t="e">
        <f>IF(AND('Matriz de Riesgos'!#REF!="Media",'Matriz de Riesgos'!#REF!="Catastrófico"),CONCATENATE("R",'Matriz de Riesgos'!#REF!),"")</f>
        <v>#REF!</v>
      </c>
      <c r="AM26" s="569"/>
      <c r="AN26" s="69"/>
      <c r="AO26" s="532"/>
      <c r="AP26" s="533"/>
      <c r="AQ26" s="533"/>
      <c r="AR26" s="533"/>
      <c r="AS26" s="533"/>
      <c r="AT26" s="534"/>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x14ac:dyDescent="0.25">
      <c r="A27" s="69"/>
      <c r="B27" s="509"/>
      <c r="C27" s="509"/>
      <c r="D27" s="510"/>
      <c r="E27" s="550"/>
      <c r="F27" s="551"/>
      <c r="G27" s="551"/>
      <c r="H27" s="551"/>
      <c r="I27" s="552"/>
      <c r="J27" s="576"/>
      <c r="K27" s="577"/>
      <c r="L27" s="577"/>
      <c r="M27" s="577"/>
      <c r="N27" s="577"/>
      <c r="O27" s="578"/>
      <c r="P27" s="576"/>
      <c r="Q27" s="577"/>
      <c r="R27" s="577"/>
      <c r="S27" s="577"/>
      <c r="T27" s="577"/>
      <c r="U27" s="578"/>
      <c r="V27" s="576"/>
      <c r="W27" s="577"/>
      <c r="X27" s="577"/>
      <c r="Y27" s="577"/>
      <c r="Z27" s="577"/>
      <c r="AA27" s="578"/>
      <c r="AB27" s="560"/>
      <c r="AC27" s="556"/>
      <c r="AD27" s="556"/>
      <c r="AE27" s="556"/>
      <c r="AF27" s="556"/>
      <c r="AG27" s="557"/>
      <c r="AH27" s="567"/>
      <c r="AI27" s="568"/>
      <c r="AJ27" s="568"/>
      <c r="AK27" s="568"/>
      <c r="AL27" s="568"/>
      <c r="AM27" s="569"/>
      <c r="AN27" s="69"/>
      <c r="AO27" s="532"/>
      <c r="AP27" s="533"/>
      <c r="AQ27" s="533"/>
      <c r="AR27" s="533"/>
      <c r="AS27" s="533"/>
      <c r="AT27" s="534"/>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x14ac:dyDescent="0.25">
      <c r="A28" s="69"/>
      <c r="B28" s="509"/>
      <c r="C28" s="509"/>
      <c r="D28" s="510"/>
      <c r="E28" s="550"/>
      <c r="F28" s="551"/>
      <c r="G28" s="551"/>
      <c r="H28" s="551"/>
      <c r="I28" s="552"/>
      <c r="J28" s="576" t="e">
        <f>IF(AND('Matriz de Riesgos'!#REF!="Media",'Matriz de Riesgos'!#REF!="Leve"),CONCATENATE("R",'Matriz de Riesgos'!#REF!),"")</f>
        <v>#REF!</v>
      </c>
      <c r="K28" s="577"/>
      <c r="L28" s="577" t="e">
        <f>IF(AND('Matriz de Riesgos'!#REF!="Media",'Matriz de Riesgos'!#REF!="Leve"),CONCATENATE("R",'Matriz de Riesgos'!#REF!),"")</f>
        <v>#REF!</v>
      </c>
      <c r="M28" s="577"/>
      <c r="N28" s="577" t="e">
        <f>IF(AND('Matriz de Riesgos'!#REF!="Media",'Matriz de Riesgos'!#REF!="Leve"),CONCATENATE("R",'Matriz de Riesgos'!$A$62),"")</f>
        <v>#REF!</v>
      </c>
      <c r="O28" s="578"/>
      <c r="P28" s="576" t="e">
        <f>IF(AND('Matriz de Riesgos'!#REF!="Media",'Matriz de Riesgos'!#REF!="Menor"),CONCATENATE("R",'Matriz de Riesgos'!#REF!),"")</f>
        <v>#REF!</v>
      </c>
      <c r="Q28" s="577"/>
      <c r="R28" s="577" t="e">
        <f>IF(AND('Matriz de Riesgos'!#REF!="Media",'Matriz de Riesgos'!#REF!="Menor"),CONCATENATE("R",'Matriz de Riesgos'!#REF!),"")</f>
        <v>#REF!</v>
      </c>
      <c r="S28" s="577"/>
      <c r="T28" s="577" t="e">
        <f>IF(AND('Matriz de Riesgos'!#REF!="Media",'Matriz de Riesgos'!#REF!="Menor"),CONCATENATE("R",'Matriz de Riesgos'!$A$62),"")</f>
        <v>#REF!</v>
      </c>
      <c r="U28" s="578"/>
      <c r="V28" s="576" t="e">
        <f>IF(AND('Matriz de Riesgos'!#REF!="Media",'Matriz de Riesgos'!#REF!="Moderado"),CONCATENATE("R",'Matriz de Riesgos'!#REF!),"")</f>
        <v>#REF!</v>
      </c>
      <c r="W28" s="577"/>
      <c r="X28" s="577" t="e">
        <f>IF(AND('Matriz de Riesgos'!#REF!="Media",'Matriz de Riesgos'!#REF!="Moderado"),CONCATENATE("R",'Matriz de Riesgos'!#REF!),"")</f>
        <v>#REF!</v>
      </c>
      <c r="Y28" s="577"/>
      <c r="Z28" s="577" t="e">
        <f>IF(AND('Matriz de Riesgos'!#REF!="Media",'Matriz de Riesgos'!#REF!="Moderado"),CONCATENATE("R",'Matriz de Riesgos'!$A$62),"")</f>
        <v>#REF!</v>
      </c>
      <c r="AA28" s="578"/>
      <c r="AB28" s="560" t="e">
        <f>IF(AND('Matriz de Riesgos'!#REF!="Media",'Matriz de Riesgos'!#REF!="Mayor"),CONCATENATE("R",'Matriz de Riesgos'!#REF!),"")</f>
        <v>#REF!</v>
      </c>
      <c r="AC28" s="556"/>
      <c r="AD28" s="556" t="e">
        <f>IF(AND('Matriz de Riesgos'!#REF!="Media",'Matriz de Riesgos'!#REF!="Mayor"),CONCATENATE("R",'Matriz de Riesgos'!#REF!),"")</f>
        <v>#REF!</v>
      </c>
      <c r="AE28" s="556"/>
      <c r="AF28" s="556" t="e">
        <f>IF(AND('Matriz de Riesgos'!#REF!="Media",'Matriz de Riesgos'!#REF!="Mayor"),CONCATENATE("R",'Matriz de Riesgos'!$A$62),"")</f>
        <v>#REF!</v>
      </c>
      <c r="AG28" s="557"/>
      <c r="AH28" s="567" t="e">
        <f>IF(AND('Matriz de Riesgos'!#REF!="Media",'Matriz de Riesgos'!#REF!="Catastrófico"),CONCATENATE("R",'Matriz de Riesgos'!#REF!),"")</f>
        <v>#REF!</v>
      </c>
      <c r="AI28" s="568"/>
      <c r="AJ28" s="568" t="e">
        <f>IF(AND('Matriz de Riesgos'!#REF!="Media",'Matriz de Riesgos'!#REF!="Catastrófico"),CONCATENATE("R",'Matriz de Riesgos'!#REF!),"")</f>
        <v>#REF!</v>
      </c>
      <c r="AK28" s="568"/>
      <c r="AL28" s="568" t="e">
        <f>IF(AND('Matriz de Riesgos'!#REF!="Media",'Matriz de Riesgos'!#REF!="Catastrófico"),CONCATENATE("R",'Matriz de Riesgos'!$A$62),"")</f>
        <v>#REF!</v>
      </c>
      <c r="AM28" s="569"/>
      <c r="AN28" s="69"/>
      <c r="AO28" s="532"/>
      <c r="AP28" s="533"/>
      <c r="AQ28" s="533"/>
      <c r="AR28" s="533"/>
      <c r="AS28" s="533"/>
      <c r="AT28" s="534"/>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75" thickBot="1" x14ac:dyDescent="0.3">
      <c r="A29" s="69"/>
      <c r="B29" s="509"/>
      <c r="C29" s="509"/>
      <c r="D29" s="510"/>
      <c r="E29" s="553"/>
      <c r="F29" s="554"/>
      <c r="G29" s="554"/>
      <c r="H29" s="554"/>
      <c r="I29" s="555"/>
      <c r="J29" s="576"/>
      <c r="K29" s="577"/>
      <c r="L29" s="577"/>
      <c r="M29" s="577"/>
      <c r="N29" s="577"/>
      <c r="O29" s="578"/>
      <c r="P29" s="579"/>
      <c r="Q29" s="580"/>
      <c r="R29" s="580"/>
      <c r="S29" s="580"/>
      <c r="T29" s="580"/>
      <c r="U29" s="581"/>
      <c r="V29" s="579"/>
      <c r="W29" s="580"/>
      <c r="X29" s="580"/>
      <c r="Y29" s="580"/>
      <c r="Z29" s="580"/>
      <c r="AA29" s="581"/>
      <c r="AB29" s="564"/>
      <c r="AC29" s="565"/>
      <c r="AD29" s="565"/>
      <c r="AE29" s="565"/>
      <c r="AF29" s="565"/>
      <c r="AG29" s="566"/>
      <c r="AH29" s="570"/>
      <c r="AI29" s="571"/>
      <c r="AJ29" s="571"/>
      <c r="AK29" s="571"/>
      <c r="AL29" s="571"/>
      <c r="AM29" s="572"/>
      <c r="AN29" s="69"/>
      <c r="AO29" s="535"/>
      <c r="AP29" s="536"/>
      <c r="AQ29" s="536"/>
      <c r="AR29" s="536"/>
      <c r="AS29" s="536"/>
      <c r="AT29" s="537"/>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x14ac:dyDescent="0.25">
      <c r="A30" s="69"/>
      <c r="B30" s="509"/>
      <c r="C30" s="509"/>
      <c r="D30" s="510"/>
      <c r="E30" s="547" t="s">
        <v>949</v>
      </c>
      <c r="F30" s="548"/>
      <c r="G30" s="548"/>
      <c r="H30" s="548"/>
      <c r="I30" s="548"/>
      <c r="J30" s="591" t="str">
        <f>IF(AND('Matriz de Riesgos'!$N$12="Baja",'Matriz de Riesgos'!$R$12="Leve"),CONCATENATE("R",'Matriz de Riesgos'!$A$12),"")</f>
        <v/>
      </c>
      <c r="K30" s="592"/>
      <c r="L30" s="592" t="str">
        <f>IF(AND('Matriz de Riesgos'!$N$15="Baja",'Matriz de Riesgos'!$R$15="Leve"),CONCATENATE("R",'Matriz de Riesgos'!$A$15),"")</f>
        <v/>
      </c>
      <c r="M30" s="592"/>
      <c r="N30" s="592" t="str">
        <f>IF(AND('Matriz de Riesgos'!$N$21="Baja",'Matriz de Riesgos'!$R$21="Leve"),CONCATENATE("R",'Matriz de Riesgos'!$A$21),"")</f>
        <v/>
      </c>
      <c r="O30" s="593"/>
      <c r="P30" s="583" t="str">
        <f>IF(AND('Matriz de Riesgos'!$N$12="Baja",'Matriz de Riesgos'!$R$12="Menor"),CONCATENATE("R",'Matriz de Riesgos'!$A$12),"")</f>
        <v/>
      </c>
      <c r="Q30" s="583"/>
      <c r="R30" s="583" t="str">
        <f>IF(AND('Matriz de Riesgos'!$N$15="Baja",'Matriz de Riesgos'!$R$15="Menor"),CONCATENATE("R",'Matriz de Riesgos'!$A$15),"")</f>
        <v/>
      </c>
      <c r="S30" s="583"/>
      <c r="T30" s="583" t="str">
        <f>IF(AND('Matriz de Riesgos'!$N$21="Baja",'Matriz de Riesgos'!$R$21="Menor"),CONCATENATE("R",'Matriz de Riesgos'!$A$21),"")</f>
        <v/>
      </c>
      <c r="U30" s="584"/>
      <c r="V30" s="582" t="str">
        <f>IF(AND('Matriz de Riesgos'!$N$12="Baja",'Matriz de Riesgos'!$R$12="Moderado"),CONCATENATE("R",'Matriz de Riesgos'!$A$12),"")</f>
        <v/>
      </c>
      <c r="W30" s="583"/>
      <c r="X30" s="583" t="str">
        <f>IF(AND('Matriz de Riesgos'!$N$15="Baja",'Matriz de Riesgos'!$R$15="Moderado"),CONCATENATE("R",'Matriz de Riesgos'!$A$15),"")</f>
        <v/>
      </c>
      <c r="Y30" s="583"/>
      <c r="Z30" s="583" t="str">
        <f>IF(AND('Matriz de Riesgos'!$N$21="Baja",'Matriz de Riesgos'!$R$21="Moderado"),CONCATENATE("R",'Matriz de Riesgos'!$A$21),"")</f>
        <v/>
      </c>
      <c r="AA30" s="584"/>
      <c r="AB30" s="558" t="str">
        <f>IF(AND('Matriz de Riesgos'!$N$12="Baja",'Matriz de Riesgos'!$R$12="Mayor"),CONCATENATE("R",'Matriz de Riesgos'!$A$12),"")</f>
        <v/>
      </c>
      <c r="AC30" s="559"/>
      <c r="AD30" s="559" t="str">
        <f>IF(AND('Matriz de Riesgos'!$N$15="Baja",'Matriz de Riesgos'!$R$15="Mayor"),CONCATENATE("R",'Matriz de Riesgos'!$A$15),"")</f>
        <v/>
      </c>
      <c r="AE30" s="559"/>
      <c r="AF30" s="559" t="str">
        <f>IF(AND('Matriz de Riesgos'!$N$21="Baja",'Matriz de Riesgos'!$R$21="Mayor"),CONCATENATE("R",'Matriz de Riesgos'!$A$21),"")</f>
        <v/>
      </c>
      <c r="AG30" s="561"/>
      <c r="AH30" s="573" t="str">
        <f>IF(AND('Matriz de Riesgos'!$N$12="Baja",'Matriz de Riesgos'!$R$12="Catastrófico"),CONCATENATE("R",'Matriz de Riesgos'!$A$12),"")</f>
        <v/>
      </c>
      <c r="AI30" s="574"/>
      <c r="AJ30" s="574" t="str">
        <f>IF(AND('Matriz de Riesgos'!$N$15="Baja",'Matriz de Riesgos'!$R$15="Catastrófico"),CONCATENATE("R",'Matriz de Riesgos'!$A$15),"")</f>
        <v/>
      </c>
      <c r="AK30" s="574"/>
      <c r="AL30" s="574" t="str">
        <f>IF(AND('Matriz de Riesgos'!$N$21="Baja",'Matriz de Riesgos'!$R$21="Catastrófico"),CONCATENATE("R",'Matriz de Riesgos'!$A$21),"")</f>
        <v/>
      </c>
      <c r="AM30" s="575"/>
      <c r="AN30" s="69"/>
      <c r="AO30" s="538" t="s">
        <v>950</v>
      </c>
      <c r="AP30" s="539"/>
      <c r="AQ30" s="539"/>
      <c r="AR30" s="539"/>
      <c r="AS30" s="539"/>
      <c r="AT30" s="540"/>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x14ac:dyDescent="0.25">
      <c r="A31" s="69"/>
      <c r="B31" s="509"/>
      <c r="C31" s="509"/>
      <c r="D31" s="510"/>
      <c r="E31" s="550"/>
      <c r="F31" s="551"/>
      <c r="G31" s="551"/>
      <c r="H31" s="551"/>
      <c r="I31" s="551"/>
      <c r="J31" s="587"/>
      <c r="K31" s="585"/>
      <c r="L31" s="585"/>
      <c r="M31" s="585"/>
      <c r="N31" s="585"/>
      <c r="O31" s="586"/>
      <c r="P31" s="577"/>
      <c r="Q31" s="577"/>
      <c r="R31" s="577"/>
      <c r="S31" s="577"/>
      <c r="T31" s="577"/>
      <c r="U31" s="578"/>
      <c r="V31" s="576"/>
      <c r="W31" s="577"/>
      <c r="X31" s="577"/>
      <c r="Y31" s="577"/>
      <c r="Z31" s="577"/>
      <c r="AA31" s="578"/>
      <c r="AB31" s="560"/>
      <c r="AC31" s="556"/>
      <c r="AD31" s="556"/>
      <c r="AE31" s="556"/>
      <c r="AF31" s="556"/>
      <c r="AG31" s="557"/>
      <c r="AH31" s="567"/>
      <c r="AI31" s="568"/>
      <c r="AJ31" s="568"/>
      <c r="AK31" s="568"/>
      <c r="AL31" s="568"/>
      <c r="AM31" s="569"/>
      <c r="AN31" s="69"/>
      <c r="AO31" s="541"/>
      <c r="AP31" s="542"/>
      <c r="AQ31" s="542"/>
      <c r="AR31" s="542"/>
      <c r="AS31" s="542"/>
      <c r="AT31" s="543"/>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x14ac:dyDescent="0.25">
      <c r="A32" s="69"/>
      <c r="B32" s="509"/>
      <c r="C32" s="509"/>
      <c r="D32" s="510"/>
      <c r="E32" s="550"/>
      <c r="F32" s="551"/>
      <c r="G32" s="551"/>
      <c r="H32" s="551"/>
      <c r="I32" s="551"/>
      <c r="J32" s="587" t="str">
        <f>IF(AND('Matriz de Riesgos'!$N$27="Baja",'Matriz de Riesgos'!$R$27="Leve"),CONCATENATE("R",'Matriz de Riesgos'!$A$27),"")</f>
        <v/>
      </c>
      <c r="K32" s="585"/>
      <c r="L32" s="585" t="str">
        <f>IF(AND('Matriz de Riesgos'!$N$33="Baja",'Matriz de Riesgos'!$R$33="Leve"),CONCATENATE("R",'Matriz de Riesgos'!$A$33),"")</f>
        <v/>
      </c>
      <c r="M32" s="585"/>
      <c r="N32" s="585" t="str">
        <f>IF(AND('Matriz de Riesgos'!$N$39="Baja",'Matriz de Riesgos'!$R$39="Leve"),CONCATENATE("R",'Matriz de Riesgos'!$A$39),"")</f>
        <v/>
      </c>
      <c r="O32" s="586"/>
      <c r="P32" s="577" t="str">
        <f>IF(AND('Matriz de Riesgos'!$N$27="Baja",'Matriz de Riesgos'!$R$27="Menor"),CONCATENATE("R",'Matriz de Riesgos'!$A$27),"")</f>
        <v/>
      </c>
      <c r="Q32" s="577"/>
      <c r="R32" s="577" t="str">
        <f>IF(AND('Matriz de Riesgos'!$N$33="Baja",'Matriz de Riesgos'!$R$33="Menor"),CONCATENATE("R",'Matriz de Riesgos'!$A$33),"")</f>
        <v/>
      </c>
      <c r="S32" s="577"/>
      <c r="T32" s="577" t="str">
        <f>IF(AND('Matriz de Riesgos'!$N$39="Baja",'Matriz de Riesgos'!$R$39="Menor"),CONCATENATE("R",'Matriz de Riesgos'!$A$39),"")</f>
        <v/>
      </c>
      <c r="U32" s="578"/>
      <c r="V32" s="576" t="str">
        <f>IF(AND('Matriz de Riesgos'!$N$27="Baja",'Matriz de Riesgos'!$R$27="Moderado"),CONCATENATE("R",'Matriz de Riesgos'!$A$27),"")</f>
        <v/>
      </c>
      <c r="W32" s="577"/>
      <c r="X32" s="577" t="str">
        <f>IF(AND('Matriz de Riesgos'!$N$33="Baja",'Matriz de Riesgos'!$R$33="Moderado"),CONCATENATE("R",'Matriz de Riesgos'!$A$33),"")</f>
        <v/>
      </c>
      <c r="Y32" s="577"/>
      <c r="Z32" s="577" t="str">
        <f>IF(AND('Matriz de Riesgos'!$N$39="Baja",'Matriz de Riesgos'!$R$39="Moderado"),CONCATENATE("R",'Matriz de Riesgos'!$A$39),"")</f>
        <v/>
      </c>
      <c r="AA32" s="578"/>
      <c r="AB32" s="560" t="str">
        <f>IF(AND('Matriz de Riesgos'!$N$27="Baja",'Matriz de Riesgos'!$R$27="Mayor"),CONCATENATE("R",'Matriz de Riesgos'!$A$27),"")</f>
        <v/>
      </c>
      <c r="AC32" s="556"/>
      <c r="AD32" s="556" t="str">
        <f>IF(AND('Matriz de Riesgos'!$N$33="Baja",'Matriz de Riesgos'!$R$33="Mayor"),CONCATENATE("R",'Matriz de Riesgos'!$A$33),"")</f>
        <v/>
      </c>
      <c r="AE32" s="556"/>
      <c r="AF32" s="556" t="str">
        <f>IF(AND('Matriz de Riesgos'!$N$39="Baja",'Matriz de Riesgos'!$R$39="Mayor"),CONCATENATE("R",'Matriz de Riesgos'!$A$39),"")</f>
        <v/>
      </c>
      <c r="AG32" s="557"/>
      <c r="AH32" s="567" t="str">
        <f>IF(AND('Matriz de Riesgos'!$N$27="Baja",'Matriz de Riesgos'!$R$27="Catastrófico"),CONCATENATE("R",'Matriz de Riesgos'!$A$27),"")</f>
        <v/>
      </c>
      <c r="AI32" s="568"/>
      <c r="AJ32" s="568" t="str">
        <f>IF(AND('Matriz de Riesgos'!$N$33="Baja",'Matriz de Riesgos'!$R$33="Catastrófico"),CONCATENATE("R",'Matriz de Riesgos'!$A$33),"")</f>
        <v/>
      </c>
      <c r="AK32" s="568"/>
      <c r="AL32" s="568" t="str">
        <f>IF(AND('Matriz de Riesgos'!$N$39="Baja",'Matriz de Riesgos'!$R$39="Catastrófico"),CONCATENATE("R",'Matriz de Riesgos'!$A$39),"")</f>
        <v/>
      </c>
      <c r="AM32" s="569"/>
      <c r="AN32" s="69"/>
      <c r="AO32" s="541"/>
      <c r="AP32" s="542"/>
      <c r="AQ32" s="542"/>
      <c r="AR32" s="542"/>
      <c r="AS32" s="542"/>
      <c r="AT32" s="543"/>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x14ac:dyDescent="0.25">
      <c r="A33" s="69"/>
      <c r="B33" s="509"/>
      <c r="C33" s="509"/>
      <c r="D33" s="510"/>
      <c r="E33" s="550"/>
      <c r="F33" s="551"/>
      <c r="G33" s="551"/>
      <c r="H33" s="551"/>
      <c r="I33" s="551"/>
      <c r="J33" s="587"/>
      <c r="K33" s="585"/>
      <c r="L33" s="585"/>
      <c r="M33" s="585"/>
      <c r="N33" s="585"/>
      <c r="O33" s="586"/>
      <c r="P33" s="577"/>
      <c r="Q33" s="577"/>
      <c r="R33" s="577"/>
      <c r="S33" s="577"/>
      <c r="T33" s="577"/>
      <c r="U33" s="578"/>
      <c r="V33" s="576"/>
      <c r="W33" s="577"/>
      <c r="X33" s="577"/>
      <c r="Y33" s="577"/>
      <c r="Z33" s="577"/>
      <c r="AA33" s="578"/>
      <c r="AB33" s="560"/>
      <c r="AC33" s="556"/>
      <c r="AD33" s="556"/>
      <c r="AE33" s="556"/>
      <c r="AF33" s="556"/>
      <c r="AG33" s="557"/>
      <c r="AH33" s="567"/>
      <c r="AI33" s="568"/>
      <c r="AJ33" s="568"/>
      <c r="AK33" s="568"/>
      <c r="AL33" s="568"/>
      <c r="AM33" s="569"/>
      <c r="AN33" s="69"/>
      <c r="AO33" s="541"/>
      <c r="AP33" s="542"/>
      <c r="AQ33" s="542"/>
      <c r="AR33" s="542"/>
      <c r="AS33" s="542"/>
      <c r="AT33" s="543"/>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x14ac:dyDescent="0.25">
      <c r="A34" s="69"/>
      <c r="B34" s="509"/>
      <c r="C34" s="509"/>
      <c r="D34" s="510"/>
      <c r="E34" s="550"/>
      <c r="F34" s="551"/>
      <c r="G34" s="551"/>
      <c r="H34" s="551"/>
      <c r="I34" s="551"/>
      <c r="J34" s="587" t="str">
        <f>IF(AND('Matriz de Riesgos'!$N$45="Baja",'Matriz de Riesgos'!$R$45="Leve"),CONCATENATE("R",'Matriz de Riesgos'!$A$45),"")</f>
        <v/>
      </c>
      <c r="K34" s="585"/>
      <c r="L34" s="585" t="str">
        <f>IF(AND('Matriz de Riesgos'!$N$51="Baja",'Matriz de Riesgos'!$R$51="Leve"),CONCATENATE("R",'Matriz de Riesgos'!$A$51),"")</f>
        <v/>
      </c>
      <c r="M34" s="585"/>
      <c r="N34" s="585" t="e">
        <f>IF(AND('Matriz de Riesgos'!#REF!="Baja",'Matriz de Riesgos'!#REF!="Leve"),CONCATENATE("R",'Matriz de Riesgos'!#REF!),"")</f>
        <v>#REF!</v>
      </c>
      <c r="O34" s="586"/>
      <c r="P34" s="577" t="str">
        <f>IF(AND('Matriz de Riesgos'!$N$45="Baja",'Matriz de Riesgos'!$R$45="Menor"),CONCATENATE("R",'Matriz de Riesgos'!$A$45),"")</f>
        <v/>
      </c>
      <c r="Q34" s="577"/>
      <c r="R34" s="577" t="str">
        <f>IF(AND('Matriz de Riesgos'!$N$51="Baja",'Matriz de Riesgos'!$R$51="Menor"),CONCATENATE("R",'Matriz de Riesgos'!$A$51),"")</f>
        <v/>
      </c>
      <c r="S34" s="577"/>
      <c r="T34" s="577" t="e">
        <f>IF(AND('Matriz de Riesgos'!#REF!="Baja",'Matriz de Riesgos'!#REF!="Menor"),CONCATENATE("R",'Matriz de Riesgos'!#REF!),"")</f>
        <v>#REF!</v>
      </c>
      <c r="U34" s="578"/>
      <c r="V34" s="576" t="str">
        <f>IF(AND('Matriz de Riesgos'!$N$45="Baja",'Matriz de Riesgos'!$R$45="Moderado"),CONCATENATE("R",'Matriz de Riesgos'!$A$45),"")</f>
        <v/>
      </c>
      <c r="W34" s="577"/>
      <c r="X34" s="577" t="str">
        <f>IF(AND('Matriz de Riesgos'!$N$51="Baja",'Matriz de Riesgos'!$R$51="Moderado"),CONCATENATE("R",'Matriz de Riesgos'!$A$51),"")</f>
        <v/>
      </c>
      <c r="Y34" s="577"/>
      <c r="Z34" s="577" t="e">
        <f>IF(AND('Matriz de Riesgos'!#REF!="Baja",'Matriz de Riesgos'!#REF!="Moderado"),CONCATENATE("R",'Matriz de Riesgos'!#REF!),"")</f>
        <v>#REF!</v>
      </c>
      <c r="AA34" s="578"/>
      <c r="AB34" s="560" t="str">
        <f>IF(AND('Matriz de Riesgos'!$N$45="Baja",'Matriz de Riesgos'!$R$45="Mayor"),CONCATENATE("R",'Matriz de Riesgos'!$A$45),"")</f>
        <v/>
      </c>
      <c r="AC34" s="556"/>
      <c r="AD34" s="556" t="str">
        <f>IF(AND('Matriz de Riesgos'!$N$51="Baja",'Matriz de Riesgos'!$R$51="Mayor"),CONCATENATE("R",'Matriz de Riesgos'!$A$51),"")</f>
        <v/>
      </c>
      <c r="AE34" s="556"/>
      <c r="AF34" s="556" t="e">
        <f>IF(AND('Matriz de Riesgos'!#REF!="Baja",'Matriz de Riesgos'!#REF!="Mayor"),CONCATENATE("R",'Matriz de Riesgos'!#REF!),"")</f>
        <v>#REF!</v>
      </c>
      <c r="AG34" s="557"/>
      <c r="AH34" s="567" t="str">
        <f>IF(AND('Matriz de Riesgos'!$N$45="Baja",'Matriz de Riesgos'!$R$45="Catastrófico"),CONCATENATE("R",'Matriz de Riesgos'!$A$45),"")</f>
        <v/>
      </c>
      <c r="AI34" s="568"/>
      <c r="AJ34" s="568" t="str">
        <f>IF(AND('Matriz de Riesgos'!$N$51="Baja",'Matriz de Riesgos'!$R$51="Catastrófico"),CONCATENATE("R",'Matriz de Riesgos'!$A$51),"")</f>
        <v/>
      </c>
      <c r="AK34" s="568"/>
      <c r="AL34" s="568" t="e">
        <f>IF(AND('Matriz de Riesgos'!#REF!="Baja",'Matriz de Riesgos'!#REF!="Catastrófico"),CONCATENATE("R",'Matriz de Riesgos'!#REF!),"")</f>
        <v>#REF!</v>
      </c>
      <c r="AM34" s="569"/>
      <c r="AN34" s="69"/>
      <c r="AO34" s="541"/>
      <c r="AP34" s="542"/>
      <c r="AQ34" s="542"/>
      <c r="AR34" s="542"/>
      <c r="AS34" s="542"/>
      <c r="AT34" s="543"/>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x14ac:dyDescent="0.25">
      <c r="A35" s="69"/>
      <c r="B35" s="509"/>
      <c r="C35" s="509"/>
      <c r="D35" s="510"/>
      <c r="E35" s="550"/>
      <c r="F35" s="551"/>
      <c r="G35" s="551"/>
      <c r="H35" s="551"/>
      <c r="I35" s="551"/>
      <c r="J35" s="587"/>
      <c r="K35" s="585"/>
      <c r="L35" s="585"/>
      <c r="M35" s="585"/>
      <c r="N35" s="585"/>
      <c r="O35" s="586"/>
      <c r="P35" s="577"/>
      <c r="Q35" s="577"/>
      <c r="R35" s="577"/>
      <c r="S35" s="577"/>
      <c r="T35" s="577"/>
      <c r="U35" s="578"/>
      <c r="V35" s="576"/>
      <c r="W35" s="577"/>
      <c r="X35" s="577"/>
      <c r="Y35" s="577"/>
      <c r="Z35" s="577"/>
      <c r="AA35" s="578"/>
      <c r="AB35" s="560"/>
      <c r="AC35" s="556"/>
      <c r="AD35" s="556"/>
      <c r="AE35" s="556"/>
      <c r="AF35" s="556"/>
      <c r="AG35" s="557"/>
      <c r="AH35" s="567"/>
      <c r="AI35" s="568"/>
      <c r="AJ35" s="568"/>
      <c r="AK35" s="568"/>
      <c r="AL35" s="568"/>
      <c r="AM35" s="569"/>
      <c r="AN35" s="69"/>
      <c r="AO35" s="541"/>
      <c r="AP35" s="542"/>
      <c r="AQ35" s="542"/>
      <c r="AR35" s="542"/>
      <c r="AS35" s="542"/>
      <c r="AT35" s="543"/>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x14ac:dyDescent="0.25">
      <c r="A36" s="69"/>
      <c r="B36" s="509"/>
      <c r="C36" s="509"/>
      <c r="D36" s="510"/>
      <c r="E36" s="550"/>
      <c r="F36" s="551"/>
      <c r="G36" s="551"/>
      <c r="H36" s="551"/>
      <c r="I36" s="551"/>
      <c r="J36" s="587" t="e">
        <f>IF(AND('Matriz de Riesgos'!#REF!="Baja",'Matriz de Riesgos'!#REF!="Leve"),CONCATENATE("R",'Matriz de Riesgos'!#REF!),"")</f>
        <v>#REF!</v>
      </c>
      <c r="K36" s="585"/>
      <c r="L36" s="585" t="e">
        <f>IF(AND('Matriz de Riesgos'!#REF!="Baja",'Matriz de Riesgos'!#REF!="Leve"),CONCATENATE("R",'Matriz de Riesgos'!#REF!),"")</f>
        <v>#REF!</v>
      </c>
      <c r="M36" s="585"/>
      <c r="N36" s="585" t="e">
        <f>IF(AND('Matriz de Riesgos'!#REF!="Baja",'Matriz de Riesgos'!#REF!="Leve"),CONCATENATE("R",'Matriz de Riesgos'!$A$62),"")</f>
        <v>#REF!</v>
      </c>
      <c r="O36" s="586"/>
      <c r="P36" s="577" t="e">
        <f>IF(AND('Matriz de Riesgos'!#REF!="Baja",'Matriz de Riesgos'!#REF!="Menor"),CONCATENATE("R",'Matriz de Riesgos'!#REF!),"")</f>
        <v>#REF!</v>
      </c>
      <c r="Q36" s="577"/>
      <c r="R36" s="577" t="e">
        <f>IF(AND('Matriz de Riesgos'!#REF!="Baja",'Matriz de Riesgos'!#REF!="Menor"),CONCATENATE("R",'Matriz de Riesgos'!#REF!),"")</f>
        <v>#REF!</v>
      </c>
      <c r="S36" s="577"/>
      <c r="T36" s="577" t="e">
        <f>IF(AND('Matriz de Riesgos'!#REF!="Baja",'Matriz de Riesgos'!#REF!="Menor"),CONCATENATE("R",'Matriz de Riesgos'!$A$62),"")</f>
        <v>#REF!</v>
      </c>
      <c r="U36" s="578"/>
      <c r="V36" s="576" t="e">
        <f>IF(AND('Matriz de Riesgos'!#REF!="Baja",'Matriz de Riesgos'!#REF!="Moderado"),CONCATENATE("R",'Matriz de Riesgos'!#REF!),"")</f>
        <v>#REF!</v>
      </c>
      <c r="W36" s="577"/>
      <c r="X36" s="577" t="e">
        <f>IF(AND('Matriz de Riesgos'!#REF!="Baja",'Matriz de Riesgos'!#REF!="Moderado"),CONCATENATE("R",'Matriz de Riesgos'!#REF!),"")</f>
        <v>#REF!</v>
      </c>
      <c r="Y36" s="577"/>
      <c r="Z36" s="577" t="e">
        <f>IF(AND('Matriz de Riesgos'!#REF!="Baja",'Matriz de Riesgos'!#REF!="Moderado"),CONCATENATE("R",'Matriz de Riesgos'!$A$62),"")</f>
        <v>#REF!</v>
      </c>
      <c r="AA36" s="578"/>
      <c r="AB36" s="560" t="e">
        <f>IF(AND('Matriz de Riesgos'!#REF!="Baja",'Matriz de Riesgos'!#REF!="Mayor"),CONCATENATE("R",'Matriz de Riesgos'!#REF!),"")</f>
        <v>#REF!</v>
      </c>
      <c r="AC36" s="556"/>
      <c r="AD36" s="556" t="e">
        <f>IF(AND('Matriz de Riesgos'!#REF!="Baja",'Matriz de Riesgos'!#REF!="Mayor"),CONCATENATE("R",'Matriz de Riesgos'!#REF!),"")</f>
        <v>#REF!</v>
      </c>
      <c r="AE36" s="556"/>
      <c r="AF36" s="556" t="e">
        <f>IF(AND('Matriz de Riesgos'!#REF!="Baja",'Matriz de Riesgos'!#REF!="Mayor"),CONCATENATE("R",'Matriz de Riesgos'!$A$62),"")</f>
        <v>#REF!</v>
      </c>
      <c r="AG36" s="557"/>
      <c r="AH36" s="567" t="e">
        <f>IF(AND('Matriz de Riesgos'!#REF!="Baja",'Matriz de Riesgos'!#REF!="Catastrófico"),CONCATENATE("R",'Matriz de Riesgos'!#REF!),"")</f>
        <v>#REF!</v>
      </c>
      <c r="AI36" s="568"/>
      <c r="AJ36" s="568" t="e">
        <f>IF(AND('Matriz de Riesgos'!#REF!="Baja",'Matriz de Riesgos'!#REF!="Catastrófico"),CONCATENATE("R",'Matriz de Riesgos'!#REF!),"")</f>
        <v>#REF!</v>
      </c>
      <c r="AK36" s="568"/>
      <c r="AL36" s="568" t="e">
        <f>IF(AND('Matriz de Riesgos'!#REF!="Baja",'Matriz de Riesgos'!#REF!="Catastrófico"),CONCATENATE("R",'Matriz de Riesgos'!$A$62),"")</f>
        <v>#REF!</v>
      </c>
      <c r="AM36" s="569"/>
      <c r="AN36" s="69"/>
      <c r="AO36" s="541"/>
      <c r="AP36" s="542"/>
      <c r="AQ36" s="542"/>
      <c r="AR36" s="542"/>
      <c r="AS36" s="542"/>
      <c r="AT36" s="543"/>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75" thickBot="1" x14ac:dyDescent="0.3">
      <c r="A37" s="69"/>
      <c r="B37" s="509"/>
      <c r="C37" s="509"/>
      <c r="D37" s="510"/>
      <c r="E37" s="553"/>
      <c r="F37" s="554"/>
      <c r="G37" s="554"/>
      <c r="H37" s="554"/>
      <c r="I37" s="554"/>
      <c r="J37" s="588"/>
      <c r="K37" s="589"/>
      <c r="L37" s="589"/>
      <c r="M37" s="589"/>
      <c r="N37" s="589"/>
      <c r="O37" s="590"/>
      <c r="P37" s="580"/>
      <c r="Q37" s="580"/>
      <c r="R37" s="580"/>
      <c r="S37" s="580"/>
      <c r="T37" s="580"/>
      <c r="U37" s="581"/>
      <c r="V37" s="579"/>
      <c r="W37" s="580"/>
      <c r="X37" s="580"/>
      <c r="Y37" s="580"/>
      <c r="Z37" s="580"/>
      <c r="AA37" s="581"/>
      <c r="AB37" s="564"/>
      <c r="AC37" s="565"/>
      <c r="AD37" s="565"/>
      <c r="AE37" s="565"/>
      <c r="AF37" s="565"/>
      <c r="AG37" s="566"/>
      <c r="AH37" s="570"/>
      <c r="AI37" s="571"/>
      <c r="AJ37" s="571"/>
      <c r="AK37" s="571"/>
      <c r="AL37" s="571"/>
      <c r="AM37" s="572"/>
      <c r="AN37" s="69"/>
      <c r="AO37" s="544"/>
      <c r="AP37" s="545"/>
      <c r="AQ37" s="545"/>
      <c r="AR37" s="545"/>
      <c r="AS37" s="545"/>
      <c r="AT37" s="546"/>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x14ac:dyDescent="0.25">
      <c r="A38" s="69"/>
      <c r="B38" s="509"/>
      <c r="C38" s="509"/>
      <c r="D38" s="510"/>
      <c r="E38" s="547" t="s">
        <v>951</v>
      </c>
      <c r="F38" s="548"/>
      <c r="G38" s="548"/>
      <c r="H38" s="548"/>
      <c r="I38" s="549"/>
      <c r="J38" s="591" t="str">
        <f>IF(AND('Matriz de Riesgos'!$N$12="Muy Baja",'Matriz de Riesgos'!$R$12="Leve"),CONCATENATE("R",'Matriz de Riesgos'!$A$12),"")</f>
        <v/>
      </c>
      <c r="K38" s="592"/>
      <c r="L38" s="592" t="str">
        <f>IF(AND('Matriz de Riesgos'!$N$15="Muy Baja",'Matriz de Riesgos'!$R$15="Leve"),CONCATENATE("R",'Matriz de Riesgos'!$A$15),"")</f>
        <v/>
      </c>
      <c r="M38" s="592"/>
      <c r="N38" s="592" t="str">
        <f>IF(AND('Matriz de Riesgos'!$N$21="Muy Baja",'Matriz de Riesgos'!$R$21="Leve"),CONCATENATE("R",'Matriz de Riesgos'!$A$21),"")</f>
        <v/>
      </c>
      <c r="O38" s="593"/>
      <c r="P38" s="591" t="str">
        <f>IF(AND('Matriz de Riesgos'!$N$12="Muy Baja",'Matriz de Riesgos'!$R$12="Menor"),CONCATENATE("R",'Matriz de Riesgos'!$A$12),"")</f>
        <v/>
      </c>
      <c r="Q38" s="592"/>
      <c r="R38" s="592" t="str">
        <f>IF(AND('Matriz de Riesgos'!$N$15="Muy Baja",'Matriz de Riesgos'!$R$15="Menor"),CONCATENATE("R",'Matriz de Riesgos'!$A$15),"")</f>
        <v/>
      </c>
      <c r="S38" s="592"/>
      <c r="T38" s="592" t="str">
        <f>IF(AND('Matriz de Riesgos'!$N$21="Muy Baja",'Matriz de Riesgos'!$R$21="Menor"),CONCATENATE("R",'Matriz de Riesgos'!$A$21),"")</f>
        <v/>
      </c>
      <c r="U38" s="593"/>
      <c r="V38" s="582" t="str">
        <f>IF(AND('Matriz de Riesgos'!$N$12="Muy Baja",'Matriz de Riesgos'!$R$12="Moderado"),CONCATENATE("R",'Matriz de Riesgos'!$A$12),"")</f>
        <v/>
      </c>
      <c r="W38" s="583"/>
      <c r="X38" s="583" t="str">
        <f>IF(AND('Matriz de Riesgos'!$N$15="Muy Baja",'Matriz de Riesgos'!$R$15="Moderado"),CONCATENATE("R",'Matriz de Riesgos'!$A$15),"")</f>
        <v/>
      </c>
      <c r="Y38" s="583"/>
      <c r="Z38" s="583" t="str">
        <f>IF(AND('Matriz de Riesgos'!$N$21="Muy Baja",'Matriz de Riesgos'!$R$21="Moderado"),CONCATENATE("R",'Matriz de Riesgos'!$A$21),"")</f>
        <v/>
      </c>
      <c r="AA38" s="584"/>
      <c r="AB38" s="558" t="str">
        <f>IF(AND('Matriz de Riesgos'!$N$12="Muy Baja",'Matriz de Riesgos'!$R$12="Mayor"),CONCATENATE("R",'Matriz de Riesgos'!$A$12),"")</f>
        <v/>
      </c>
      <c r="AC38" s="559"/>
      <c r="AD38" s="559" t="str">
        <f>IF(AND('Matriz de Riesgos'!$N$15="Muy Baja",'Matriz de Riesgos'!$R$15="Mayor"),CONCATENATE("R",'Matriz de Riesgos'!$A$15),"")</f>
        <v/>
      </c>
      <c r="AE38" s="559"/>
      <c r="AF38" s="559" t="str">
        <f>IF(AND('Matriz de Riesgos'!$N$21="Muy Baja",'Matriz de Riesgos'!$R$21="Mayor"),CONCATENATE("R",'Matriz de Riesgos'!$A$21),"")</f>
        <v/>
      </c>
      <c r="AG38" s="561"/>
      <c r="AH38" s="573" t="str">
        <f>IF(AND('Matriz de Riesgos'!$N$12="Muy Baja",'Matriz de Riesgos'!$R$12="Catastrófico"),CONCATENATE("R",'Matriz de Riesgos'!$A$12),"")</f>
        <v/>
      </c>
      <c r="AI38" s="574"/>
      <c r="AJ38" s="574" t="str">
        <f>IF(AND('Matriz de Riesgos'!$N$15="Muy Baja",'Matriz de Riesgos'!$R$15="Catastrófico"),CONCATENATE("R",'Matriz de Riesgos'!$A$15),"")</f>
        <v/>
      </c>
      <c r="AK38" s="574"/>
      <c r="AL38" s="574" t="str">
        <f>IF(AND('Matriz de Riesgos'!$N$21="Muy Baja",'Matriz de Riesgos'!$R$21="Catastrófico"),CONCATENATE("R",'Matriz de Riesgos'!$A$21),"")</f>
        <v/>
      </c>
      <c r="AM38" s="575"/>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x14ac:dyDescent="0.25">
      <c r="A39" s="69"/>
      <c r="B39" s="509"/>
      <c r="C39" s="509"/>
      <c r="D39" s="510"/>
      <c r="E39" s="550"/>
      <c r="F39" s="551"/>
      <c r="G39" s="551"/>
      <c r="H39" s="551"/>
      <c r="I39" s="552"/>
      <c r="J39" s="587"/>
      <c r="K39" s="585"/>
      <c r="L39" s="585"/>
      <c r="M39" s="585"/>
      <c r="N39" s="585"/>
      <c r="O39" s="586"/>
      <c r="P39" s="587"/>
      <c r="Q39" s="585"/>
      <c r="R39" s="585"/>
      <c r="S39" s="585"/>
      <c r="T39" s="585"/>
      <c r="U39" s="586"/>
      <c r="V39" s="576"/>
      <c r="W39" s="577"/>
      <c r="X39" s="577"/>
      <c r="Y39" s="577"/>
      <c r="Z39" s="577"/>
      <c r="AA39" s="578"/>
      <c r="AB39" s="560"/>
      <c r="AC39" s="556"/>
      <c r="AD39" s="556"/>
      <c r="AE39" s="556"/>
      <c r="AF39" s="556"/>
      <c r="AG39" s="557"/>
      <c r="AH39" s="567"/>
      <c r="AI39" s="568"/>
      <c r="AJ39" s="568"/>
      <c r="AK39" s="568"/>
      <c r="AL39" s="568"/>
      <c r="AM39" s="5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x14ac:dyDescent="0.25">
      <c r="A40" s="69"/>
      <c r="B40" s="509"/>
      <c r="C40" s="509"/>
      <c r="D40" s="510"/>
      <c r="E40" s="550"/>
      <c r="F40" s="551"/>
      <c r="G40" s="551"/>
      <c r="H40" s="551"/>
      <c r="I40" s="552"/>
      <c r="J40" s="587" t="str">
        <f>IF(AND('Matriz de Riesgos'!$N$27="Muy Baja",'Matriz de Riesgos'!$R$27="Leve"),CONCATENATE("R",'Matriz de Riesgos'!$A$27),"")</f>
        <v/>
      </c>
      <c r="K40" s="585"/>
      <c r="L40" s="585" t="str">
        <f>IF(AND('Matriz de Riesgos'!$N$33="Muy Baja",'Matriz de Riesgos'!$R$33="Leve"),CONCATENATE("R",'Matriz de Riesgos'!$A$33),"")</f>
        <v/>
      </c>
      <c r="M40" s="585"/>
      <c r="N40" s="585" t="str">
        <f>IF(AND('Matriz de Riesgos'!$N$39="Muy Baja",'Matriz de Riesgos'!$R$39="Leve"),CONCATENATE("R",'Matriz de Riesgos'!$A$39),"")</f>
        <v/>
      </c>
      <c r="O40" s="586"/>
      <c r="P40" s="587" t="str">
        <f>IF(AND('Matriz de Riesgos'!$N$27="Muy Baja",'Matriz de Riesgos'!$R$27="Menor"),CONCATENATE("R",'Matriz de Riesgos'!$A$27),"")</f>
        <v/>
      </c>
      <c r="Q40" s="585"/>
      <c r="R40" s="585" t="str">
        <f>IF(AND('Matriz de Riesgos'!$N$33="Muy Baja",'Matriz de Riesgos'!$R$33="Menor"),CONCATENATE("R",'Matriz de Riesgos'!$A$33),"")</f>
        <v/>
      </c>
      <c r="S40" s="585"/>
      <c r="T40" s="585" t="str">
        <f>IF(AND('Matriz de Riesgos'!$N$39="Muy Baja",'Matriz de Riesgos'!$R$39="Menor"),CONCATENATE("R",'Matriz de Riesgos'!$A$39),"")</f>
        <v/>
      </c>
      <c r="U40" s="586"/>
      <c r="V40" s="576" t="str">
        <f>IF(AND('Matriz de Riesgos'!$N$27="Muy Baja",'Matriz de Riesgos'!$R$27="Moderado"),CONCATENATE("R",'Matriz de Riesgos'!$A$27),"")</f>
        <v/>
      </c>
      <c r="W40" s="577"/>
      <c r="X40" s="577" t="str">
        <f>IF(AND('Matriz de Riesgos'!$N$33="Muy Baja",'Matriz de Riesgos'!$R$33="Moderado"),CONCATENATE("R",'Matriz de Riesgos'!$A$33),"")</f>
        <v/>
      </c>
      <c r="Y40" s="577"/>
      <c r="Z40" s="577" t="str">
        <f>IF(AND('Matriz de Riesgos'!$N$39="Muy Baja",'Matriz de Riesgos'!$R$39="Moderado"),CONCATENATE("R",'Matriz de Riesgos'!$A$39),"")</f>
        <v/>
      </c>
      <c r="AA40" s="578"/>
      <c r="AB40" s="560" t="str">
        <f>IF(AND('Matriz de Riesgos'!$N$27="Muy Baja",'Matriz de Riesgos'!$R$27="Mayor"),CONCATENATE("R",'Matriz de Riesgos'!$A$27),"")</f>
        <v/>
      </c>
      <c r="AC40" s="556"/>
      <c r="AD40" s="556" t="str">
        <f>IF(AND('Matriz de Riesgos'!$N$33="Muy Baja",'Matriz de Riesgos'!$R$33="Mayor"),CONCATENATE("R",'Matriz de Riesgos'!$A$33),"")</f>
        <v/>
      </c>
      <c r="AE40" s="556"/>
      <c r="AF40" s="556" t="str">
        <f>IF(AND('Matriz de Riesgos'!$N$39="Muy Baja",'Matriz de Riesgos'!$R$39="Mayor"),CONCATENATE("R",'Matriz de Riesgos'!$A$39),"")</f>
        <v/>
      </c>
      <c r="AG40" s="557"/>
      <c r="AH40" s="567" t="str">
        <f>IF(AND('Matriz de Riesgos'!$N$27="Muy Baja",'Matriz de Riesgos'!$R$27="Catastrófico"),CONCATENATE("R",'Matriz de Riesgos'!$A$27),"")</f>
        <v/>
      </c>
      <c r="AI40" s="568"/>
      <c r="AJ40" s="568" t="str">
        <f>IF(AND('Matriz de Riesgos'!$N$33="Muy Baja",'Matriz de Riesgos'!$R$33="Catastrófico"),CONCATENATE("R",'Matriz de Riesgos'!$A$33),"")</f>
        <v/>
      </c>
      <c r="AK40" s="568"/>
      <c r="AL40" s="568" t="str">
        <f>IF(AND('Matriz de Riesgos'!$N$39="Muy Baja",'Matriz de Riesgos'!$R$39="Catastrófico"),CONCATENATE("R",'Matriz de Riesgos'!$A$39),"")</f>
        <v/>
      </c>
      <c r="AM40" s="5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x14ac:dyDescent="0.25">
      <c r="A41" s="69"/>
      <c r="B41" s="509"/>
      <c r="C41" s="509"/>
      <c r="D41" s="510"/>
      <c r="E41" s="550"/>
      <c r="F41" s="551"/>
      <c r="G41" s="551"/>
      <c r="H41" s="551"/>
      <c r="I41" s="552"/>
      <c r="J41" s="587"/>
      <c r="K41" s="585"/>
      <c r="L41" s="585"/>
      <c r="M41" s="585"/>
      <c r="N41" s="585"/>
      <c r="O41" s="586"/>
      <c r="P41" s="587"/>
      <c r="Q41" s="585"/>
      <c r="R41" s="585"/>
      <c r="S41" s="585"/>
      <c r="T41" s="585"/>
      <c r="U41" s="586"/>
      <c r="V41" s="576"/>
      <c r="W41" s="577"/>
      <c r="X41" s="577"/>
      <c r="Y41" s="577"/>
      <c r="Z41" s="577"/>
      <c r="AA41" s="578"/>
      <c r="AB41" s="560"/>
      <c r="AC41" s="556"/>
      <c r="AD41" s="556"/>
      <c r="AE41" s="556"/>
      <c r="AF41" s="556"/>
      <c r="AG41" s="557"/>
      <c r="AH41" s="567"/>
      <c r="AI41" s="568"/>
      <c r="AJ41" s="568"/>
      <c r="AK41" s="568"/>
      <c r="AL41" s="568"/>
      <c r="AM41" s="5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x14ac:dyDescent="0.25">
      <c r="A42" s="69"/>
      <c r="B42" s="509"/>
      <c r="C42" s="509"/>
      <c r="D42" s="510"/>
      <c r="E42" s="550"/>
      <c r="F42" s="551"/>
      <c r="G42" s="551"/>
      <c r="H42" s="551"/>
      <c r="I42" s="552"/>
      <c r="J42" s="587" t="str">
        <f>IF(AND('Matriz de Riesgos'!$N$45="Muy Baja",'Matriz de Riesgos'!$R$45="Leve"),CONCATENATE("R",'Matriz de Riesgos'!$A$45),"")</f>
        <v/>
      </c>
      <c r="K42" s="585"/>
      <c r="L42" s="585" t="str">
        <f>IF(AND('Matriz de Riesgos'!$N$51="Muy Baja",'Matriz de Riesgos'!$R$51="Leve"),CONCATENATE("R",'Matriz de Riesgos'!$A$51),"")</f>
        <v/>
      </c>
      <c r="M42" s="585"/>
      <c r="N42" s="585" t="e">
        <f>IF(AND('Matriz de Riesgos'!#REF!="Muy Baja",'Matriz de Riesgos'!#REF!="Leve"),CONCATENATE("R",'Matriz de Riesgos'!#REF!),"")</f>
        <v>#REF!</v>
      </c>
      <c r="O42" s="586"/>
      <c r="P42" s="587" t="str">
        <f>IF(AND('Matriz de Riesgos'!$N$45="Muy Baja",'Matriz de Riesgos'!$R$45="Menor"),CONCATENATE("R",'Matriz de Riesgos'!$A$45),"")</f>
        <v/>
      </c>
      <c r="Q42" s="585"/>
      <c r="R42" s="585" t="str">
        <f>IF(AND('Matriz de Riesgos'!$N$51="Muy Baja",'Matriz de Riesgos'!$R$51="Menor"),CONCATENATE("R",'Matriz de Riesgos'!$A$51),"")</f>
        <v/>
      </c>
      <c r="S42" s="585"/>
      <c r="T42" s="585" t="e">
        <f>IF(AND('Matriz de Riesgos'!#REF!="Muy Baja",'Matriz de Riesgos'!#REF!="Menor"),CONCATENATE("R",'Matriz de Riesgos'!#REF!),"")</f>
        <v>#REF!</v>
      </c>
      <c r="U42" s="586"/>
      <c r="V42" s="576" t="str">
        <f>IF(AND('Matriz de Riesgos'!$N$45="Muy Baja",'Matriz de Riesgos'!$R$45="Moderado"),CONCATENATE("R",'Matriz de Riesgos'!$A$45),"")</f>
        <v/>
      </c>
      <c r="W42" s="577"/>
      <c r="X42" s="577" t="str">
        <f>IF(AND('Matriz de Riesgos'!$N$51="Muy Baja",'Matriz de Riesgos'!$R$51="Moderado"),CONCATENATE("R",'Matriz de Riesgos'!$A$51),"")</f>
        <v/>
      </c>
      <c r="Y42" s="577"/>
      <c r="Z42" s="577" t="e">
        <f>IF(AND('Matriz de Riesgos'!#REF!="Muy Baja",'Matriz de Riesgos'!#REF!="Moderado"),CONCATENATE("R",'Matriz de Riesgos'!#REF!),"")</f>
        <v>#REF!</v>
      </c>
      <c r="AA42" s="578"/>
      <c r="AB42" s="560" t="str">
        <f>IF(AND('Matriz de Riesgos'!$N$45="Muy Baja",'Matriz de Riesgos'!$R$45="Mayor"),CONCATENATE("R",'Matriz de Riesgos'!$A$45),"")</f>
        <v/>
      </c>
      <c r="AC42" s="556"/>
      <c r="AD42" s="556" t="str">
        <f>IF(AND('Matriz de Riesgos'!$N$51="Muy Baja",'Matriz de Riesgos'!$R$51="Mayor"),CONCATENATE("R",'Matriz de Riesgos'!$A$51),"")</f>
        <v/>
      </c>
      <c r="AE42" s="556"/>
      <c r="AF42" s="556" t="e">
        <f>IF(AND('Matriz de Riesgos'!#REF!="Muy Baja",'Matriz de Riesgos'!#REF!="Mayor"),CONCATENATE("R",'Matriz de Riesgos'!#REF!),"")</f>
        <v>#REF!</v>
      </c>
      <c r="AG42" s="557"/>
      <c r="AH42" s="567" t="str">
        <f>IF(AND('Matriz de Riesgos'!$N$45="Muy Baja",'Matriz de Riesgos'!$R$45="Catastrófico"),CONCATENATE("R",'Matriz de Riesgos'!$A$45),"")</f>
        <v/>
      </c>
      <c r="AI42" s="568"/>
      <c r="AJ42" s="568" t="str">
        <f>IF(AND('Matriz de Riesgos'!$N$51="Muy Baja",'Matriz de Riesgos'!$R$51="Catastrófico"),CONCATENATE("R",'Matriz de Riesgos'!$A$51),"")</f>
        <v/>
      </c>
      <c r="AK42" s="568"/>
      <c r="AL42" s="568" t="e">
        <f>IF(AND('Matriz de Riesgos'!#REF!="Muy Baja",'Matriz de Riesgos'!#REF!="Catastrófico"),CONCATENATE("R",'Matriz de Riesgos'!#REF!),"")</f>
        <v>#REF!</v>
      </c>
      <c r="AM42" s="5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x14ac:dyDescent="0.25">
      <c r="A43" s="69"/>
      <c r="B43" s="509"/>
      <c r="C43" s="509"/>
      <c r="D43" s="510"/>
      <c r="E43" s="550"/>
      <c r="F43" s="551"/>
      <c r="G43" s="551"/>
      <c r="H43" s="551"/>
      <c r="I43" s="552"/>
      <c r="J43" s="587"/>
      <c r="K43" s="585"/>
      <c r="L43" s="585"/>
      <c r="M43" s="585"/>
      <c r="N43" s="585"/>
      <c r="O43" s="586"/>
      <c r="P43" s="587"/>
      <c r="Q43" s="585"/>
      <c r="R43" s="585"/>
      <c r="S43" s="585"/>
      <c r="T43" s="585"/>
      <c r="U43" s="586"/>
      <c r="V43" s="576"/>
      <c r="W43" s="577"/>
      <c r="X43" s="577"/>
      <c r="Y43" s="577"/>
      <c r="Z43" s="577"/>
      <c r="AA43" s="578"/>
      <c r="AB43" s="560"/>
      <c r="AC43" s="556"/>
      <c r="AD43" s="556"/>
      <c r="AE43" s="556"/>
      <c r="AF43" s="556"/>
      <c r="AG43" s="557"/>
      <c r="AH43" s="567"/>
      <c r="AI43" s="568"/>
      <c r="AJ43" s="568"/>
      <c r="AK43" s="568"/>
      <c r="AL43" s="568"/>
      <c r="AM43" s="5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x14ac:dyDescent="0.25">
      <c r="A44" s="69"/>
      <c r="B44" s="509"/>
      <c r="C44" s="509"/>
      <c r="D44" s="510"/>
      <c r="E44" s="550"/>
      <c r="F44" s="551"/>
      <c r="G44" s="551"/>
      <c r="H44" s="551"/>
      <c r="I44" s="552"/>
      <c r="J44" s="587" t="e">
        <f>IF(AND('Matriz de Riesgos'!#REF!="Muy Baja",'Matriz de Riesgos'!#REF!="Leve"),CONCATENATE("R",'Matriz de Riesgos'!#REF!),"")</f>
        <v>#REF!</v>
      </c>
      <c r="K44" s="585"/>
      <c r="L44" s="585" t="e">
        <f>IF(AND('Matriz de Riesgos'!#REF!="Muy Baja",'Matriz de Riesgos'!#REF!="Leve"),CONCATENATE("R",'Matriz de Riesgos'!#REF!),"")</f>
        <v>#REF!</v>
      </c>
      <c r="M44" s="585"/>
      <c r="N44" s="585" t="e">
        <f>IF(AND('Matriz de Riesgos'!#REF!="Muy Baja",'Matriz de Riesgos'!#REF!="Leve"),CONCATENATE("R",'Matriz de Riesgos'!$A$62),"")</f>
        <v>#REF!</v>
      </c>
      <c r="O44" s="586"/>
      <c r="P44" s="587" t="e">
        <f>IF(AND('Matriz de Riesgos'!#REF!="Muy Baja",'Matriz de Riesgos'!#REF!="Menor"),CONCATENATE("R",'Matriz de Riesgos'!#REF!),"")</f>
        <v>#REF!</v>
      </c>
      <c r="Q44" s="585"/>
      <c r="R44" s="585" t="e">
        <f>IF(AND('Matriz de Riesgos'!#REF!="Muy Baja",'Matriz de Riesgos'!#REF!="Menor"),CONCATENATE("R",'Matriz de Riesgos'!#REF!),"")</f>
        <v>#REF!</v>
      </c>
      <c r="S44" s="585"/>
      <c r="T44" s="585" t="e">
        <f>IF(AND('Matriz de Riesgos'!#REF!="Muy Baja",'Matriz de Riesgos'!#REF!="Menor"),CONCATENATE("R",'Matriz de Riesgos'!$A$62),"")</f>
        <v>#REF!</v>
      </c>
      <c r="U44" s="586"/>
      <c r="V44" s="576" t="e">
        <f>IF(AND('Matriz de Riesgos'!#REF!="Muy Baja",'Matriz de Riesgos'!#REF!="Moderado"),CONCATENATE("R",'Matriz de Riesgos'!#REF!),"")</f>
        <v>#REF!</v>
      </c>
      <c r="W44" s="577"/>
      <c r="X44" s="577" t="e">
        <f>IF(AND('Matriz de Riesgos'!#REF!="Muy Baja",'Matriz de Riesgos'!#REF!="Moderado"),CONCATENATE("R",'Matriz de Riesgos'!#REF!),"")</f>
        <v>#REF!</v>
      </c>
      <c r="Y44" s="577"/>
      <c r="Z44" s="577" t="e">
        <f>IF(AND('Matriz de Riesgos'!#REF!="Muy Baja",'Matriz de Riesgos'!#REF!="Moderado"),CONCATENATE("R",'Matriz de Riesgos'!$A$62),"")</f>
        <v>#REF!</v>
      </c>
      <c r="AA44" s="578"/>
      <c r="AB44" s="560" t="e">
        <f>IF(AND('Matriz de Riesgos'!#REF!="Muy Baja",'Matriz de Riesgos'!#REF!="Mayor"),CONCATENATE("R",'Matriz de Riesgos'!#REF!),"")</f>
        <v>#REF!</v>
      </c>
      <c r="AC44" s="556"/>
      <c r="AD44" s="556" t="e">
        <f>IF(AND('Matriz de Riesgos'!#REF!="Muy Baja",'Matriz de Riesgos'!#REF!="Mayor"),CONCATENATE("R",'Matriz de Riesgos'!#REF!),"")</f>
        <v>#REF!</v>
      </c>
      <c r="AE44" s="556"/>
      <c r="AF44" s="556" t="e">
        <f>IF(AND('Matriz de Riesgos'!#REF!="Muy Baja",'Matriz de Riesgos'!#REF!="Mayor"),CONCATENATE("R",'Matriz de Riesgos'!$A$62),"")</f>
        <v>#REF!</v>
      </c>
      <c r="AG44" s="557"/>
      <c r="AH44" s="567" t="e">
        <f>IF(AND('Matriz de Riesgos'!#REF!="Muy Baja",'Matriz de Riesgos'!#REF!="Catastrófico"),CONCATENATE("R",'Matriz de Riesgos'!#REF!),"")</f>
        <v>#REF!</v>
      </c>
      <c r="AI44" s="568"/>
      <c r="AJ44" s="568" t="e">
        <f>IF(AND('Matriz de Riesgos'!#REF!="Muy Baja",'Matriz de Riesgos'!#REF!="Catastrófico"),CONCATENATE("R",'Matriz de Riesgos'!#REF!),"")</f>
        <v>#REF!</v>
      </c>
      <c r="AK44" s="568"/>
      <c r="AL44" s="568" t="e">
        <f>IF(AND('Matriz de Riesgos'!#REF!="Muy Baja",'Matriz de Riesgos'!#REF!="Catastrófico"),CONCATENATE("R",'Matriz de Riesgos'!$A$62),"")</f>
        <v>#REF!</v>
      </c>
      <c r="AM44" s="5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75" thickBot="1" x14ac:dyDescent="0.3">
      <c r="A45" s="69"/>
      <c r="B45" s="509"/>
      <c r="C45" s="509"/>
      <c r="D45" s="510"/>
      <c r="E45" s="553"/>
      <c r="F45" s="554"/>
      <c r="G45" s="554"/>
      <c r="H45" s="554"/>
      <c r="I45" s="555"/>
      <c r="J45" s="588"/>
      <c r="K45" s="589"/>
      <c r="L45" s="589"/>
      <c r="M45" s="589"/>
      <c r="N45" s="589"/>
      <c r="O45" s="590"/>
      <c r="P45" s="588"/>
      <c r="Q45" s="589"/>
      <c r="R45" s="589"/>
      <c r="S45" s="589"/>
      <c r="T45" s="589"/>
      <c r="U45" s="590"/>
      <c r="V45" s="579"/>
      <c r="W45" s="580"/>
      <c r="X45" s="580"/>
      <c r="Y45" s="580"/>
      <c r="Z45" s="580"/>
      <c r="AA45" s="581"/>
      <c r="AB45" s="564"/>
      <c r="AC45" s="565"/>
      <c r="AD45" s="565"/>
      <c r="AE45" s="565"/>
      <c r="AF45" s="565"/>
      <c r="AG45" s="566"/>
      <c r="AH45" s="570"/>
      <c r="AI45" s="571"/>
      <c r="AJ45" s="571"/>
      <c r="AK45" s="571"/>
      <c r="AL45" s="571"/>
      <c r="AM45" s="572"/>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x14ac:dyDescent="0.25">
      <c r="A46" s="69"/>
      <c r="B46" s="69"/>
      <c r="C46" s="69"/>
      <c r="D46" s="69"/>
      <c r="E46" s="69"/>
      <c r="F46" s="69"/>
      <c r="G46" s="69"/>
      <c r="H46" s="69"/>
      <c r="I46" s="69"/>
      <c r="J46" s="547" t="s">
        <v>952</v>
      </c>
      <c r="K46" s="548"/>
      <c r="L46" s="548"/>
      <c r="M46" s="548"/>
      <c r="N46" s="548"/>
      <c r="O46" s="549"/>
      <c r="P46" s="547" t="s">
        <v>953</v>
      </c>
      <c r="Q46" s="548"/>
      <c r="R46" s="548"/>
      <c r="S46" s="548"/>
      <c r="T46" s="548"/>
      <c r="U46" s="549"/>
      <c r="V46" s="547" t="s">
        <v>954</v>
      </c>
      <c r="W46" s="548"/>
      <c r="X46" s="548"/>
      <c r="Y46" s="548"/>
      <c r="Z46" s="548"/>
      <c r="AA46" s="549"/>
      <c r="AB46" s="547" t="s">
        <v>955</v>
      </c>
      <c r="AC46" s="563"/>
      <c r="AD46" s="548"/>
      <c r="AE46" s="548"/>
      <c r="AF46" s="548"/>
      <c r="AG46" s="549"/>
      <c r="AH46" s="547" t="s">
        <v>956</v>
      </c>
      <c r="AI46" s="548"/>
      <c r="AJ46" s="548"/>
      <c r="AK46" s="548"/>
      <c r="AL46" s="548"/>
      <c r="AM46" s="54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x14ac:dyDescent="0.25">
      <c r="A47" s="69"/>
      <c r="B47" s="69"/>
      <c r="C47" s="69"/>
      <c r="D47" s="69"/>
      <c r="E47" s="69"/>
      <c r="F47" s="69"/>
      <c r="G47" s="69"/>
      <c r="H47" s="69"/>
      <c r="I47" s="69"/>
      <c r="J47" s="550"/>
      <c r="K47" s="551"/>
      <c r="L47" s="551"/>
      <c r="M47" s="551"/>
      <c r="N47" s="551"/>
      <c r="O47" s="552"/>
      <c r="P47" s="550"/>
      <c r="Q47" s="551"/>
      <c r="R47" s="551"/>
      <c r="S47" s="551"/>
      <c r="T47" s="551"/>
      <c r="U47" s="552"/>
      <c r="V47" s="550"/>
      <c r="W47" s="551"/>
      <c r="X47" s="551"/>
      <c r="Y47" s="551"/>
      <c r="Z47" s="551"/>
      <c r="AA47" s="552"/>
      <c r="AB47" s="550"/>
      <c r="AC47" s="551"/>
      <c r="AD47" s="551"/>
      <c r="AE47" s="551"/>
      <c r="AF47" s="551"/>
      <c r="AG47" s="552"/>
      <c r="AH47" s="550"/>
      <c r="AI47" s="551"/>
      <c r="AJ47" s="551"/>
      <c r="AK47" s="551"/>
      <c r="AL47" s="551"/>
      <c r="AM47" s="552"/>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x14ac:dyDescent="0.25">
      <c r="A48" s="69"/>
      <c r="B48" s="69"/>
      <c r="C48" s="69"/>
      <c r="D48" s="69"/>
      <c r="E48" s="69"/>
      <c r="F48" s="69"/>
      <c r="G48" s="69"/>
      <c r="H48" s="69"/>
      <c r="I48" s="69"/>
      <c r="J48" s="550"/>
      <c r="K48" s="551"/>
      <c r="L48" s="551"/>
      <c r="M48" s="551"/>
      <c r="N48" s="551"/>
      <c r="O48" s="552"/>
      <c r="P48" s="550"/>
      <c r="Q48" s="551"/>
      <c r="R48" s="551"/>
      <c r="S48" s="551"/>
      <c r="T48" s="551"/>
      <c r="U48" s="552"/>
      <c r="V48" s="550"/>
      <c r="W48" s="551"/>
      <c r="X48" s="551"/>
      <c r="Y48" s="551"/>
      <c r="Z48" s="551"/>
      <c r="AA48" s="552"/>
      <c r="AB48" s="550"/>
      <c r="AC48" s="551"/>
      <c r="AD48" s="551"/>
      <c r="AE48" s="551"/>
      <c r="AF48" s="551"/>
      <c r="AG48" s="552"/>
      <c r="AH48" s="550"/>
      <c r="AI48" s="551"/>
      <c r="AJ48" s="551"/>
      <c r="AK48" s="551"/>
      <c r="AL48" s="551"/>
      <c r="AM48" s="552"/>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x14ac:dyDescent="0.25">
      <c r="A49" s="69"/>
      <c r="B49" s="69"/>
      <c r="C49" s="69"/>
      <c r="D49" s="69"/>
      <c r="E49" s="69"/>
      <c r="F49" s="69"/>
      <c r="G49" s="69"/>
      <c r="H49" s="69"/>
      <c r="I49" s="69"/>
      <c r="J49" s="550"/>
      <c r="K49" s="551"/>
      <c r="L49" s="551"/>
      <c r="M49" s="551"/>
      <c r="N49" s="551"/>
      <c r="O49" s="552"/>
      <c r="P49" s="550"/>
      <c r="Q49" s="551"/>
      <c r="R49" s="551"/>
      <c r="S49" s="551"/>
      <c r="T49" s="551"/>
      <c r="U49" s="552"/>
      <c r="V49" s="550"/>
      <c r="W49" s="551"/>
      <c r="X49" s="551"/>
      <c r="Y49" s="551"/>
      <c r="Z49" s="551"/>
      <c r="AA49" s="552"/>
      <c r="AB49" s="550"/>
      <c r="AC49" s="551"/>
      <c r="AD49" s="551"/>
      <c r="AE49" s="551"/>
      <c r="AF49" s="551"/>
      <c r="AG49" s="552"/>
      <c r="AH49" s="550"/>
      <c r="AI49" s="551"/>
      <c r="AJ49" s="551"/>
      <c r="AK49" s="551"/>
      <c r="AL49" s="551"/>
      <c r="AM49" s="552"/>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x14ac:dyDescent="0.25">
      <c r="A50" s="69"/>
      <c r="B50" s="69"/>
      <c r="C50" s="69"/>
      <c r="D50" s="69"/>
      <c r="E50" s="69"/>
      <c r="F50" s="69"/>
      <c r="G50" s="69"/>
      <c r="H50" s="69"/>
      <c r="I50" s="69"/>
      <c r="J50" s="550"/>
      <c r="K50" s="551"/>
      <c r="L50" s="551"/>
      <c r="M50" s="551"/>
      <c r="N50" s="551"/>
      <c r="O50" s="552"/>
      <c r="P50" s="550"/>
      <c r="Q50" s="551"/>
      <c r="R50" s="551"/>
      <c r="S50" s="551"/>
      <c r="T50" s="551"/>
      <c r="U50" s="552"/>
      <c r="V50" s="550"/>
      <c r="W50" s="551"/>
      <c r="X50" s="551"/>
      <c r="Y50" s="551"/>
      <c r="Z50" s="551"/>
      <c r="AA50" s="552"/>
      <c r="AB50" s="550"/>
      <c r="AC50" s="551"/>
      <c r="AD50" s="551"/>
      <c r="AE50" s="551"/>
      <c r="AF50" s="551"/>
      <c r="AG50" s="552"/>
      <c r="AH50" s="550"/>
      <c r="AI50" s="551"/>
      <c r="AJ50" s="551"/>
      <c r="AK50" s="551"/>
      <c r="AL50" s="551"/>
      <c r="AM50" s="552"/>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75" thickBot="1" x14ac:dyDescent="0.3">
      <c r="A51" s="69"/>
      <c r="B51" s="69"/>
      <c r="C51" s="69"/>
      <c r="D51" s="69"/>
      <c r="E51" s="69"/>
      <c r="F51" s="69"/>
      <c r="G51" s="69"/>
      <c r="H51" s="69"/>
      <c r="I51" s="69"/>
      <c r="J51" s="553"/>
      <c r="K51" s="554"/>
      <c r="L51" s="554"/>
      <c r="M51" s="554"/>
      <c r="N51" s="554"/>
      <c r="O51" s="555"/>
      <c r="P51" s="553"/>
      <c r="Q51" s="554"/>
      <c r="R51" s="554"/>
      <c r="S51" s="554"/>
      <c r="T51" s="554"/>
      <c r="U51" s="555"/>
      <c r="V51" s="553"/>
      <c r="W51" s="554"/>
      <c r="X51" s="554"/>
      <c r="Y51" s="554"/>
      <c r="Z51" s="554"/>
      <c r="AA51" s="555"/>
      <c r="AB51" s="553"/>
      <c r="AC51" s="554"/>
      <c r="AD51" s="554"/>
      <c r="AE51" s="554"/>
      <c r="AF51" s="554"/>
      <c r="AG51" s="555"/>
      <c r="AH51" s="553"/>
      <c r="AI51" s="554"/>
      <c r="AJ51" s="554"/>
      <c r="AK51" s="554"/>
      <c r="AL51" s="554"/>
      <c r="AM51" s="555"/>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x14ac:dyDescent="0.25">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x14ac:dyDescent="0.25">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x14ac:dyDescent="0.25">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x14ac:dyDescent="0.25">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x14ac:dyDescent="0.25">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x14ac:dyDescent="0.25">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x14ac:dyDescent="0.2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x14ac:dyDescent="0.2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x14ac:dyDescent="0.2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x14ac:dyDescent="0.25">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x14ac:dyDescent="0.2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x14ac:dyDescent="0.25">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x14ac:dyDescent="0.25">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x14ac:dyDescent="0.2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x14ac:dyDescent="0.2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x14ac:dyDescent="0.2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x14ac:dyDescent="0.2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x14ac:dyDescent="0.2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x14ac:dyDescent="0.2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x14ac:dyDescent="0.2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x14ac:dyDescent="0.2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x14ac:dyDescent="0.2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x14ac:dyDescent="0.2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x14ac:dyDescent="0.2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x14ac:dyDescent="0.2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x14ac:dyDescent="0.2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x14ac:dyDescent="0.2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x14ac:dyDescent="0.2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x14ac:dyDescent="0.2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x14ac:dyDescent="0.2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x14ac:dyDescent="0.2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x14ac:dyDescent="0.2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x14ac:dyDescent="0.2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x14ac:dyDescent="0.2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x14ac:dyDescent="0.2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x14ac:dyDescent="0.2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x14ac:dyDescent="0.2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x14ac:dyDescent="0.2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x14ac:dyDescent="0.2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x14ac:dyDescent="0.2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x14ac:dyDescent="0.2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x14ac:dyDescent="0.2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x14ac:dyDescent="0.2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x14ac:dyDescent="0.2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x14ac:dyDescent="0.2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x14ac:dyDescent="0.2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x14ac:dyDescent="0.2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x14ac:dyDescent="0.2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x14ac:dyDescent="0.2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x14ac:dyDescent="0.2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x14ac:dyDescent="0.2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x14ac:dyDescent="0.2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x14ac:dyDescent="0.2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x14ac:dyDescent="0.2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x14ac:dyDescent="0.2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x14ac:dyDescent="0.2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x14ac:dyDescent="0.2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x14ac:dyDescent="0.2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x14ac:dyDescent="0.2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x14ac:dyDescent="0.25">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x14ac:dyDescent="0.25">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x14ac:dyDescent="0.2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x14ac:dyDescent="0.25">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x14ac:dyDescent="0.25">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x14ac:dyDescent="0.2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x14ac:dyDescent="0.2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x14ac:dyDescent="0.2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x14ac:dyDescent="0.25">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x14ac:dyDescent="0.25">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x14ac:dyDescent="0.2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x14ac:dyDescent="0.25">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x14ac:dyDescent="0.25">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x14ac:dyDescent="0.25">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x14ac:dyDescent="0.25">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x14ac:dyDescent="0.25">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x14ac:dyDescent="0.25">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x14ac:dyDescent="0.2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x14ac:dyDescent="0.25">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x14ac:dyDescent="0.25">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x14ac:dyDescent="0.25">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x14ac:dyDescent="0.2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x14ac:dyDescent="0.25">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x14ac:dyDescent="0.25">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x14ac:dyDescent="0.2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x14ac:dyDescent="0.25">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x14ac:dyDescent="0.25">
      <c r="B137" s="69"/>
      <c r="C137" s="69"/>
      <c r="D137" s="69"/>
      <c r="E137" s="69"/>
      <c r="F137" s="69"/>
      <c r="G137" s="69"/>
      <c r="H137" s="69"/>
      <c r="I137" s="69"/>
    </row>
    <row r="138" spans="2:63" x14ac:dyDescent="0.25">
      <c r="B138" s="69"/>
      <c r="C138" s="69"/>
      <c r="D138" s="69"/>
      <c r="E138" s="69"/>
      <c r="F138" s="69"/>
      <c r="G138" s="69"/>
      <c r="H138" s="69"/>
      <c r="I138" s="69"/>
    </row>
    <row r="139" spans="2:63" x14ac:dyDescent="0.25">
      <c r="B139" s="69"/>
      <c r="C139" s="69"/>
      <c r="D139" s="69"/>
      <c r="E139" s="69"/>
      <c r="F139" s="69"/>
      <c r="G139" s="69"/>
      <c r="H139" s="69"/>
      <c r="I139" s="69"/>
    </row>
    <row r="140" spans="2:63" x14ac:dyDescent="0.25">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x14ac:dyDescent="0.25">
      <c r="A2" s="69"/>
      <c r="B2" s="620" t="s">
        <v>957</v>
      </c>
      <c r="C2" s="621"/>
      <c r="D2" s="621"/>
      <c r="E2" s="621"/>
      <c r="F2" s="621"/>
      <c r="G2" s="621"/>
      <c r="H2" s="621"/>
      <c r="I2" s="621"/>
      <c r="J2" s="562" t="s">
        <v>23</v>
      </c>
      <c r="K2" s="562"/>
      <c r="L2" s="562"/>
      <c r="M2" s="562"/>
      <c r="N2" s="562"/>
      <c r="O2" s="562"/>
      <c r="P2" s="562"/>
      <c r="Q2" s="562"/>
      <c r="R2" s="562"/>
      <c r="S2" s="562"/>
      <c r="T2" s="562"/>
      <c r="U2" s="562"/>
      <c r="V2" s="562"/>
      <c r="W2" s="562"/>
      <c r="X2" s="562"/>
      <c r="Y2" s="562"/>
      <c r="Z2" s="562"/>
      <c r="AA2" s="562"/>
      <c r="AB2" s="562"/>
      <c r="AC2" s="562"/>
      <c r="AD2" s="562"/>
      <c r="AE2" s="562"/>
      <c r="AF2" s="562"/>
      <c r="AG2" s="562"/>
      <c r="AH2" s="562"/>
      <c r="AI2" s="562"/>
      <c r="AJ2" s="562"/>
      <c r="AK2" s="562"/>
      <c r="AL2" s="562"/>
      <c r="AM2" s="562"/>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x14ac:dyDescent="0.25">
      <c r="A3" s="69"/>
      <c r="B3" s="621"/>
      <c r="C3" s="621"/>
      <c r="D3" s="621"/>
      <c r="E3" s="621"/>
      <c r="F3" s="621"/>
      <c r="G3" s="621"/>
      <c r="H3" s="621"/>
      <c r="I3" s="621"/>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x14ac:dyDescent="0.25">
      <c r="A4" s="69"/>
      <c r="B4" s="621"/>
      <c r="C4" s="621"/>
      <c r="D4" s="621"/>
      <c r="E4" s="621"/>
      <c r="F4" s="621"/>
      <c r="G4" s="621"/>
      <c r="H4" s="621"/>
      <c r="I4" s="621"/>
      <c r="J4" s="562"/>
      <c r="K4" s="562"/>
      <c r="L4" s="562"/>
      <c r="M4" s="562"/>
      <c r="N4" s="562"/>
      <c r="O4" s="562"/>
      <c r="P4" s="562"/>
      <c r="Q4" s="562"/>
      <c r="R4" s="562"/>
      <c r="S4" s="562"/>
      <c r="T4" s="562"/>
      <c r="U4" s="562"/>
      <c r="V4" s="562"/>
      <c r="W4" s="562"/>
      <c r="X4" s="562"/>
      <c r="Y4" s="562"/>
      <c r="Z4" s="562"/>
      <c r="AA4" s="562"/>
      <c r="AB4" s="562"/>
      <c r="AC4" s="562"/>
      <c r="AD4" s="562"/>
      <c r="AE4" s="562"/>
      <c r="AF4" s="562"/>
      <c r="AG4" s="562"/>
      <c r="AH4" s="562"/>
      <c r="AI4" s="562"/>
      <c r="AJ4" s="562"/>
      <c r="AK4" s="562"/>
      <c r="AL4" s="562"/>
      <c r="AM4" s="562"/>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75" thickBot="1" x14ac:dyDescent="0.3">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x14ac:dyDescent="0.25">
      <c r="A6" s="69"/>
      <c r="B6" s="509" t="s">
        <v>943</v>
      </c>
      <c r="C6" s="509"/>
      <c r="D6" s="510"/>
      <c r="E6" s="604" t="s">
        <v>944</v>
      </c>
      <c r="F6" s="605"/>
      <c r="G6" s="605"/>
      <c r="H6" s="605"/>
      <c r="I6" s="622"/>
      <c r="J6" s="32" t="str">
        <f>IF(AND('Matriz de Riesgos'!$AF$12="Muy Alta",'Matriz de Riesgos'!$AH$12="Leve"),CONCATENATE("R1C",'Matriz de Riesgos'!$U$12),"")</f>
        <v/>
      </c>
      <c r="K6" s="33" t="str">
        <f>IF(AND('Matriz de Riesgos'!$AF$13="Muy Alta",'Matriz de Riesgos'!$AH$13="Leve"),CONCATENATE("R1C",'Matriz de Riesgos'!$U$13),"")</f>
        <v/>
      </c>
      <c r="L6" s="33" t="e">
        <f>IF(AND('Matriz de Riesgos'!#REF!="Muy Alta",'Matriz de Riesgos'!#REF!="Leve"),CONCATENATE("R1C",'Matriz de Riesgos'!#REF!),"")</f>
        <v>#REF!</v>
      </c>
      <c r="M6" s="33" t="e">
        <f>IF(AND('Matriz de Riesgos'!#REF!="Muy Alta",'Matriz de Riesgos'!#REF!="Leve"),CONCATENATE("R1C",'Matriz de Riesgos'!#REF!),"")</f>
        <v>#REF!</v>
      </c>
      <c r="N6" s="33" t="e">
        <f>IF(AND('Matriz de Riesgos'!#REF!="Muy Alta",'Matriz de Riesgos'!#REF!="Leve"),CONCATENATE("R1C",'Matriz de Riesgos'!#REF!),"")</f>
        <v>#REF!</v>
      </c>
      <c r="O6" s="34" t="str">
        <f>IF(AND('Matriz de Riesgos'!$AF$14="Muy Alta",'Matriz de Riesgos'!$AH$14="Leve"),CONCATENATE("R1C",'Matriz de Riesgos'!$U$14),"")</f>
        <v/>
      </c>
      <c r="P6" s="32" t="str">
        <f>IF(AND('Matriz de Riesgos'!$AF$12="Muy Alta",'Matriz de Riesgos'!$AH$12="Menor"),CONCATENATE("R1C",'Matriz de Riesgos'!$U$12),"")</f>
        <v/>
      </c>
      <c r="Q6" s="33" t="str">
        <f>IF(AND('Matriz de Riesgos'!$AF$13="Muy Alta",'Matriz de Riesgos'!$AH$13="Menor"),CONCATENATE("R1C",'Matriz de Riesgos'!$U$13),"")</f>
        <v/>
      </c>
      <c r="R6" s="33" t="e">
        <f>IF(AND('Matriz de Riesgos'!#REF!="Muy Alta",'Matriz de Riesgos'!#REF!="Menor"),CONCATENATE("R1C",'Matriz de Riesgos'!#REF!),"")</f>
        <v>#REF!</v>
      </c>
      <c r="S6" s="33" t="e">
        <f>IF(AND('Matriz de Riesgos'!#REF!="Muy Alta",'Matriz de Riesgos'!#REF!="Menor"),CONCATENATE("R1C",'Matriz de Riesgos'!#REF!),"")</f>
        <v>#REF!</v>
      </c>
      <c r="T6" s="33" t="e">
        <f>IF(AND('Matriz de Riesgos'!#REF!="Muy Alta",'Matriz de Riesgos'!#REF!="Menor"),CONCATENATE("R1C",'Matriz de Riesgos'!#REF!),"")</f>
        <v>#REF!</v>
      </c>
      <c r="U6" s="34" t="str">
        <f>IF(AND('Matriz de Riesgos'!$AF$14="Muy Alta",'Matriz de Riesgos'!$AH$14="Menor"),CONCATENATE("R1C",'Matriz de Riesgos'!$U$14),"")</f>
        <v/>
      </c>
      <c r="V6" s="32" t="str">
        <f>IF(AND('Matriz de Riesgos'!$AF$12="Muy Alta",'Matriz de Riesgos'!$AH$12="Moderado"),CONCATENATE("R1C",'Matriz de Riesgos'!$U$12),"")</f>
        <v/>
      </c>
      <c r="W6" s="33" t="str">
        <f>IF(AND('Matriz de Riesgos'!$AF$13="Muy Alta",'Matriz de Riesgos'!$AH$13="Moderado"),CONCATENATE("R1C",'Matriz de Riesgos'!$U$13),"")</f>
        <v/>
      </c>
      <c r="X6" s="33" t="e">
        <f>IF(AND('Matriz de Riesgos'!#REF!="Muy Alta",'Matriz de Riesgos'!#REF!="Moderado"),CONCATENATE("R1C",'Matriz de Riesgos'!#REF!),"")</f>
        <v>#REF!</v>
      </c>
      <c r="Y6" s="33" t="e">
        <f>IF(AND('Matriz de Riesgos'!#REF!="Muy Alta",'Matriz de Riesgos'!#REF!="Moderado"),CONCATENATE("R1C",'Matriz de Riesgos'!#REF!),"")</f>
        <v>#REF!</v>
      </c>
      <c r="Z6" s="33" t="e">
        <f>IF(AND('Matriz de Riesgos'!#REF!="Muy Alta",'Matriz de Riesgos'!#REF!="Moderado"),CONCATENATE("R1C",'Matriz de Riesgos'!#REF!),"")</f>
        <v>#REF!</v>
      </c>
      <c r="AA6" s="34" t="str">
        <f>IF(AND('Matriz de Riesgos'!$AF$14="Muy Alta",'Matriz de Riesgos'!$AH$14="Moderado"),CONCATENATE("R1C",'Matriz de Riesgos'!$U$14),"")</f>
        <v/>
      </c>
      <c r="AB6" s="32" t="str">
        <f>IF(AND('Matriz de Riesgos'!$AF$12="Muy Alta",'Matriz de Riesgos'!$AH$12="Mayor"),CONCATENATE("R1C",'Matriz de Riesgos'!$U$12),"")</f>
        <v/>
      </c>
      <c r="AC6" s="33" t="str">
        <f>IF(AND('Matriz de Riesgos'!$AF$13="Muy Alta",'Matriz de Riesgos'!$AH$13="Mayor"),CONCATENATE("R1C",'Matriz de Riesgos'!$U$13),"")</f>
        <v/>
      </c>
      <c r="AD6" s="33" t="e">
        <f>IF(AND('Matriz de Riesgos'!#REF!="Muy Alta",'Matriz de Riesgos'!#REF!="Mayor"),CONCATENATE("R1C",'Matriz de Riesgos'!#REF!),"")</f>
        <v>#REF!</v>
      </c>
      <c r="AE6" s="33" t="e">
        <f>IF(AND('Matriz de Riesgos'!#REF!="Muy Alta",'Matriz de Riesgos'!#REF!="Mayor"),CONCATENATE("R1C",'Matriz de Riesgos'!#REF!),"")</f>
        <v>#REF!</v>
      </c>
      <c r="AF6" s="33" t="e">
        <f>IF(AND('Matriz de Riesgos'!#REF!="Muy Alta",'Matriz de Riesgos'!#REF!="Mayor"),CONCATENATE("R1C",'Matriz de Riesgos'!#REF!),"")</f>
        <v>#REF!</v>
      </c>
      <c r="AG6" s="34" t="str">
        <f>IF(AND('Matriz de Riesgos'!$AF$14="Muy Alta",'Matriz de Riesgos'!$AH$14="Mayor"),CONCATENATE("R1C",'Matriz de Riesgos'!$U$14),"")</f>
        <v/>
      </c>
      <c r="AH6" s="35" t="str">
        <f>IF(AND('Matriz de Riesgos'!$AF$12="Muy Alta",'Matriz de Riesgos'!$AH$12="Catastrófico"),CONCATENATE("R1C",'Matriz de Riesgos'!$U$12),"")</f>
        <v/>
      </c>
      <c r="AI6" s="36" t="str">
        <f>IF(AND('Matriz de Riesgos'!$AF$13="Muy Alta",'Matriz de Riesgos'!$AH$13="Catastrófico"),CONCATENATE("R1C",'Matriz de Riesgos'!$U$13),"")</f>
        <v/>
      </c>
      <c r="AJ6" s="36" t="e">
        <f>IF(AND('Matriz de Riesgos'!#REF!="Muy Alta",'Matriz de Riesgos'!#REF!="Catastrófico"),CONCATENATE("R1C",'Matriz de Riesgos'!#REF!),"")</f>
        <v>#REF!</v>
      </c>
      <c r="AK6" s="36" t="e">
        <f>IF(AND('Matriz de Riesgos'!#REF!="Muy Alta",'Matriz de Riesgos'!#REF!="Catastrófico"),CONCATENATE("R1C",'Matriz de Riesgos'!#REF!),"")</f>
        <v>#REF!</v>
      </c>
      <c r="AL6" s="36" t="e">
        <f>IF(AND('Matriz de Riesgos'!#REF!="Muy Alta",'Matriz de Riesgos'!#REF!="Catastrófico"),CONCATENATE("R1C",'Matriz de Riesgos'!#REF!),"")</f>
        <v>#REF!</v>
      </c>
      <c r="AM6" s="37" t="str">
        <f>IF(AND('Matriz de Riesgos'!$AF$14="Muy Alta",'Matriz de Riesgos'!$AH$14="Catastrófico"),CONCATENATE("R1C",'Matriz de Riesgos'!$U$14),"")</f>
        <v/>
      </c>
      <c r="AN6" s="69"/>
      <c r="AO6" s="611" t="s">
        <v>945</v>
      </c>
      <c r="AP6" s="612"/>
      <c r="AQ6" s="612"/>
      <c r="AR6" s="612"/>
      <c r="AS6" s="612"/>
      <c r="AT6" s="613"/>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x14ac:dyDescent="0.25">
      <c r="A7" s="69"/>
      <c r="B7" s="509"/>
      <c r="C7" s="509"/>
      <c r="D7" s="510"/>
      <c r="E7" s="608"/>
      <c r="F7" s="607"/>
      <c r="G7" s="607"/>
      <c r="H7" s="607"/>
      <c r="I7" s="623"/>
      <c r="J7" s="38" t="str">
        <f>IF(AND('Matriz de Riesgos'!$AF$15="Muy Alta",'Matriz de Riesgos'!$AH$15="Leve"),CONCATENATE("R2C",'Matriz de Riesgos'!$U$15),"")</f>
        <v/>
      </c>
      <c r="K7" s="39" t="str">
        <f>IF(AND('Matriz de Riesgos'!$AF$16="Muy Alta",'Matriz de Riesgos'!$AH$16="Leve"),CONCATENATE("R2C",'Matriz de Riesgos'!$U$16),"")</f>
        <v/>
      </c>
      <c r="L7" s="39" t="str">
        <f>IF(AND('Matriz de Riesgos'!$AF$17="Muy Alta",'Matriz de Riesgos'!$AH$17="Leve"),CONCATENATE("R2C",'Matriz de Riesgos'!$U$17),"")</f>
        <v/>
      </c>
      <c r="M7" s="39" t="str">
        <f>IF(AND('Matriz de Riesgos'!$AF$18="Muy Alta",'Matriz de Riesgos'!$AH$18="Leve"),CONCATENATE("R2C",'Matriz de Riesgos'!$U$18),"")</f>
        <v/>
      </c>
      <c r="N7" s="39" t="str">
        <f>IF(AND('Matriz de Riesgos'!$AF$19="Muy Alta",'Matriz de Riesgos'!$AH$19="Leve"),CONCATENATE("R2C",'Matriz de Riesgos'!$U$19),"")</f>
        <v/>
      </c>
      <c r="O7" s="40" t="str">
        <f>IF(AND('Matriz de Riesgos'!$AF$20="Muy Alta",'Matriz de Riesgos'!$AH$20="Leve"),CONCATENATE("R2C",'Matriz de Riesgos'!$U$20),"")</f>
        <v/>
      </c>
      <c r="P7" s="38" t="str">
        <f>IF(AND('Matriz de Riesgos'!$AF$15="Muy Alta",'Matriz de Riesgos'!$AH$15="Menor"),CONCATENATE("R2C",'Matriz de Riesgos'!$U$15),"")</f>
        <v/>
      </c>
      <c r="Q7" s="39" t="str">
        <f>IF(AND('Matriz de Riesgos'!$AF$16="Muy Alta",'Matriz de Riesgos'!$AH$16="Menor"),CONCATENATE("R2C",'Matriz de Riesgos'!$U$16),"")</f>
        <v/>
      </c>
      <c r="R7" s="39" t="str">
        <f>IF(AND('Matriz de Riesgos'!$AF$17="Muy Alta",'Matriz de Riesgos'!$AH$17="Menor"),CONCATENATE("R2C",'Matriz de Riesgos'!$U$17),"")</f>
        <v/>
      </c>
      <c r="S7" s="39" t="str">
        <f>IF(AND('Matriz de Riesgos'!$AF$18="Muy Alta",'Matriz de Riesgos'!$AH$18="Menor"),CONCATENATE("R2C",'Matriz de Riesgos'!$U$18),"")</f>
        <v/>
      </c>
      <c r="T7" s="39" t="str">
        <f>IF(AND('Matriz de Riesgos'!$AF$19="Muy Alta",'Matriz de Riesgos'!$AH$19="Menor"),CONCATENATE("R2C",'Matriz de Riesgos'!$U$19),"")</f>
        <v/>
      </c>
      <c r="U7" s="40" t="str">
        <f>IF(AND('Matriz de Riesgos'!$AF$20="Muy Alta",'Matriz de Riesgos'!$AH$20="Menor"),CONCATENATE("R2C",'Matriz de Riesgos'!$U$20),"")</f>
        <v/>
      </c>
      <c r="V7" s="38" t="str">
        <f>IF(AND('Matriz de Riesgos'!$AF$15="Muy Alta",'Matriz de Riesgos'!$AH$15="Moderado"),CONCATENATE("R2C",'Matriz de Riesgos'!$U$15),"")</f>
        <v/>
      </c>
      <c r="W7" s="39" t="str">
        <f>IF(AND('Matriz de Riesgos'!$AF$16="Muy Alta",'Matriz de Riesgos'!$AH$16="Moderado"),CONCATENATE("R2C",'Matriz de Riesgos'!$U$16),"")</f>
        <v/>
      </c>
      <c r="X7" s="39" t="str">
        <f>IF(AND('Matriz de Riesgos'!$AF$17="Muy Alta",'Matriz de Riesgos'!$AH$17="Moderado"),CONCATENATE("R2C",'Matriz de Riesgos'!$U$17),"")</f>
        <v/>
      </c>
      <c r="Y7" s="39" t="str">
        <f>IF(AND('Matriz de Riesgos'!$AF$18="Muy Alta",'Matriz de Riesgos'!$AH$18="Moderado"),CONCATENATE("R2C",'Matriz de Riesgos'!$U$18),"")</f>
        <v/>
      </c>
      <c r="Z7" s="39" t="str">
        <f>IF(AND('Matriz de Riesgos'!$AF$19="Muy Alta",'Matriz de Riesgos'!$AH$19="Moderado"),CONCATENATE("R2C",'Matriz de Riesgos'!$U$19),"")</f>
        <v/>
      </c>
      <c r="AA7" s="40" t="str">
        <f>IF(AND('Matriz de Riesgos'!$AF$20="Muy Alta",'Matriz de Riesgos'!$AH$20="Moderado"),CONCATENATE("R2C",'Matriz de Riesgos'!$U$20),"")</f>
        <v/>
      </c>
      <c r="AB7" s="38" t="str">
        <f>IF(AND('Matriz de Riesgos'!$AF$15="Muy Alta",'Matriz de Riesgos'!$AH$15="Mayor"),CONCATENATE("R2C",'Matriz de Riesgos'!$U$15),"")</f>
        <v/>
      </c>
      <c r="AC7" s="39" t="str">
        <f>IF(AND('Matriz de Riesgos'!$AF$16="Muy Alta",'Matriz de Riesgos'!$AH$16="Mayor"),CONCATENATE("R2C",'Matriz de Riesgos'!$U$16),"")</f>
        <v/>
      </c>
      <c r="AD7" s="39" t="str">
        <f>IF(AND('Matriz de Riesgos'!$AF$17="Muy Alta",'Matriz de Riesgos'!$AH$17="Mayor"),CONCATENATE("R2C",'Matriz de Riesgos'!$U$17),"")</f>
        <v/>
      </c>
      <c r="AE7" s="39" t="str">
        <f>IF(AND('Matriz de Riesgos'!$AF$18="Muy Alta",'Matriz de Riesgos'!$AH$18="Mayor"),CONCATENATE("R2C",'Matriz de Riesgos'!$U$18),"")</f>
        <v/>
      </c>
      <c r="AF7" s="39" t="str">
        <f>IF(AND('Matriz de Riesgos'!$AF$19="Muy Alta",'Matriz de Riesgos'!$AH$19="Mayor"),CONCATENATE("R2C",'Matriz de Riesgos'!$U$19),"")</f>
        <v/>
      </c>
      <c r="AG7" s="40" t="str">
        <f>IF(AND('Matriz de Riesgos'!$AF$20="Muy Alta",'Matriz de Riesgos'!$AH$20="Mayor"),CONCATENATE("R2C",'Matriz de Riesgos'!$U$20),"")</f>
        <v/>
      </c>
      <c r="AH7" s="41" t="str">
        <f>IF(AND('Matriz de Riesgos'!$AF$15="Muy Alta",'Matriz de Riesgos'!$AH$15="Catastrófico"),CONCATENATE("R2C",'Matriz de Riesgos'!$U$15),"")</f>
        <v/>
      </c>
      <c r="AI7" s="42" t="str">
        <f>IF(AND('Matriz de Riesgos'!$AF$16="Muy Alta",'Matriz de Riesgos'!$AH$16="Catastrófico"),CONCATENATE("R2C",'Matriz de Riesgos'!$U$16),"")</f>
        <v/>
      </c>
      <c r="AJ7" s="42" t="str">
        <f>IF(AND('Matriz de Riesgos'!$AF$17="Muy Alta",'Matriz de Riesgos'!$AH$17="Catastrófico"),CONCATENATE("R2C",'Matriz de Riesgos'!$U$17),"")</f>
        <v/>
      </c>
      <c r="AK7" s="42" t="str">
        <f>IF(AND('Matriz de Riesgos'!$AF$18="Muy Alta",'Matriz de Riesgos'!$AH$18="Catastrófico"),CONCATENATE("R2C",'Matriz de Riesgos'!$U$18),"")</f>
        <v/>
      </c>
      <c r="AL7" s="42" t="str">
        <f>IF(AND('Matriz de Riesgos'!$AF$19="Muy Alta",'Matriz de Riesgos'!$AH$19="Catastrófico"),CONCATENATE("R2C",'Matriz de Riesgos'!$U$19),"")</f>
        <v/>
      </c>
      <c r="AM7" s="43" t="str">
        <f>IF(AND('Matriz de Riesgos'!$AF$20="Muy Alta",'Matriz de Riesgos'!$AH$20="Catastrófico"),CONCATENATE("R2C",'Matriz de Riesgos'!$U$20),"")</f>
        <v/>
      </c>
      <c r="AN7" s="69"/>
      <c r="AO7" s="614"/>
      <c r="AP7" s="615"/>
      <c r="AQ7" s="615"/>
      <c r="AR7" s="615"/>
      <c r="AS7" s="615"/>
      <c r="AT7" s="616"/>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x14ac:dyDescent="0.25">
      <c r="A8" s="69"/>
      <c r="B8" s="509"/>
      <c r="C8" s="509"/>
      <c r="D8" s="510"/>
      <c r="E8" s="608"/>
      <c r="F8" s="607"/>
      <c r="G8" s="607"/>
      <c r="H8" s="607"/>
      <c r="I8" s="623"/>
      <c r="J8" s="38" t="str">
        <f>IF(AND('Matriz de Riesgos'!$AF$21="Muy Alta",'Matriz de Riesgos'!$AH$21="Leve"),CONCATENATE("R3C",'Matriz de Riesgos'!$U$21),"")</f>
        <v/>
      </c>
      <c r="K8" s="39" t="str">
        <f>IF(AND('Matriz de Riesgos'!$AF$22="Muy Alta",'Matriz de Riesgos'!$AH$22="Leve"),CONCATENATE("R3C",'Matriz de Riesgos'!$U$22),"")</f>
        <v/>
      </c>
      <c r="L8" s="39" t="str">
        <f>IF(AND('Matriz de Riesgos'!$AF$23="Muy Alta",'Matriz de Riesgos'!$AH$23="Leve"),CONCATENATE("R3C",'Matriz de Riesgos'!$U$23),"")</f>
        <v/>
      </c>
      <c r="M8" s="39" t="str">
        <f>IF(AND('Matriz de Riesgos'!$AF$24="Muy Alta",'Matriz de Riesgos'!$AH$24="Leve"),CONCATENATE("R3C",'Matriz de Riesgos'!$U$24),"")</f>
        <v/>
      </c>
      <c r="N8" s="39" t="str">
        <f>IF(AND('Matriz de Riesgos'!$AF$25="Muy Alta",'Matriz de Riesgos'!$AH$25="Leve"),CONCATENATE("R3C",'Matriz de Riesgos'!$U$25),"")</f>
        <v/>
      </c>
      <c r="O8" s="40" t="str">
        <f>IF(AND('Matriz de Riesgos'!$AF$26="Muy Alta",'Matriz de Riesgos'!$AH$26="Leve"),CONCATENATE("R3C",'Matriz de Riesgos'!$U$26),"")</f>
        <v/>
      </c>
      <c r="P8" s="38" t="str">
        <f>IF(AND('Matriz de Riesgos'!$AF$21="Muy Alta",'Matriz de Riesgos'!$AH$21="Menor"),CONCATENATE("R3C",'Matriz de Riesgos'!$U$21),"")</f>
        <v/>
      </c>
      <c r="Q8" s="39" t="str">
        <f>IF(AND('Matriz de Riesgos'!$AF$22="Muy Alta",'Matriz de Riesgos'!$AH$22="Menor"),CONCATENATE("R3C",'Matriz de Riesgos'!$U$22),"")</f>
        <v/>
      </c>
      <c r="R8" s="39" t="str">
        <f>IF(AND('Matriz de Riesgos'!$AF$23="Muy Alta",'Matriz de Riesgos'!$AH$23="Menor"),CONCATENATE("R3C",'Matriz de Riesgos'!$U$23),"")</f>
        <v/>
      </c>
      <c r="S8" s="39" t="str">
        <f>IF(AND('Matriz de Riesgos'!$AF$24="Muy Alta",'Matriz de Riesgos'!$AH$24="Menor"),CONCATENATE("R3C",'Matriz de Riesgos'!$U$24),"")</f>
        <v/>
      </c>
      <c r="T8" s="39" t="str">
        <f>IF(AND('Matriz de Riesgos'!$AF$25="Muy Alta",'Matriz de Riesgos'!$AH$25="Menor"),CONCATENATE("R3C",'Matriz de Riesgos'!$U$25),"")</f>
        <v/>
      </c>
      <c r="U8" s="40" t="str">
        <f>IF(AND('Matriz de Riesgos'!$AF$26="Muy Alta",'Matriz de Riesgos'!$AH$26="Menor"),CONCATENATE("R3C",'Matriz de Riesgos'!$U$26),"")</f>
        <v/>
      </c>
      <c r="V8" s="38" t="str">
        <f>IF(AND('Matriz de Riesgos'!$AF$21="Muy Alta",'Matriz de Riesgos'!$AH$21="Moderado"),CONCATENATE("R3C",'Matriz de Riesgos'!$U$21),"")</f>
        <v/>
      </c>
      <c r="W8" s="39" t="str">
        <f>IF(AND('Matriz de Riesgos'!$AF$22="Muy Alta",'Matriz de Riesgos'!$AH$22="Moderado"),CONCATENATE("R3C",'Matriz de Riesgos'!$U$22),"")</f>
        <v/>
      </c>
      <c r="X8" s="39" t="str">
        <f>IF(AND('Matriz de Riesgos'!$AF$23="Muy Alta",'Matriz de Riesgos'!$AH$23="Moderado"),CONCATENATE("R3C",'Matriz de Riesgos'!$U$23),"")</f>
        <v/>
      </c>
      <c r="Y8" s="39" t="str">
        <f>IF(AND('Matriz de Riesgos'!$AF$24="Muy Alta",'Matriz de Riesgos'!$AH$24="Moderado"),CONCATENATE("R3C",'Matriz de Riesgos'!$U$24),"")</f>
        <v/>
      </c>
      <c r="Z8" s="39" t="str">
        <f>IF(AND('Matriz de Riesgos'!$AF$25="Muy Alta",'Matriz de Riesgos'!$AH$25="Moderado"),CONCATENATE("R3C",'Matriz de Riesgos'!$U$25),"")</f>
        <v/>
      </c>
      <c r="AA8" s="40" t="str">
        <f>IF(AND('Matriz de Riesgos'!$AF$26="Muy Alta",'Matriz de Riesgos'!$AH$26="Moderado"),CONCATENATE("R3C",'Matriz de Riesgos'!$U$26),"")</f>
        <v/>
      </c>
      <c r="AB8" s="38" t="str">
        <f>IF(AND('Matriz de Riesgos'!$AF$21="Muy Alta",'Matriz de Riesgos'!$AH$21="Mayor"),CONCATENATE("R3C",'Matriz de Riesgos'!$U$21),"")</f>
        <v/>
      </c>
      <c r="AC8" s="39" t="str">
        <f>IF(AND('Matriz de Riesgos'!$AF$22="Muy Alta",'Matriz de Riesgos'!$AH$22="Mayor"),CONCATENATE("R3C",'Matriz de Riesgos'!$U$22),"")</f>
        <v/>
      </c>
      <c r="AD8" s="39" t="str">
        <f>IF(AND('Matriz de Riesgos'!$AF$23="Muy Alta",'Matriz de Riesgos'!$AH$23="Mayor"),CONCATENATE("R3C",'Matriz de Riesgos'!$U$23),"")</f>
        <v/>
      </c>
      <c r="AE8" s="39" t="str">
        <f>IF(AND('Matriz de Riesgos'!$AF$24="Muy Alta",'Matriz de Riesgos'!$AH$24="Mayor"),CONCATENATE("R3C",'Matriz de Riesgos'!$U$24),"")</f>
        <v/>
      </c>
      <c r="AF8" s="39" t="str">
        <f>IF(AND('Matriz de Riesgos'!$AF$25="Muy Alta",'Matriz de Riesgos'!$AH$25="Mayor"),CONCATENATE("R3C",'Matriz de Riesgos'!$U$25),"")</f>
        <v/>
      </c>
      <c r="AG8" s="40" t="str">
        <f>IF(AND('Matriz de Riesgos'!$AF$26="Muy Alta",'Matriz de Riesgos'!$AH$26="Mayor"),CONCATENATE("R3C",'Matriz de Riesgos'!$U$26),"")</f>
        <v/>
      </c>
      <c r="AH8" s="41" t="str">
        <f>IF(AND('Matriz de Riesgos'!$AF$21="Muy Alta",'Matriz de Riesgos'!$AH$21="Catastrófico"),CONCATENATE("R3C",'Matriz de Riesgos'!$U$21),"")</f>
        <v/>
      </c>
      <c r="AI8" s="42" t="str">
        <f>IF(AND('Matriz de Riesgos'!$AF$22="Muy Alta",'Matriz de Riesgos'!$AH$22="Catastrófico"),CONCATENATE("R3C",'Matriz de Riesgos'!$U$22),"")</f>
        <v/>
      </c>
      <c r="AJ8" s="42" t="str">
        <f>IF(AND('Matriz de Riesgos'!$AF$23="Muy Alta",'Matriz de Riesgos'!$AH$23="Catastrófico"),CONCATENATE("R3C",'Matriz de Riesgos'!$U$23),"")</f>
        <v/>
      </c>
      <c r="AK8" s="42" t="str">
        <f>IF(AND('Matriz de Riesgos'!$AF$24="Muy Alta",'Matriz de Riesgos'!$AH$24="Catastrófico"),CONCATENATE("R3C",'Matriz de Riesgos'!$U$24),"")</f>
        <v/>
      </c>
      <c r="AL8" s="42" t="str">
        <f>IF(AND('Matriz de Riesgos'!$AF$25="Muy Alta",'Matriz de Riesgos'!$AH$25="Catastrófico"),CONCATENATE("R3C",'Matriz de Riesgos'!$U$25),"")</f>
        <v/>
      </c>
      <c r="AM8" s="43" t="str">
        <f>IF(AND('Matriz de Riesgos'!$AF$26="Muy Alta",'Matriz de Riesgos'!$AH$26="Catastrófico"),CONCATENATE("R3C",'Matriz de Riesgos'!$U$26),"")</f>
        <v/>
      </c>
      <c r="AN8" s="69"/>
      <c r="AO8" s="614"/>
      <c r="AP8" s="615"/>
      <c r="AQ8" s="615"/>
      <c r="AR8" s="615"/>
      <c r="AS8" s="615"/>
      <c r="AT8" s="616"/>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x14ac:dyDescent="0.25">
      <c r="A9" s="69"/>
      <c r="B9" s="509"/>
      <c r="C9" s="509"/>
      <c r="D9" s="510"/>
      <c r="E9" s="608"/>
      <c r="F9" s="607"/>
      <c r="G9" s="607"/>
      <c r="H9" s="607"/>
      <c r="I9" s="623"/>
      <c r="J9" s="38" t="str">
        <f>IF(AND('Matriz de Riesgos'!$AF$27="Muy Alta",'Matriz de Riesgos'!$AH$27="Leve"),CONCATENATE("R4C",'Matriz de Riesgos'!$U$27),"")</f>
        <v/>
      </c>
      <c r="K9" s="39" t="str">
        <f>IF(AND('Matriz de Riesgos'!$AF$28="Muy Alta",'Matriz de Riesgos'!$AH$28="Leve"),CONCATENATE("R4C",'Matriz de Riesgos'!$U$28),"")</f>
        <v/>
      </c>
      <c r="L9" s="39" t="str">
        <f>IF(AND('Matriz de Riesgos'!$AF$29="Muy Alta",'Matriz de Riesgos'!$AH$29="Leve"),CONCATENATE("R4C",'Matriz de Riesgos'!$U$29),"")</f>
        <v/>
      </c>
      <c r="M9" s="39" t="str">
        <f>IF(AND('Matriz de Riesgos'!$AF$30="Muy Alta",'Matriz de Riesgos'!$AH$30="Leve"),CONCATENATE("R4C",'Matriz de Riesgos'!$U$30),"")</f>
        <v/>
      </c>
      <c r="N9" s="39" t="str">
        <f>IF(AND('Matriz de Riesgos'!$AF$31="Muy Alta",'Matriz de Riesgos'!$AH$31="Leve"),CONCATENATE("R4C",'Matriz de Riesgos'!$U$31),"")</f>
        <v/>
      </c>
      <c r="O9" s="40" t="str">
        <f>IF(AND('Matriz de Riesgos'!$AF$32="Muy Alta",'Matriz de Riesgos'!$AH$32="Leve"),CONCATENATE("R4C",'Matriz de Riesgos'!$U$32),"")</f>
        <v/>
      </c>
      <c r="P9" s="38" t="str">
        <f>IF(AND('Matriz de Riesgos'!$AF$27="Muy Alta",'Matriz de Riesgos'!$AH$27="Menor"),CONCATENATE("R4C",'Matriz de Riesgos'!$U$27),"")</f>
        <v/>
      </c>
      <c r="Q9" s="39" t="str">
        <f>IF(AND('Matriz de Riesgos'!$AF$28="Muy Alta",'Matriz de Riesgos'!$AH$28="Menor"),CONCATENATE("R4C",'Matriz de Riesgos'!$U$28),"")</f>
        <v/>
      </c>
      <c r="R9" s="39" t="str">
        <f>IF(AND('Matriz de Riesgos'!$AF$29="Muy Alta",'Matriz de Riesgos'!$AH$29="Menor"),CONCATENATE("R4C",'Matriz de Riesgos'!$U$29),"")</f>
        <v/>
      </c>
      <c r="S9" s="39" t="str">
        <f>IF(AND('Matriz de Riesgos'!$AF$30="Muy Alta",'Matriz de Riesgos'!$AH$30="Menor"),CONCATENATE("R4C",'Matriz de Riesgos'!$U$30),"")</f>
        <v/>
      </c>
      <c r="T9" s="39" t="str">
        <f>IF(AND('Matriz de Riesgos'!$AF$31="Muy Alta",'Matriz de Riesgos'!$AH$31="Menor"),CONCATENATE("R4C",'Matriz de Riesgos'!$U$31),"")</f>
        <v/>
      </c>
      <c r="U9" s="40" t="str">
        <f>IF(AND('Matriz de Riesgos'!$AF$32="Muy Alta",'Matriz de Riesgos'!$AH$32="Menor"),CONCATENATE("R4C",'Matriz de Riesgos'!$U$32),"")</f>
        <v/>
      </c>
      <c r="V9" s="38" t="str">
        <f>IF(AND('Matriz de Riesgos'!$AF$27="Muy Alta",'Matriz de Riesgos'!$AH$27="Moderado"),CONCATENATE("R4C",'Matriz de Riesgos'!$U$27),"")</f>
        <v/>
      </c>
      <c r="W9" s="39" t="str">
        <f>IF(AND('Matriz de Riesgos'!$AF$28="Muy Alta",'Matriz de Riesgos'!$AH$28="Moderado"),CONCATENATE("R4C",'Matriz de Riesgos'!$U$28),"")</f>
        <v/>
      </c>
      <c r="X9" s="39" t="str">
        <f>IF(AND('Matriz de Riesgos'!$AF$29="Muy Alta",'Matriz de Riesgos'!$AH$29="Moderado"),CONCATENATE("R4C",'Matriz de Riesgos'!$U$29),"")</f>
        <v/>
      </c>
      <c r="Y9" s="39" t="str">
        <f>IF(AND('Matriz de Riesgos'!$AF$30="Muy Alta",'Matriz de Riesgos'!$AH$30="Moderado"),CONCATENATE("R4C",'Matriz de Riesgos'!$U$30),"")</f>
        <v/>
      </c>
      <c r="Z9" s="39" t="str">
        <f>IF(AND('Matriz de Riesgos'!$AF$31="Muy Alta",'Matriz de Riesgos'!$AH$31="Moderado"),CONCATENATE("R4C",'Matriz de Riesgos'!$U$31),"")</f>
        <v/>
      </c>
      <c r="AA9" s="40" t="str">
        <f>IF(AND('Matriz de Riesgos'!$AF$32="Muy Alta",'Matriz de Riesgos'!$AH$32="Moderado"),CONCATENATE("R4C",'Matriz de Riesgos'!$U$32),"")</f>
        <v/>
      </c>
      <c r="AB9" s="38" t="str">
        <f>IF(AND('Matriz de Riesgos'!$AF$27="Muy Alta",'Matriz de Riesgos'!$AH$27="Mayor"),CONCATENATE("R4C",'Matriz de Riesgos'!$U$27),"")</f>
        <v/>
      </c>
      <c r="AC9" s="39" t="str">
        <f>IF(AND('Matriz de Riesgos'!$AF$28="Muy Alta",'Matriz de Riesgos'!$AH$28="Mayor"),CONCATENATE("R4C",'Matriz de Riesgos'!$U$28),"")</f>
        <v/>
      </c>
      <c r="AD9" s="39" t="str">
        <f>IF(AND('Matriz de Riesgos'!$AF$29="Muy Alta",'Matriz de Riesgos'!$AH$29="Mayor"),CONCATENATE("R4C",'Matriz de Riesgos'!$U$29),"")</f>
        <v/>
      </c>
      <c r="AE9" s="39" t="str">
        <f>IF(AND('Matriz de Riesgos'!$AF$30="Muy Alta",'Matriz de Riesgos'!$AH$30="Mayor"),CONCATENATE("R4C",'Matriz de Riesgos'!$U$30),"")</f>
        <v/>
      </c>
      <c r="AF9" s="39" t="str">
        <f>IF(AND('Matriz de Riesgos'!$AF$31="Muy Alta",'Matriz de Riesgos'!$AH$31="Mayor"),CONCATENATE("R4C",'Matriz de Riesgos'!$U$31),"")</f>
        <v/>
      </c>
      <c r="AG9" s="40" t="str">
        <f>IF(AND('Matriz de Riesgos'!$AF$32="Muy Alta",'Matriz de Riesgos'!$AH$32="Mayor"),CONCATENATE("R4C",'Matriz de Riesgos'!$U$32),"")</f>
        <v/>
      </c>
      <c r="AH9" s="41" t="str">
        <f>IF(AND('Matriz de Riesgos'!$AF$27="Muy Alta",'Matriz de Riesgos'!$AH$27="Catastrófico"),CONCATENATE("R4C",'Matriz de Riesgos'!$U$27),"")</f>
        <v/>
      </c>
      <c r="AI9" s="42" t="str">
        <f>IF(AND('Matriz de Riesgos'!$AF$28="Muy Alta",'Matriz de Riesgos'!$AH$28="Catastrófico"),CONCATENATE("R4C",'Matriz de Riesgos'!$U$28),"")</f>
        <v/>
      </c>
      <c r="AJ9" s="42" t="str">
        <f>IF(AND('Matriz de Riesgos'!$AF$29="Muy Alta",'Matriz de Riesgos'!$AH$29="Catastrófico"),CONCATENATE("R4C",'Matriz de Riesgos'!$U$29),"")</f>
        <v/>
      </c>
      <c r="AK9" s="42" t="str">
        <f>IF(AND('Matriz de Riesgos'!$AF$30="Muy Alta",'Matriz de Riesgos'!$AH$30="Catastrófico"),CONCATENATE("R4C",'Matriz de Riesgos'!$U$30),"")</f>
        <v/>
      </c>
      <c r="AL9" s="42" t="str">
        <f>IF(AND('Matriz de Riesgos'!$AF$31="Muy Alta",'Matriz de Riesgos'!$AH$31="Catastrófico"),CONCATENATE("R4C",'Matriz de Riesgos'!$U$31),"")</f>
        <v/>
      </c>
      <c r="AM9" s="43" t="str">
        <f>IF(AND('Matriz de Riesgos'!$AF$32="Muy Alta",'Matriz de Riesgos'!$AH$32="Catastrófico"),CONCATENATE("R4C",'Matriz de Riesgos'!$U$32),"")</f>
        <v/>
      </c>
      <c r="AN9" s="69"/>
      <c r="AO9" s="614"/>
      <c r="AP9" s="615"/>
      <c r="AQ9" s="615"/>
      <c r="AR9" s="615"/>
      <c r="AS9" s="615"/>
      <c r="AT9" s="616"/>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x14ac:dyDescent="0.25">
      <c r="A10" s="69"/>
      <c r="B10" s="509"/>
      <c r="C10" s="509"/>
      <c r="D10" s="510"/>
      <c r="E10" s="608"/>
      <c r="F10" s="607"/>
      <c r="G10" s="607"/>
      <c r="H10" s="607"/>
      <c r="I10" s="623"/>
      <c r="J10" s="38" t="str">
        <f>IF(AND('Matriz de Riesgos'!$AF$33="Muy Alta",'Matriz de Riesgos'!$AH$33="Leve"),CONCATENATE("R5C",'Matriz de Riesgos'!$U$33),"")</f>
        <v/>
      </c>
      <c r="K10" s="39" t="str">
        <f>IF(AND('Matriz de Riesgos'!$AF$34="Muy Alta",'Matriz de Riesgos'!$AH$34="Leve"),CONCATENATE("R5C",'Matriz de Riesgos'!$U$34),"")</f>
        <v/>
      </c>
      <c r="L10" s="39" t="str">
        <f>IF(AND('Matriz de Riesgos'!$AF$35="Muy Alta",'Matriz de Riesgos'!$AH$35="Leve"),CONCATENATE("R5C",'Matriz de Riesgos'!$U$35),"")</f>
        <v/>
      </c>
      <c r="M10" s="39" t="str">
        <f>IF(AND('Matriz de Riesgos'!$AF$36="Muy Alta",'Matriz de Riesgos'!$AH$36="Leve"),CONCATENATE("R5C",'Matriz de Riesgos'!$U$36),"")</f>
        <v/>
      </c>
      <c r="N10" s="39" t="str">
        <f>IF(AND('Matriz de Riesgos'!$AF$37="Muy Alta",'Matriz de Riesgos'!$AH$37="Leve"),CONCATENATE("R5C",'Matriz de Riesgos'!$U$37),"")</f>
        <v/>
      </c>
      <c r="O10" s="40" t="str">
        <f>IF(AND('Matriz de Riesgos'!$AF$38="Muy Alta",'Matriz de Riesgos'!$AH$38="Leve"),CONCATENATE("R5C",'Matriz de Riesgos'!$U$38),"")</f>
        <v/>
      </c>
      <c r="P10" s="38" t="str">
        <f>IF(AND('Matriz de Riesgos'!$AF$33="Muy Alta",'Matriz de Riesgos'!$AH$33="Menor"),CONCATENATE("R5C",'Matriz de Riesgos'!$U$33),"")</f>
        <v/>
      </c>
      <c r="Q10" s="39" t="str">
        <f>IF(AND('Matriz de Riesgos'!$AF$34="Muy Alta",'Matriz de Riesgos'!$AH$34="Menor"),CONCATENATE("R5C",'Matriz de Riesgos'!$U$34),"")</f>
        <v/>
      </c>
      <c r="R10" s="39" t="str">
        <f>IF(AND('Matriz de Riesgos'!$AF$35="Muy Alta",'Matriz de Riesgos'!$AH$35="Menor"),CONCATENATE("R5C",'Matriz de Riesgos'!$U$35),"")</f>
        <v/>
      </c>
      <c r="S10" s="39" t="str">
        <f>IF(AND('Matriz de Riesgos'!$AF$36="Muy Alta",'Matriz de Riesgos'!$AH$36="Menor"),CONCATENATE("R5C",'Matriz de Riesgos'!$U$36),"")</f>
        <v/>
      </c>
      <c r="T10" s="39" t="str">
        <f>IF(AND('Matriz de Riesgos'!$AF$37="Muy Alta",'Matriz de Riesgos'!$AH$37="Menor"),CONCATENATE("R5C",'Matriz de Riesgos'!$U$37),"")</f>
        <v/>
      </c>
      <c r="U10" s="40" t="str">
        <f>IF(AND('Matriz de Riesgos'!$AF$38="Muy Alta",'Matriz de Riesgos'!$AH$38="Menor"),CONCATENATE("R5C",'Matriz de Riesgos'!$U$38),"")</f>
        <v/>
      </c>
      <c r="V10" s="38" t="str">
        <f>IF(AND('Matriz de Riesgos'!$AF$33="Muy Alta",'Matriz de Riesgos'!$AH$33="Moderado"),CONCATENATE("R5C",'Matriz de Riesgos'!$U$33),"")</f>
        <v/>
      </c>
      <c r="W10" s="39" t="str">
        <f>IF(AND('Matriz de Riesgos'!$AF$34="Muy Alta",'Matriz de Riesgos'!$AH$34="Moderado"),CONCATENATE("R5C",'Matriz de Riesgos'!$U$34),"")</f>
        <v/>
      </c>
      <c r="X10" s="39" t="str">
        <f>IF(AND('Matriz de Riesgos'!$AF$35="Muy Alta",'Matriz de Riesgos'!$AH$35="Moderado"),CONCATENATE("R5C",'Matriz de Riesgos'!$U$35),"")</f>
        <v/>
      </c>
      <c r="Y10" s="39" t="str">
        <f>IF(AND('Matriz de Riesgos'!$AF$36="Muy Alta",'Matriz de Riesgos'!$AH$36="Moderado"),CONCATENATE("R5C",'Matriz de Riesgos'!$U$36),"")</f>
        <v/>
      </c>
      <c r="Z10" s="39" t="str">
        <f>IF(AND('Matriz de Riesgos'!$AF$37="Muy Alta",'Matriz de Riesgos'!$AH$37="Moderado"),CONCATENATE("R5C",'Matriz de Riesgos'!$U$37),"")</f>
        <v/>
      </c>
      <c r="AA10" s="40" t="str">
        <f>IF(AND('Matriz de Riesgos'!$AF$38="Muy Alta",'Matriz de Riesgos'!$AH$38="Moderado"),CONCATENATE("R5C",'Matriz de Riesgos'!$U$38),"")</f>
        <v/>
      </c>
      <c r="AB10" s="38" t="str">
        <f>IF(AND('Matriz de Riesgos'!$AF$33="Muy Alta",'Matriz de Riesgos'!$AH$33="Mayor"),CONCATENATE("R5C",'Matriz de Riesgos'!$U$33),"")</f>
        <v/>
      </c>
      <c r="AC10" s="39" t="str">
        <f>IF(AND('Matriz de Riesgos'!$AF$34="Muy Alta",'Matriz de Riesgos'!$AH$34="Mayor"),CONCATENATE("R5C",'Matriz de Riesgos'!$U$34),"")</f>
        <v/>
      </c>
      <c r="AD10" s="39" t="str">
        <f>IF(AND('Matriz de Riesgos'!$AF$35="Muy Alta",'Matriz de Riesgos'!$AH$35="Mayor"),CONCATENATE("R5C",'Matriz de Riesgos'!$U$35),"")</f>
        <v/>
      </c>
      <c r="AE10" s="39" t="str">
        <f>IF(AND('Matriz de Riesgos'!$AF$36="Muy Alta",'Matriz de Riesgos'!$AH$36="Mayor"),CONCATENATE("R5C",'Matriz de Riesgos'!$U$36),"")</f>
        <v/>
      </c>
      <c r="AF10" s="39" t="str">
        <f>IF(AND('Matriz de Riesgos'!$AF$37="Muy Alta",'Matriz de Riesgos'!$AH$37="Mayor"),CONCATENATE("R5C",'Matriz de Riesgos'!$U$37),"")</f>
        <v/>
      </c>
      <c r="AG10" s="40" t="str">
        <f>IF(AND('Matriz de Riesgos'!$AF$38="Muy Alta",'Matriz de Riesgos'!$AH$38="Mayor"),CONCATENATE("R5C",'Matriz de Riesgos'!$U$38),"")</f>
        <v/>
      </c>
      <c r="AH10" s="41" t="str">
        <f>IF(AND('Matriz de Riesgos'!$AF$33="Muy Alta",'Matriz de Riesgos'!$AH$33="Catastrófico"),CONCATENATE("R5C",'Matriz de Riesgos'!$U$33),"")</f>
        <v/>
      </c>
      <c r="AI10" s="42" t="str">
        <f>IF(AND('Matriz de Riesgos'!$AF$34="Muy Alta",'Matriz de Riesgos'!$AH$34="Catastrófico"),CONCATENATE("R5C",'Matriz de Riesgos'!$U$34),"")</f>
        <v/>
      </c>
      <c r="AJ10" s="42" t="str">
        <f>IF(AND('Matriz de Riesgos'!$AF$35="Muy Alta",'Matriz de Riesgos'!$AH$35="Catastrófico"),CONCATENATE("R5C",'Matriz de Riesgos'!$U$35),"")</f>
        <v/>
      </c>
      <c r="AK10" s="42" t="str">
        <f>IF(AND('Matriz de Riesgos'!$AF$36="Muy Alta",'Matriz de Riesgos'!$AH$36="Catastrófico"),CONCATENATE("R5C",'Matriz de Riesgos'!$U$36),"")</f>
        <v/>
      </c>
      <c r="AL10" s="42" t="str">
        <f>IF(AND('Matriz de Riesgos'!$AF$37="Muy Alta",'Matriz de Riesgos'!$AH$37="Catastrófico"),CONCATENATE("R5C",'Matriz de Riesgos'!$U$37),"")</f>
        <v/>
      </c>
      <c r="AM10" s="43" t="str">
        <f>IF(AND('Matriz de Riesgos'!$AF$38="Muy Alta",'Matriz de Riesgos'!$AH$38="Catastrófico"),CONCATENATE("R5C",'Matriz de Riesgos'!$U$38),"")</f>
        <v/>
      </c>
      <c r="AN10" s="69"/>
      <c r="AO10" s="614"/>
      <c r="AP10" s="615"/>
      <c r="AQ10" s="615"/>
      <c r="AR10" s="615"/>
      <c r="AS10" s="615"/>
      <c r="AT10" s="616"/>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x14ac:dyDescent="0.25">
      <c r="A11" s="69"/>
      <c r="B11" s="509"/>
      <c r="C11" s="509"/>
      <c r="D11" s="510"/>
      <c r="E11" s="608"/>
      <c r="F11" s="607"/>
      <c r="G11" s="607"/>
      <c r="H11" s="607"/>
      <c r="I11" s="623"/>
      <c r="J11" s="38" t="str">
        <f>IF(AND('Matriz de Riesgos'!$AF$39="Muy Alta",'Matriz de Riesgos'!$AH$39="Leve"),CONCATENATE("R6C",'Matriz de Riesgos'!$U$39),"")</f>
        <v/>
      </c>
      <c r="K11" s="39" t="str">
        <f>IF(AND('Matriz de Riesgos'!$AF$40="Muy Alta",'Matriz de Riesgos'!$AH$40="Leve"),CONCATENATE("R6C",'Matriz de Riesgos'!$U$40),"")</f>
        <v/>
      </c>
      <c r="L11" s="39" t="str">
        <f>IF(AND('Matriz de Riesgos'!$AF$41="Muy Alta",'Matriz de Riesgos'!$AH$41="Leve"),CONCATENATE("R6C",'Matriz de Riesgos'!$U$41),"")</f>
        <v/>
      </c>
      <c r="M11" s="39" t="str">
        <f>IF(AND('Matriz de Riesgos'!$AF$42="Muy Alta",'Matriz de Riesgos'!$AH$42="Leve"),CONCATENATE("R6C",'Matriz de Riesgos'!$U$42),"")</f>
        <v/>
      </c>
      <c r="N11" s="39" t="str">
        <f>IF(AND('Matriz de Riesgos'!$AF$43="Muy Alta",'Matriz de Riesgos'!$AH$43="Leve"),CONCATENATE("R6C",'Matriz de Riesgos'!$U$43),"")</f>
        <v/>
      </c>
      <c r="O11" s="40" t="str">
        <f>IF(AND('Matriz de Riesgos'!$AF$44="Muy Alta",'Matriz de Riesgos'!$AH$44="Leve"),CONCATENATE("R6C",'Matriz de Riesgos'!$U$44),"")</f>
        <v/>
      </c>
      <c r="P11" s="38" t="str">
        <f>IF(AND('Matriz de Riesgos'!$AF$39="Muy Alta",'Matriz de Riesgos'!$AH$39="Menor"),CONCATENATE("R6C",'Matriz de Riesgos'!$U$39),"")</f>
        <v/>
      </c>
      <c r="Q11" s="39" t="str">
        <f>IF(AND('Matriz de Riesgos'!$AF$40="Muy Alta",'Matriz de Riesgos'!$AH$40="Menor"),CONCATENATE("R6C",'Matriz de Riesgos'!$U$40),"")</f>
        <v/>
      </c>
      <c r="R11" s="39" t="str">
        <f>IF(AND('Matriz de Riesgos'!$AF$41="Muy Alta",'Matriz de Riesgos'!$AH$41="Menor"),CONCATENATE("R6C",'Matriz de Riesgos'!$U$41),"")</f>
        <v/>
      </c>
      <c r="S11" s="39" t="str">
        <f>IF(AND('Matriz de Riesgos'!$AF$42="Muy Alta",'Matriz de Riesgos'!$AH$42="Menor"),CONCATENATE("R6C",'Matriz de Riesgos'!$U$42),"")</f>
        <v/>
      </c>
      <c r="T11" s="39" t="str">
        <f>IF(AND('Matriz de Riesgos'!$AF$43="Muy Alta",'Matriz de Riesgos'!$AH$43="Menor"),CONCATENATE("R6C",'Matriz de Riesgos'!$U$43),"")</f>
        <v/>
      </c>
      <c r="U11" s="40" t="str">
        <f>IF(AND('Matriz de Riesgos'!$AF$44="Muy Alta",'Matriz de Riesgos'!$AH$44="Menor"),CONCATENATE("R6C",'Matriz de Riesgos'!$U$44),"")</f>
        <v/>
      </c>
      <c r="V11" s="38" t="str">
        <f>IF(AND('Matriz de Riesgos'!$AF$39="Muy Alta",'Matriz de Riesgos'!$AH$39="Moderado"),CONCATENATE("R6C",'Matriz de Riesgos'!$U$39),"")</f>
        <v/>
      </c>
      <c r="W11" s="39" t="str">
        <f>IF(AND('Matriz de Riesgos'!$AF$40="Muy Alta",'Matriz de Riesgos'!$AH$40="Moderado"),CONCATENATE("R6C",'Matriz de Riesgos'!$U$40),"")</f>
        <v/>
      </c>
      <c r="X11" s="39" t="str">
        <f>IF(AND('Matriz de Riesgos'!$AF$41="Muy Alta",'Matriz de Riesgos'!$AH$41="Moderado"),CONCATENATE("R6C",'Matriz de Riesgos'!$U$41),"")</f>
        <v/>
      </c>
      <c r="Y11" s="39" t="str">
        <f>IF(AND('Matriz de Riesgos'!$AF$42="Muy Alta",'Matriz de Riesgos'!$AH$42="Moderado"),CONCATENATE("R6C",'Matriz de Riesgos'!$U$42),"")</f>
        <v/>
      </c>
      <c r="Z11" s="39" t="str">
        <f>IF(AND('Matriz de Riesgos'!$AF$43="Muy Alta",'Matriz de Riesgos'!$AH$43="Moderado"),CONCATENATE("R6C",'Matriz de Riesgos'!$U$43),"")</f>
        <v/>
      </c>
      <c r="AA11" s="40" t="str">
        <f>IF(AND('Matriz de Riesgos'!$AF$44="Muy Alta",'Matriz de Riesgos'!$AH$44="Moderado"),CONCATENATE("R6C",'Matriz de Riesgos'!$U$44),"")</f>
        <v/>
      </c>
      <c r="AB11" s="38" t="str">
        <f>IF(AND('Matriz de Riesgos'!$AF$39="Muy Alta",'Matriz de Riesgos'!$AH$39="Mayor"),CONCATENATE("R6C",'Matriz de Riesgos'!$U$39),"")</f>
        <v/>
      </c>
      <c r="AC11" s="39" t="str">
        <f>IF(AND('Matriz de Riesgos'!$AF$40="Muy Alta",'Matriz de Riesgos'!$AH$40="Mayor"),CONCATENATE("R6C",'Matriz de Riesgos'!$U$40),"")</f>
        <v/>
      </c>
      <c r="AD11" s="39" t="str">
        <f>IF(AND('Matriz de Riesgos'!$AF$41="Muy Alta",'Matriz de Riesgos'!$AH$41="Mayor"),CONCATENATE("R6C",'Matriz de Riesgos'!$U$41),"")</f>
        <v/>
      </c>
      <c r="AE11" s="39" t="str">
        <f>IF(AND('Matriz de Riesgos'!$AF$42="Muy Alta",'Matriz de Riesgos'!$AH$42="Mayor"),CONCATENATE("R6C",'Matriz de Riesgos'!$U$42),"")</f>
        <v/>
      </c>
      <c r="AF11" s="39" t="str">
        <f>IF(AND('Matriz de Riesgos'!$AF$43="Muy Alta",'Matriz de Riesgos'!$AH$43="Mayor"),CONCATENATE("R6C",'Matriz de Riesgos'!$U$43),"")</f>
        <v/>
      </c>
      <c r="AG11" s="40" t="str">
        <f>IF(AND('Matriz de Riesgos'!$AF$44="Muy Alta",'Matriz de Riesgos'!$AH$44="Mayor"),CONCATENATE("R6C",'Matriz de Riesgos'!$U$44),"")</f>
        <v/>
      </c>
      <c r="AH11" s="41" t="str">
        <f>IF(AND('Matriz de Riesgos'!$AF$39="Muy Alta",'Matriz de Riesgos'!$AH$39="Catastrófico"),CONCATENATE("R6C",'Matriz de Riesgos'!$U$39),"")</f>
        <v/>
      </c>
      <c r="AI11" s="42" t="str">
        <f>IF(AND('Matriz de Riesgos'!$AF$40="Muy Alta",'Matriz de Riesgos'!$AH$40="Catastrófico"),CONCATENATE("R6C",'Matriz de Riesgos'!$U$40),"")</f>
        <v/>
      </c>
      <c r="AJ11" s="42" t="str">
        <f>IF(AND('Matriz de Riesgos'!$AF$41="Muy Alta",'Matriz de Riesgos'!$AH$41="Catastrófico"),CONCATENATE("R6C",'Matriz de Riesgos'!$U$41),"")</f>
        <v/>
      </c>
      <c r="AK11" s="42" t="str">
        <f>IF(AND('Matriz de Riesgos'!$AF$42="Muy Alta",'Matriz de Riesgos'!$AH$42="Catastrófico"),CONCATENATE("R6C",'Matriz de Riesgos'!$U$42),"")</f>
        <v/>
      </c>
      <c r="AL11" s="42" t="str">
        <f>IF(AND('Matriz de Riesgos'!$AF$43="Muy Alta",'Matriz de Riesgos'!$AH$43="Catastrófico"),CONCATENATE("R6C",'Matriz de Riesgos'!$U$43),"")</f>
        <v/>
      </c>
      <c r="AM11" s="43" t="str">
        <f>IF(AND('Matriz de Riesgos'!$AF$44="Muy Alta",'Matriz de Riesgos'!$AH$44="Catastrófico"),CONCATENATE("R6C",'Matriz de Riesgos'!$U$44),"")</f>
        <v/>
      </c>
      <c r="AN11" s="69"/>
      <c r="AO11" s="614"/>
      <c r="AP11" s="615"/>
      <c r="AQ11" s="615"/>
      <c r="AR11" s="615"/>
      <c r="AS11" s="615"/>
      <c r="AT11" s="616"/>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x14ac:dyDescent="0.25">
      <c r="A12" s="69"/>
      <c r="B12" s="509"/>
      <c r="C12" s="509"/>
      <c r="D12" s="510"/>
      <c r="E12" s="608"/>
      <c r="F12" s="607"/>
      <c r="G12" s="607"/>
      <c r="H12" s="607"/>
      <c r="I12" s="623"/>
      <c r="J12" s="38" t="str">
        <f>IF(AND('Matriz de Riesgos'!$AF$45="Muy Alta",'Matriz de Riesgos'!$AH$45="Leve"),CONCATENATE("R7C",'Matriz de Riesgos'!$U$45),"")</f>
        <v/>
      </c>
      <c r="K12" s="39" t="str">
        <f>IF(AND('Matriz de Riesgos'!$AF$46="Muy Alta",'Matriz de Riesgos'!$AH$46="Leve"),CONCATENATE("R7C",'Matriz de Riesgos'!$U$46),"")</f>
        <v/>
      </c>
      <c r="L12" s="39" t="str">
        <f>IF(AND('Matriz de Riesgos'!$AF$47="Muy Alta",'Matriz de Riesgos'!$AH$47="Leve"),CONCATENATE("R7C",'Matriz de Riesgos'!$U$47),"")</f>
        <v/>
      </c>
      <c r="M12" s="39" t="str">
        <f>IF(AND('Matriz de Riesgos'!$AF$48="Muy Alta",'Matriz de Riesgos'!$AH$48="Leve"),CONCATENATE("R7C",'Matriz de Riesgos'!$U$48),"")</f>
        <v/>
      </c>
      <c r="N12" s="39" t="str">
        <f>IF(AND('Matriz de Riesgos'!$AF$49="Muy Alta",'Matriz de Riesgos'!$AH$49="Leve"),CONCATENATE("R7C",'Matriz de Riesgos'!$U$49),"")</f>
        <v/>
      </c>
      <c r="O12" s="40" t="str">
        <f>IF(AND('Matriz de Riesgos'!$AF$50="Muy Alta",'Matriz de Riesgos'!$AH$50="Leve"),CONCATENATE("R7C",'Matriz de Riesgos'!$U$50),"")</f>
        <v/>
      </c>
      <c r="P12" s="38" t="str">
        <f>IF(AND('Matriz de Riesgos'!$AF$45="Muy Alta",'Matriz de Riesgos'!$AH$45="Menor"),CONCATENATE("R7C",'Matriz de Riesgos'!$U$45),"")</f>
        <v/>
      </c>
      <c r="Q12" s="39" t="str">
        <f>IF(AND('Matriz de Riesgos'!$AF$46="Muy Alta",'Matriz de Riesgos'!$AH$46="Menor"),CONCATENATE("R7C",'Matriz de Riesgos'!$U$46),"")</f>
        <v/>
      </c>
      <c r="R12" s="39" t="str">
        <f>IF(AND('Matriz de Riesgos'!$AF$47="Muy Alta",'Matriz de Riesgos'!$AH$47="Menor"),CONCATENATE("R7C",'Matriz de Riesgos'!$U$47),"")</f>
        <v/>
      </c>
      <c r="S12" s="39" t="str">
        <f>IF(AND('Matriz de Riesgos'!$AF$48="Muy Alta",'Matriz de Riesgos'!$AH$48="Menor"),CONCATENATE("R7C",'Matriz de Riesgos'!$U$48),"")</f>
        <v/>
      </c>
      <c r="T12" s="39" t="str">
        <f>IF(AND('Matriz de Riesgos'!$AF$49="Muy Alta",'Matriz de Riesgos'!$AH$49="Menor"),CONCATENATE("R7C",'Matriz de Riesgos'!$U$49),"")</f>
        <v/>
      </c>
      <c r="U12" s="40" t="str">
        <f>IF(AND('Matriz de Riesgos'!$AF$50="Muy Alta",'Matriz de Riesgos'!$AH$50="Menor"),CONCATENATE("R7C",'Matriz de Riesgos'!$U$50),"")</f>
        <v/>
      </c>
      <c r="V12" s="38" t="str">
        <f>IF(AND('Matriz de Riesgos'!$AF$45="Muy Alta",'Matriz de Riesgos'!$AH$45="Moderado"),CONCATENATE("R7C",'Matriz de Riesgos'!$U$45),"")</f>
        <v/>
      </c>
      <c r="W12" s="39" t="str">
        <f>IF(AND('Matriz de Riesgos'!$AF$46="Muy Alta",'Matriz de Riesgos'!$AH$46="Moderado"),CONCATENATE("R7C",'Matriz de Riesgos'!$U$46),"")</f>
        <v/>
      </c>
      <c r="X12" s="39" t="str">
        <f>IF(AND('Matriz de Riesgos'!$AF$47="Muy Alta",'Matriz de Riesgos'!$AH$47="Moderado"),CONCATENATE("R7C",'Matriz de Riesgos'!$U$47),"")</f>
        <v/>
      </c>
      <c r="Y12" s="39" t="str">
        <f>IF(AND('Matriz de Riesgos'!$AF$48="Muy Alta",'Matriz de Riesgos'!$AH$48="Moderado"),CONCATENATE("R7C",'Matriz de Riesgos'!$U$48),"")</f>
        <v/>
      </c>
      <c r="Z12" s="39" t="str">
        <f>IF(AND('Matriz de Riesgos'!$AF$49="Muy Alta",'Matriz de Riesgos'!$AH$49="Moderado"),CONCATENATE("R7C",'Matriz de Riesgos'!$U$49),"")</f>
        <v/>
      </c>
      <c r="AA12" s="40" t="str">
        <f>IF(AND('Matriz de Riesgos'!$AF$50="Muy Alta",'Matriz de Riesgos'!$AH$50="Moderado"),CONCATENATE("R7C",'Matriz de Riesgos'!$U$50),"")</f>
        <v/>
      </c>
      <c r="AB12" s="38" t="str">
        <f>IF(AND('Matriz de Riesgos'!$AF$45="Muy Alta",'Matriz de Riesgos'!$AH$45="Mayor"),CONCATENATE("R7C",'Matriz de Riesgos'!$U$45),"")</f>
        <v/>
      </c>
      <c r="AC12" s="39" t="str">
        <f>IF(AND('Matriz de Riesgos'!$AF$46="Muy Alta",'Matriz de Riesgos'!$AH$46="Mayor"),CONCATENATE("R7C",'Matriz de Riesgos'!$U$46),"")</f>
        <v/>
      </c>
      <c r="AD12" s="39" t="str">
        <f>IF(AND('Matriz de Riesgos'!$AF$47="Muy Alta",'Matriz de Riesgos'!$AH$47="Mayor"),CONCATENATE("R7C",'Matriz de Riesgos'!$U$47),"")</f>
        <v/>
      </c>
      <c r="AE12" s="39" t="str">
        <f>IF(AND('Matriz de Riesgos'!$AF$48="Muy Alta",'Matriz de Riesgos'!$AH$48="Mayor"),CONCATENATE("R7C",'Matriz de Riesgos'!$U$48),"")</f>
        <v/>
      </c>
      <c r="AF12" s="39" t="str">
        <f>IF(AND('Matriz de Riesgos'!$AF$49="Muy Alta",'Matriz de Riesgos'!$AH$49="Mayor"),CONCATENATE("R7C",'Matriz de Riesgos'!$U$49),"")</f>
        <v/>
      </c>
      <c r="AG12" s="40" t="str">
        <f>IF(AND('Matriz de Riesgos'!$AF$50="Muy Alta",'Matriz de Riesgos'!$AH$50="Mayor"),CONCATENATE("R7C",'Matriz de Riesgos'!$U$50),"")</f>
        <v/>
      </c>
      <c r="AH12" s="41" t="str">
        <f>IF(AND('Matriz de Riesgos'!$AF$45="Muy Alta",'Matriz de Riesgos'!$AH$45="Catastrófico"),CONCATENATE("R7C",'Matriz de Riesgos'!$U$45),"")</f>
        <v/>
      </c>
      <c r="AI12" s="42" t="str">
        <f>IF(AND('Matriz de Riesgos'!$AF$46="Muy Alta",'Matriz de Riesgos'!$AH$46="Catastrófico"),CONCATENATE("R7C",'Matriz de Riesgos'!$U$46),"")</f>
        <v/>
      </c>
      <c r="AJ12" s="42" t="str">
        <f>IF(AND('Matriz de Riesgos'!$AF$47="Muy Alta",'Matriz de Riesgos'!$AH$47="Catastrófico"),CONCATENATE("R7C",'Matriz de Riesgos'!$U$47),"")</f>
        <v/>
      </c>
      <c r="AK12" s="42" t="str">
        <f>IF(AND('Matriz de Riesgos'!$AF$48="Muy Alta",'Matriz de Riesgos'!$AH$48="Catastrófico"),CONCATENATE("R7C",'Matriz de Riesgos'!$U$48),"")</f>
        <v/>
      </c>
      <c r="AL12" s="42" t="str">
        <f>IF(AND('Matriz de Riesgos'!$AF$49="Muy Alta",'Matriz de Riesgos'!$AH$49="Catastrófico"),CONCATENATE("R7C",'Matriz de Riesgos'!$U$49),"")</f>
        <v/>
      </c>
      <c r="AM12" s="43" t="str">
        <f>IF(AND('Matriz de Riesgos'!$AF$50="Muy Alta",'Matriz de Riesgos'!$AH$50="Catastrófico"),CONCATENATE("R7C",'Matriz de Riesgos'!$U$50),"")</f>
        <v/>
      </c>
      <c r="AN12" s="69"/>
      <c r="AO12" s="614"/>
      <c r="AP12" s="615"/>
      <c r="AQ12" s="615"/>
      <c r="AR12" s="615"/>
      <c r="AS12" s="615"/>
      <c r="AT12" s="616"/>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x14ac:dyDescent="0.25">
      <c r="A13" s="69"/>
      <c r="B13" s="509"/>
      <c r="C13" s="509"/>
      <c r="D13" s="510"/>
      <c r="E13" s="608"/>
      <c r="F13" s="607"/>
      <c r="G13" s="607"/>
      <c r="H13" s="607"/>
      <c r="I13" s="623"/>
      <c r="J13" s="38" t="str">
        <f>IF(AND('Matriz de Riesgos'!$AF$51="Muy Alta",'Matriz de Riesgos'!$AH$51="Leve"),CONCATENATE("R8C",'Matriz de Riesgos'!$U$51),"")</f>
        <v/>
      </c>
      <c r="K13" s="39" t="str">
        <f>IF(AND('Matriz de Riesgos'!$AF$52="Muy Alta",'Matriz de Riesgos'!$AH$52="Leve"),CONCATENATE("R8C",'Matriz de Riesgos'!$U$52),"")</f>
        <v/>
      </c>
      <c r="L13" s="39" t="str">
        <f>IF(AND('Matriz de Riesgos'!$AF$53="Muy Alta",'Matriz de Riesgos'!$AH$53="Leve"),CONCATENATE("R8C",'Matriz de Riesgos'!$U$53),"")</f>
        <v/>
      </c>
      <c r="M13" s="39" t="str">
        <f>IF(AND('Matriz de Riesgos'!$AF$54="Muy Alta",'Matriz de Riesgos'!$AH$54="Leve"),CONCATENATE("R8C",'Matriz de Riesgos'!$U$54),"")</f>
        <v/>
      </c>
      <c r="N13" s="39" t="str">
        <f>IF(AND('Matriz de Riesgos'!$AF$55="Muy Alta",'Matriz de Riesgos'!$AH$55="Leve"),CONCATENATE("R8C",'Matriz de Riesgos'!$U$55),"")</f>
        <v/>
      </c>
      <c r="O13" s="40" t="str">
        <f>IF(AND('Matriz de Riesgos'!$AF$56="Muy Alta",'Matriz de Riesgos'!$AH$56="Leve"),CONCATENATE("R8C",'Matriz de Riesgos'!$U$56),"")</f>
        <v/>
      </c>
      <c r="P13" s="38" t="str">
        <f>IF(AND('Matriz de Riesgos'!$AF$51="Muy Alta",'Matriz de Riesgos'!$AH$51="Menor"),CONCATENATE("R8C",'Matriz de Riesgos'!$U$51),"")</f>
        <v/>
      </c>
      <c r="Q13" s="39" t="str">
        <f>IF(AND('Matriz de Riesgos'!$AF$52="Muy Alta",'Matriz de Riesgos'!$AH$52="Menor"),CONCATENATE("R8C",'Matriz de Riesgos'!$U$52),"")</f>
        <v/>
      </c>
      <c r="R13" s="39" t="str">
        <f>IF(AND('Matriz de Riesgos'!$AF$53="Muy Alta",'Matriz de Riesgos'!$AH$53="Menor"),CONCATENATE("R8C",'Matriz de Riesgos'!$U$53),"")</f>
        <v/>
      </c>
      <c r="S13" s="39" t="str">
        <f>IF(AND('Matriz de Riesgos'!$AF$54="Muy Alta",'Matriz de Riesgos'!$AH$54="Menor"),CONCATENATE("R8C",'Matriz de Riesgos'!$U$54),"")</f>
        <v/>
      </c>
      <c r="T13" s="39" t="str">
        <f>IF(AND('Matriz de Riesgos'!$AF$55="Muy Alta",'Matriz de Riesgos'!$AH$55="Menor"),CONCATENATE("R8C",'Matriz de Riesgos'!$U$55),"")</f>
        <v/>
      </c>
      <c r="U13" s="40" t="str">
        <f>IF(AND('Matriz de Riesgos'!$AF$56="Muy Alta",'Matriz de Riesgos'!$AH$56="Menor"),CONCATENATE("R8C",'Matriz de Riesgos'!$U$56),"")</f>
        <v/>
      </c>
      <c r="V13" s="38" t="str">
        <f>IF(AND('Matriz de Riesgos'!$AF$51="Muy Alta",'Matriz de Riesgos'!$AH$51="Moderado"),CONCATENATE("R8C",'Matriz de Riesgos'!$U$51),"")</f>
        <v/>
      </c>
      <c r="W13" s="39" t="str">
        <f>IF(AND('Matriz de Riesgos'!$AF$52="Muy Alta",'Matriz de Riesgos'!$AH$52="Moderado"),CONCATENATE("R8C",'Matriz de Riesgos'!$U$52),"")</f>
        <v/>
      </c>
      <c r="X13" s="39" t="str">
        <f>IF(AND('Matriz de Riesgos'!$AF$53="Muy Alta",'Matriz de Riesgos'!$AH$53="Moderado"),CONCATENATE("R8C",'Matriz de Riesgos'!$U$53),"")</f>
        <v/>
      </c>
      <c r="Y13" s="39" t="str">
        <f>IF(AND('Matriz de Riesgos'!$AF$54="Muy Alta",'Matriz de Riesgos'!$AH$54="Moderado"),CONCATENATE("R8C",'Matriz de Riesgos'!$U$54),"")</f>
        <v/>
      </c>
      <c r="Z13" s="39" t="str">
        <f>IF(AND('Matriz de Riesgos'!$AF$55="Muy Alta",'Matriz de Riesgos'!$AH$55="Moderado"),CONCATENATE("R8C",'Matriz de Riesgos'!$U$55),"")</f>
        <v/>
      </c>
      <c r="AA13" s="40" t="str">
        <f>IF(AND('Matriz de Riesgos'!$AF$56="Muy Alta",'Matriz de Riesgos'!$AH$56="Moderado"),CONCATENATE("R8C",'Matriz de Riesgos'!$U$56),"")</f>
        <v/>
      </c>
      <c r="AB13" s="38" t="str">
        <f>IF(AND('Matriz de Riesgos'!$AF$51="Muy Alta",'Matriz de Riesgos'!$AH$51="Mayor"),CONCATENATE("R8C",'Matriz de Riesgos'!$U$51),"")</f>
        <v/>
      </c>
      <c r="AC13" s="39" t="str">
        <f>IF(AND('Matriz de Riesgos'!$AF$52="Muy Alta",'Matriz de Riesgos'!$AH$52="Mayor"),CONCATENATE("R8C",'Matriz de Riesgos'!$U$52),"")</f>
        <v/>
      </c>
      <c r="AD13" s="39" t="str">
        <f>IF(AND('Matriz de Riesgos'!$AF$53="Muy Alta",'Matriz de Riesgos'!$AH$53="Mayor"),CONCATENATE("R8C",'Matriz de Riesgos'!$U$53),"")</f>
        <v/>
      </c>
      <c r="AE13" s="39" t="str">
        <f>IF(AND('Matriz de Riesgos'!$AF$54="Muy Alta",'Matriz de Riesgos'!$AH$54="Mayor"),CONCATENATE("R8C",'Matriz de Riesgos'!$U$54),"")</f>
        <v/>
      </c>
      <c r="AF13" s="39" t="str">
        <f>IF(AND('Matriz de Riesgos'!$AF$55="Muy Alta",'Matriz de Riesgos'!$AH$55="Mayor"),CONCATENATE("R8C",'Matriz de Riesgos'!$U$55),"")</f>
        <v/>
      </c>
      <c r="AG13" s="40" t="str">
        <f>IF(AND('Matriz de Riesgos'!$AF$56="Muy Alta",'Matriz de Riesgos'!$AH$56="Mayor"),CONCATENATE("R8C",'Matriz de Riesgos'!$U$56),"")</f>
        <v/>
      </c>
      <c r="AH13" s="41" t="str">
        <f>IF(AND('Matriz de Riesgos'!$AF$51="Muy Alta",'Matriz de Riesgos'!$AH$51="Catastrófico"),CONCATENATE("R8C",'Matriz de Riesgos'!$U$51),"")</f>
        <v/>
      </c>
      <c r="AI13" s="42" t="str">
        <f>IF(AND('Matriz de Riesgos'!$AF$52="Muy Alta",'Matriz de Riesgos'!$AH$52="Catastrófico"),CONCATENATE("R8C",'Matriz de Riesgos'!$U$52),"")</f>
        <v/>
      </c>
      <c r="AJ13" s="42" t="str">
        <f>IF(AND('Matriz de Riesgos'!$AF$53="Muy Alta",'Matriz de Riesgos'!$AH$53="Catastrófico"),CONCATENATE("R8C",'Matriz de Riesgos'!$U$53),"")</f>
        <v/>
      </c>
      <c r="AK13" s="42" t="str">
        <f>IF(AND('Matriz de Riesgos'!$AF$54="Muy Alta",'Matriz de Riesgos'!$AH$54="Catastrófico"),CONCATENATE("R8C",'Matriz de Riesgos'!$U$54),"")</f>
        <v/>
      </c>
      <c r="AL13" s="42" t="str">
        <f>IF(AND('Matriz de Riesgos'!$AF$55="Muy Alta",'Matriz de Riesgos'!$AH$55="Catastrófico"),CONCATENATE("R8C",'Matriz de Riesgos'!$U$55),"")</f>
        <v/>
      </c>
      <c r="AM13" s="43" t="str">
        <f>IF(AND('Matriz de Riesgos'!$AF$56="Muy Alta",'Matriz de Riesgos'!$AH$56="Catastrófico"),CONCATENATE("R8C",'Matriz de Riesgos'!$U$56),"")</f>
        <v/>
      </c>
      <c r="AN13" s="69"/>
      <c r="AO13" s="614"/>
      <c r="AP13" s="615"/>
      <c r="AQ13" s="615"/>
      <c r="AR13" s="615"/>
      <c r="AS13" s="615"/>
      <c r="AT13" s="616"/>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x14ac:dyDescent="0.25">
      <c r="A14" s="69"/>
      <c r="B14" s="509"/>
      <c r="C14" s="509"/>
      <c r="D14" s="510"/>
      <c r="E14" s="608"/>
      <c r="F14" s="607"/>
      <c r="G14" s="607"/>
      <c r="H14" s="607"/>
      <c r="I14" s="623"/>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614"/>
      <c r="AP14" s="615"/>
      <c r="AQ14" s="615"/>
      <c r="AR14" s="615"/>
      <c r="AS14" s="615"/>
      <c r="AT14" s="616"/>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x14ac:dyDescent="0.3">
      <c r="A15" s="69"/>
      <c r="B15" s="509"/>
      <c r="C15" s="509"/>
      <c r="D15" s="510"/>
      <c r="E15" s="609"/>
      <c r="F15" s="610"/>
      <c r="G15" s="610"/>
      <c r="H15" s="610"/>
      <c r="I15" s="624"/>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617"/>
      <c r="AP15" s="618"/>
      <c r="AQ15" s="618"/>
      <c r="AR15" s="618"/>
      <c r="AS15" s="618"/>
      <c r="AT15" s="61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x14ac:dyDescent="0.25">
      <c r="A16" s="69"/>
      <c r="B16" s="509"/>
      <c r="C16" s="509"/>
      <c r="D16" s="510"/>
      <c r="E16" s="604" t="s">
        <v>946</v>
      </c>
      <c r="F16" s="605"/>
      <c r="G16" s="605"/>
      <c r="H16" s="605"/>
      <c r="I16" s="605"/>
      <c r="J16" s="50" t="str">
        <f>IF(AND('Matriz de Riesgos'!$AF$12="Alta",'Matriz de Riesgos'!$AH$12="Leve"),CONCATENATE("R1C",'Matriz de Riesgos'!$U$12),"")</f>
        <v/>
      </c>
      <c r="K16" s="51" t="str">
        <f>IF(AND('Matriz de Riesgos'!$AF$13="Alta",'Matriz de Riesgos'!$AH$13="Leve"),CONCATENATE("R1C",'Matriz de Riesgos'!$U$13),"")</f>
        <v/>
      </c>
      <c r="L16" s="51" t="e">
        <f>IF(AND('Matriz de Riesgos'!#REF!="Alta",'Matriz de Riesgos'!#REF!="Leve"),CONCATENATE("R1C",'Matriz de Riesgos'!#REF!),"")</f>
        <v>#REF!</v>
      </c>
      <c r="M16" s="51" t="e">
        <f>IF(AND('Matriz de Riesgos'!#REF!="Alta",'Matriz de Riesgos'!#REF!="Leve"),CONCATENATE("R1C",'Matriz de Riesgos'!#REF!),"")</f>
        <v>#REF!</v>
      </c>
      <c r="N16" s="51" t="e">
        <f>IF(AND('Matriz de Riesgos'!#REF!="Alta",'Matriz de Riesgos'!#REF!="Leve"),CONCATENATE("R1C",'Matriz de Riesgos'!#REF!),"")</f>
        <v>#REF!</v>
      </c>
      <c r="O16" s="52" t="str">
        <f>IF(AND('Matriz de Riesgos'!$AF$14="Alta",'Matriz de Riesgos'!$AH$14="Leve"),CONCATENATE("R1C",'Matriz de Riesgos'!$U$14),"")</f>
        <v/>
      </c>
      <c r="P16" s="50" t="str">
        <f>IF(AND('Matriz de Riesgos'!$AF$12="Alta",'Matriz de Riesgos'!$AH$12="Menor"),CONCATENATE("R1C",'Matriz de Riesgos'!$U$12),"")</f>
        <v/>
      </c>
      <c r="Q16" s="51" t="str">
        <f>IF(AND('Matriz de Riesgos'!$AF$13="Alta",'Matriz de Riesgos'!$AH$13="Menor"),CONCATENATE("R1C",'Matriz de Riesgos'!$U$13),"")</f>
        <v/>
      </c>
      <c r="R16" s="51" t="e">
        <f>IF(AND('Matriz de Riesgos'!#REF!="Alta",'Matriz de Riesgos'!#REF!="Menor"),CONCATENATE("R1C",'Matriz de Riesgos'!#REF!),"")</f>
        <v>#REF!</v>
      </c>
      <c r="S16" s="51" t="e">
        <f>IF(AND('Matriz de Riesgos'!#REF!="Alta",'Matriz de Riesgos'!#REF!="Menor"),CONCATENATE("R1C",'Matriz de Riesgos'!#REF!),"")</f>
        <v>#REF!</v>
      </c>
      <c r="T16" s="51" t="e">
        <f>IF(AND('Matriz de Riesgos'!#REF!="Alta",'Matriz de Riesgos'!#REF!="Menor"),CONCATENATE("R1C",'Matriz de Riesgos'!#REF!),"")</f>
        <v>#REF!</v>
      </c>
      <c r="U16" s="52" t="str">
        <f>IF(AND('Matriz de Riesgos'!$AF$14="Alta",'Matriz de Riesgos'!$AH$14="Menor"),CONCATENATE("R1C",'Matriz de Riesgos'!$U$14),"")</f>
        <v/>
      </c>
      <c r="V16" s="32" t="str">
        <f>IF(AND('Matriz de Riesgos'!$AF$12="Alta",'Matriz de Riesgos'!$AH$12="Moderado"),CONCATENATE("R1C",'Matriz de Riesgos'!$U$12),"")</f>
        <v/>
      </c>
      <c r="W16" s="33" t="str">
        <f>IF(AND('Matriz de Riesgos'!$AF$13="Alta",'Matriz de Riesgos'!$AH$13="Moderado"),CONCATENATE("R1C",'Matriz de Riesgos'!$U$13),"")</f>
        <v/>
      </c>
      <c r="X16" s="33" t="e">
        <f>IF(AND('Matriz de Riesgos'!#REF!="Alta",'Matriz de Riesgos'!#REF!="Moderado"),CONCATENATE("R1C",'Matriz de Riesgos'!#REF!),"")</f>
        <v>#REF!</v>
      </c>
      <c r="Y16" s="33" t="e">
        <f>IF(AND('Matriz de Riesgos'!#REF!="Alta",'Matriz de Riesgos'!#REF!="Moderado"),CONCATENATE("R1C",'Matriz de Riesgos'!#REF!),"")</f>
        <v>#REF!</v>
      </c>
      <c r="Z16" s="33" t="e">
        <f>IF(AND('Matriz de Riesgos'!#REF!="Alta",'Matriz de Riesgos'!#REF!="Moderado"),CONCATENATE("R1C",'Matriz de Riesgos'!#REF!),"")</f>
        <v>#REF!</v>
      </c>
      <c r="AA16" s="34" t="str">
        <f>IF(AND('Matriz de Riesgos'!$AF$14="Alta",'Matriz de Riesgos'!$AH$14="Moderado"),CONCATENATE("R1C",'Matriz de Riesgos'!$U$14),"")</f>
        <v/>
      </c>
      <c r="AB16" s="32" t="str">
        <f>IF(AND('Matriz de Riesgos'!$AF$12="Alta",'Matriz de Riesgos'!$AH$12="Mayor"),CONCATENATE("R1C",'Matriz de Riesgos'!$U$12),"")</f>
        <v/>
      </c>
      <c r="AC16" s="33" t="str">
        <f>IF(AND('Matriz de Riesgos'!$AF$13="Alta",'Matriz de Riesgos'!$AH$13="Mayor"),CONCATENATE("R1C",'Matriz de Riesgos'!$U$13),"")</f>
        <v/>
      </c>
      <c r="AD16" s="33" t="e">
        <f>IF(AND('Matriz de Riesgos'!#REF!="Alta",'Matriz de Riesgos'!#REF!="Mayor"),CONCATENATE("R1C",'Matriz de Riesgos'!#REF!),"")</f>
        <v>#REF!</v>
      </c>
      <c r="AE16" s="33" t="e">
        <f>IF(AND('Matriz de Riesgos'!#REF!="Alta",'Matriz de Riesgos'!#REF!="Mayor"),CONCATENATE("R1C",'Matriz de Riesgos'!#REF!),"")</f>
        <v>#REF!</v>
      </c>
      <c r="AF16" s="33" t="e">
        <f>IF(AND('Matriz de Riesgos'!#REF!="Alta",'Matriz de Riesgos'!#REF!="Mayor"),CONCATENATE("R1C",'Matriz de Riesgos'!#REF!),"")</f>
        <v>#REF!</v>
      </c>
      <c r="AG16" s="34" t="str">
        <f>IF(AND('Matriz de Riesgos'!$AF$14="Alta",'Matriz de Riesgos'!$AH$14="Mayor"),CONCATENATE("R1C",'Matriz de Riesgos'!$U$14),"")</f>
        <v/>
      </c>
      <c r="AH16" s="35" t="str">
        <f>IF(AND('Matriz de Riesgos'!$AF$12="Alta",'Matriz de Riesgos'!$AH$12="Catastrófico"),CONCATENATE("R1C",'Matriz de Riesgos'!$U$12),"")</f>
        <v/>
      </c>
      <c r="AI16" s="36" t="str">
        <f>IF(AND('Matriz de Riesgos'!$AF$13="Alta",'Matriz de Riesgos'!$AH$13="Catastrófico"),CONCATENATE("R1C",'Matriz de Riesgos'!$U$13),"")</f>
        <v/>
      </c>
      <c r="AJ16" s="36" t="e">
        <f>IF(AND('Matriz de Riesgos'!#REF!="Alta",'Matriz de Riesgos'!#REF!="Catastrófico"),CONCATENATE("R1C",'Matriz de Riesgos'!#REF!),"")</f>
        <v>#REF!</v>
      </c>
      <c r="AK16" s="36" t="e">
        <f>IF(AND('Matriz de Riesgos'!#REF!="Alta",'Matriz de Riesgos'!#REF!="Catastrófico"),CONCATENATE("R1C",'Matriz de Riesgos'!#REF!),"")</f>
        <v>#REF!</v>
      </c>
      <c r="AL16" s="36" t="e">
        <f>IF(AND('Matriz de Riesgos'!#REF!="Alta",'Matriz de Riesgos'!#REF!="Catastrófico"),CONCATENATE("R1C",'Matriz de Riesgos'!#REF!),"")</f>
        <v>#REF!</v>
      </c>
      <c r="AM16" s="37" t="str">
        <f>IF(AND('Matriz de Riesgos'!$AF$14="Alta",'Matriz de Riesgos'!$AH$14="Catastrófico"),CONCATENATE("R1C",'Matriz de Riesgos'!$U$14),"")</f>
        <v/>
      </c>
      <c r="AN16" s="69"/>
      <c r="AO16" s="595" t="s">
        <v>69</v>
      </c>
      <c r="AP16" s="596"/>
      <c r="AQ16" s="596"/>
      <c r="AR16" s="596"/>
      <c r="AS16" s="596"/>
      <c r="AT16" s="597"/>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x14ac:dyDescent="0.25">
      <c r="A17" s="69"/>
      <c r="B17" s="509"/>
      <c r="C17" s="509"/>
      <c r="D17" s="510"/>
      <c r="E17" s="606"/>
      <c r="F17" s="607"/>
      <c r="G17" s="607"/>
      <c r="H17" s="607"/>
      <c r="I17" s="607"/>
      <c r="J17" s="53" t="str">
        <f>IF(AND('Matriz de Riesgos'!$AF$15="Alta",'Matriz de Riesgos'!$AH$15="Leve"),CONCATENATE("R2C",'Matriz de Riesgos'!$U$15),"")</f>
        <v/>
      </c>
      <c r="K17" s="54" t="str">
        <f>IF(AND('Matriz de Riesgos'!$AF$16="Alta",'Matriz de Riesgos'!$AH$16="Leve"),CONCATENATE("R2C",'Matriz de Riesgos'!$U$16),"")</f>
        <v/>
      </c>
      <c r="L17" s="54" t="str">
        <f>IF(AND('Matriz de Riesgos'!$AF$17="Alta",'Matriz de Riesgos'!$AH$17="Leve"),CONCATENATE("R2C",'Matriz de Riesgos'!$U$17),"")</f>
        <v/>
      </c>
      <c r="M17" s="54" t="str">
        <f>IF(AND('Matriz de Riesgos'!$AF$18="Alta",'Matriz de Riesgos'!$AH$18="Leve"),CONCATENATE("R2C",'Matriz de Riesgos'!$U$18),"")</f>
        <v/>
      </c>
      <c r="N17" s="54" t="str">
        <f>IF(AND('Matriz de Riesgos'!$AF$19="Alta",'Matriz de Riesgos'!$AH$19="Leve"),CONCATENATE("R2C",'Matriz de Riesgos'!$U$19),"")</f>
        <v/>
      </c>
      <c r="O17" s="55" t="str">
        <f>IF(AND('Matriz de Riesgos'!$AF$20="Alta",'Matriz de Riesgos'!$AH$20="Leve"),CONCATENATE("R2C",'Matriz de Riesgos'!$U$20),"")</f>
        <v/>
      </c>
      <c r="P17" s="53" t="str">
        <f>IF(AND('Matriz de Riesgos'!$AF$15="Alta",'Matriz de Riesgos'!$AH$15="Menor"),CONCATENATE("R2C",'Matriz de Riesgos'!$U$15),"")</f>
        <v/>
      </c>
      <c r="Q17" s="54" t="str">
        <f>IF(AND('Matriz de Riesgos'!$AF$16="Alta",'Matriz de Riesgos'!$AH$16="Menor"),CONCATENATE("R2C",'Matriz de Riesgos'!$U$16),"")</f>
        <v/>
      </c>
      <c r="R17" s="54" t="str">
        <f>IF(AND('Matriz de Riesgos'!$AF$17="Alta",'Matriz de Riesgos'!$AH$17="Menor"),CONCATENATE("R2C",'Matriz de Riesgos'!$U$17),"")</f>
        <v/>
      </c>
      <c r="S17" s="54" t="str">
        <f>IF(AND('Matriz de Riesgos'!$AF$18="Alta",'Matriz de Riesgos'!$AH$18="Menor"),CONCATENATE("R2C",'Matriz de Riesgos'!$U$18),"")</f>
        <v/>
      </c>
      <c r="T17" s="54" t="str">
        <f>IF(AND('Matriz de Riesgos'!$AF$19="Alta",'Matriz de Riesgos'!$AH$19="Menor"),CONCATENATE("R2C",'Matriz de Riesgos'!$U$19),"")</f>
        <v/>
      </c>
      <c r="U17" s="55" t="str">
        <f>IF(AND('Matriz de Riesgos'!$AF$20="Alta",'Matriz de Riesgos'!$AH$20="Menor"),CONCATENATE("R2C",'Matriz de Riesgos'!$U$20),"")</f>
        <v/>
      </c>
      <c r="V17" s="38" t="str">
        <f>IF(AND('Matriz de Riesgos'!$AF$15="Alta",'Matriz de Riesgos'!$AH$15="Moderado"),CONCATENATE("R2C",'Matriz de Riesgos'!$U$15),"")</f>
        <v/>
      </c>
      <c r="W17" s="39" t="str">
        <f>IF(AND('Matriz de Riesgos'!$AF$16="Alta",'Matriz de Riesgos'!$AH$16="Moderado"),CONCATENATE("R2C",'Matriz de Riesgos'!$U$16),"")</f>
        <v/>
      </c>
      <c r="X17" s="39" t="str">
        <f>IF(AND('Matriz de Riesgos'!$AF$17="Alta",'Matriz de Riesgos'!$AH$17="Moderado"),CONCATENATE("R2C",'Matriz de Riesgos'!$U$17),"")</f>
        <v/>
      </c>
      <c r="Y17" s="39" t="str">
        <f>IF(AND('Matriz de Riesgos'!$AF$18="Alta",'Matriz de Riesgos'!$AH$18="Moderado"),CONCATENATE("R2C",'Matriz de Riesgos'!$U$18),"")</f>
        <v/>
      </c>
      <c r="Z17" s="39" t="str">
        <f>IF(AND('Matriz de Riesgos'!$AF$19="Alta",'Matriz de Riesgos'!$AH$19="Moderado"),CONCATENATE("R2C",'Matriz de Riesgos'!$U$19),"")</f>
        <v/>
      </c>
      <c r="AA17" s="40" t="str">
        <f>IF(AND('Matriz de Riesgos'!$AF$20="Alta",'Matriz de Riesgos'!$AH$20="Moderado"),CONCATENATE("R2C",'Matriz de Riesgos'!$U$20),"")</f>
        <v/>
      </c>
      <c r="AB17" s="38" t="str">
        <f>IF(AND('Matriz de Riesgos'!$AF$15="Alta",'Matriz de Riesgos'!$AH$15="Mayor"),CONCATENATE("R2C",'Matriz de Riesgos'!$U$15),"")</f>
        <v/>
      </c>
      <c r="AC17" s="39" t="str">
        <f>IF(AND('Matriz de Riesgos'!$AF$16="Alta",'Matriz de Riesgos'!$AH$16="Mayor"),CONCATENATE("R2C",'Matriz de Riesgos'!$U$16),"")</f>
        <v/>
      </c>
      <c r="AD17" s="39" t="str">
        <f>IF(AND('Matriz de Riesgos'!$AF$17="Alta",'Matriz de Riesgos'!$AH$17="Mayor"),CONCATENATE("R2C",'Matriz de Riesgos'!$U$17),"")</f>
        <v/>
      </c>
      <c r="AE17" s="39" t="str">
        <f>IF(AND('Matriz de Riesgos'!$AF$18="Alta",'Matriz de Riesgos'!$AH$18="Mayor"),CONCATENATE("R2C",'Matriz de Riesgos'!$U$18),"")</f>
        <v/>
      </c>
      <c r="AF17" s="39" t="str">
        <f>IF(AND('Matriz de Riesgos'!$AF$19="Alta",'Matriz de Riesgos'!$AH$19="Mayor"),CONCATENATE("R2C",'Matriz de Riesgos'!$U$19),"")</f>
        <v/>
      </c>
      <c r="AG17" s="40" t="str">
        <f>IF(AND('Matriz de Riesgos'!$AF$20="Alta",'Matriz de Riesgos'!$AH$20="Mayor"),CONCATENATE("R2C",'Matriz de Riesgos'!$U$20),"")</f>
        <v/>
      </c>
      <c r="AH17" s="41" t="str">
        <f>IF(AND('Matriz de Riesgos'!$AF$15="Alta",'Matriz de Riesgos'!$AH$15="Catastrófico"),CONCATENATE("R2C",'Matriz de Riesgos'!$U$15),"")</f>
        <v/>
      </c>
      <c r="AI17" s="42" t="str">
        <f>IF(AND('Matriz de Riesgos'!$AF$16="Alta",'Matriz de Riesgos'!$AH$16="Catastrófico"),CONCATENATE("R2C",'Matriz de Riesgos'!$U$16),"")</f>
        <v/>
      </c>
      <c r="AJ17" s="42" t="str">
        <f>IF(AND('Matriz de Riesgos'!$AF$17="Alta",'Matriz de Riesgos'!$AH$17="Catastrófico"),CONCATENATE("R2C",'Matriz de Riesgos'!$U$17),"")</f>
        <v/>
      </c>
      <c r="AK17" s="42" t="str">
        <f>IF(AND('Matriz de Riesgos'!$AF$18="Alta",'Matriz de Riesgos'!$AH$18="Catastrófico"),CONCATENATE("R2C",'Matriz de Riesgos'!$U$18),"")</f>
        <v/>
      </c>
      <c r="AL17" s="42" t="str">
        <f>IF(AND('Matriz de Riesgos'!$AF$19="Alta",'Matriz de Riesgos'!$AH$19="Catastrófico"),CONCATENATE("R2C",'Matriz de Riesgos'!$U$19),"")</f>
        <v/>
      </c>
      <c r="AM17" s="43" t="str">
        <f>IF(AND('Matriz de Riesgos'!$AF$20="Alta",'Matriz de Riesgos'!$AH$20="Catastrófico"),CONCATENATE("R2C",'Matriz de Riesgos'!$U$20),"")</f>
        <v/>
      </c>
      <c r="AN17" s="69"/>
      <c r="AO17" s="598"/>
      <c r="AP17" s="599"/>
      <c r="AQ17" s="599"/>
      <c r="AR17" s="599"/>
      <c r="AS17" s="599"/>
      <c r="AT17" s="600"/>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x14ac:dyDescent="0.25">
      <c r="A18" s="69"/>
      <c r="B18" s="509"/>
      <c r="C18" s="509"/>
      <c r="D18" s="510"/>
      <c r="E18" s="608"/>
      <c r="F18" s="607"/>
      <c r="G18" s="607"/>
      <c r="H18" s="607"/>
      <c r="I18" s="607"/>
      <c r="J18" s="53" t="str">
        <f>IF(AND('Matriz de Riesgos'!$AF$21="Alta",'Matriz de Riesgos'!$AH$21="Leve"),CONCATENATE("R3C",'Matriz de Riesgos'!$U$21),"")</f>
        <v/>
      </c>
      <c r="K18" s="54" t="str">
        <f>IF(AND('Matriz de Riesgos'!$AF$22="Alta",'Matriz de Riesgos'!$AH$22="Leve"),CONCATENATE("R3C",'Matriz de Riesgos'!$U$22),"")</f>
        <v/>
      </c>
      <c r="L18" s="54" t="str">
        <f>IF(AND('Matriz de Riesgos'!$AF$23="Alta",'Matriz de Riesgos'!$AH$23="Leve"),CONCATENATE("R3C",'Matriz de Riesgos'!$U$23),"")</f>
        <v/>
      </c>
      <c r="M18" s="54" t="str">
        <f>IF(AND('Matriz de Riesgos'!$AF$24="Alta",'Matriz de Riesgos'!$AH$24="Leve"),CONCATENATE("R3C",'Matriz de Riesgos'!$U$24),"")</f>
        <v/>
      </c>
      <c r="N18" s="54" t="str">
        <f>IF(AND('Matriz de Riesgos'!$AF$25="Alta",'Matriz de Riesgos'!$AH$25="Leve"),CONCATENATE("R3C",'Matriz de Riesgos'!$U$25),"")</f>
        <v/>
      </c>
      <c r="O18" s="55" t="str">
        <f>IF(AND('Matriz de Riesgos'!$AF$26="Alta",'Matriz de Riesgos'!$AH$26="Leve"),CONCATENATE("R3C",'Matriz de Riesgos'!$U$26),"")</f>
        <v/>
      </c>
      <c r="P18" s="53" t="str">
        <f>IF(AND('Matriz de Riesgos'!$AF$21="Alta",'Matriz de Riesgos'!$AH$21="Menor"),CONCATENATE("R3C",'Matriz de Riesgos'!$U$21),"")</f>
        <v/>
      </c>
      <c r="Q18" s="54" t="str">
        <f>IF(AND('Matriz de Riesgos'!$AF$22="Alta",'Matriz de Riesgos'!$AH$22="Menor"),CONCATENATE("R3C",'Matriz de Riesgos'!$U$22),"")</f>
        <v/>
      </c>
      <c r="R18" s="54" t="str">
        <f>IF(AND('Matriz de Riesgos'!$AF$23="Alta",'Matriz de Riesgos'!$AH$23="Menor"),CONCATENATE("R3C",'Matriz de Riesgos'!$U$23),"")</f>
        <v/>
      </c>
      <c r="S18" s="54" t="str">
        <f>IF(AND('Matriz de Riesgos'!$AF$24="Alta",'Matriz de Riesgos'!$AH$24="Menor"),CONCATENATE("R3C",'Matriz de Riesgos'!$U$24),"")</f>
        <v/>
      </c>
      <c r="T18" s="54" t="str">
        <f>IF(AND('Matriz de Riesgos'!$AF$25="Alta",'Matriz de Riesgos'!$AH$25="Menor"),CONCATENATE("R3C",'Matriz de Riesgos'!$U$25),"")</f>
        <v/>
      </c>
      <c r="U18" s="55" t="str">
        <f>IF(AND('Matriz de Riesgos'!$AF$26="Alta",'Matriz de Riesgos'!$AH$26="Menor"),CONCATENATE("R3C",'Matriz de Riesgos'!$U$26),"")</f>
        <v/>
      </c>
      <c r="V18" s="38" t="str">
        <f>IF(AND('Matriz de Riesgos'!$AF$21="Alta",'Matriz de Riesgos'!$AH$21="Moderado"),CONCATENATE("R3C",'Matriz de Riesgos'!$U$21),"")</f>
        <v/>
      </c>
      <c r="W18" s="39" t="str">
        <f>IF(AND('Matriz de Riesgos'!$AF$22="Alta",'Matriz de Riesgos'!$AH$22="Moderado"),CONCATENATE("R3C",'Matriz de Riesgos'!$U$22),"")</f>
        <v/>
      </c>
      <c r="X18" s="39" t="str">
        <f>IF(AND('Matriz de Riesgos'!$AF$23="Alta",'Matriz de Riesgos'!$AH$23="Moderado"),CONCATENATE("R3C",'Matriz de Riesgos'!$U$23),"")</f>
        <v/>
      </c>
      <c r="Y18" s="39" t="str">
        <f>IF(AND('Matriz de Riesgos'!$AF$24="Alta",'Matriz de Riesgos'!$AH$24="Moderado"),CONCATENATE("R3C",'Matriz de Riesgos'!$U$24),"")</f>
        <v/>
      </c>
      <c r="Z18" s="39" t="str">
        <f>IF(AND('Matriz de Riesgos'!$AF$25="Alta",'Matriz de Riesgos'!$AH$25="Moderado"),CONCATENATE("R3C",'Matriz de Riesgos'!$U$25),"")</f>
        <v/>
      </c>
      <c r="AA18" s="40" t="str">
        <f>IF(AND('Matriz de Riesgos'!$AF$26="Alta",'Matriz de Riesgos'!$AH$26="Moderado"),CONCATENATE("R3C",'Matriz de Riesgos'!$U$26),"")</f>
        <v/>
      </c>
      <c r="AB18" s="38" t="str">
        <f>IF(AND('Matriz de Riesgos'!$AF$21="Alta",'Matriz de Riesgos'!$AH$21="Mayor"),CONCATENATE("R3C",'Matriz de Riesgos'!$U$21),"")</f>
        <v/>
      </c>
      <c r="AC18" s="39" t="str">
        <f>IF(AND('Matriz de Riesgos'!$AF$22="Alta",'Matriz de Riesgos'!$AH$22="Mayor"),CONCATENATE("R3C",'Matriz de Riesgos'!$U$22),"")</f>
        <v/>
      </c>
      <c r="AD18" s="39" t="str">
        <f>IF(AND('Matriz de Riesgos'!$AF$23="Alta",'Matriz de Riesgos'!$AH$23="Mayor"),CONCATENATE("R3C",'Matriz de Riesgos'!$U$23),"")</f>
        <v/>
      </c>
      <c r="AE18" s="39" t="str">
        <f>IF(AND('Matriz de Riesgos'!$AF$24="Alta",'Matriz de Riesgos'!$AH$24="Mayor"),CONCATENATE("R3C",'Matriz de Riesgos'!$U$24),"")</f>
        <v/>
      </c>
      <c r="AF18" s="39" t="str">
        <f>IF(AND('Matriz de Riesgos'!$AF$25="Alta",'Matriz de Riesgos'!$AH$25="Mayor"),CONCATENATE("R3C",'Matriz de Riesgos'!$U$25),"")</f>
        <v/>
      </c>
      <c r="AG18" s="40" t="str">
        <f>IF(AND('Matriz de Riesgos'!$AF$26="Alta",'Matriz de Riesgos'!$AH$26="Mayor"),CONCATENATE("R3C",'Matriz de Riesgos'!$U$26),"")</f>
        <v/>
      </c>
      <c r="AH18" s="41" t="str">
        <f>IF(AND('Matriz de Riesgos'!$AF$21="Alta",'Matriz de Riesgos'!$AH$21="Catastrófico"),CONCATENATE("R3C",'Matriz de Riesgos'!$U$21),"")</f>
        <v/>
      </c>
      <c r="AI18" s="42" t="str">
        <f>IF(AND('Matriz de Riesgos'!$AF$22="Alta",'Matriz de Riesgos'!$AH$22="Catastrófico"),CONCATENATE("R3C",'Matriz de Riesgos'!$U$22),"")</f>
        <v/>
      </c>
      <c r="AJ18" s="42" t="str">
        <f>IF(AND('Matriz de Riesgos'!$AF$23="Alta",'Matriz de Riesgos'!$AH$23="Catastrófico"),CONCATENATE("R3C",'Matriz de Riesgos'!$U$23),"")</f>
        <v/>
      </c>
      <c r="AK18" s="42" t="str">
        <f>IF(AND('Matriz de Riesgos'!$AF$24="Alta",'Matriz de Riesgos'!$AH$24="Catastrófico"),CONCATENATE("R3C",'Matriz de Riesgos'!$U$24),"")</f>
        <v/>
      </c>
      <c r="AL18" s="42" t="str">
        <f>IF(AND('Matriz de Riesgos'!$AF$25="Alta",'Matriz de Riesgos'!$AH$25="Catastrófico"),CONCATENATE("R3C",'Matriz de Riesgos'!$U$25),"")</f>
        <v/>
      </c>
      <c r="AM18" s="43" t="str">
        <f>IF(AND('Matriz de Riesgos'!$AF$26="Alta",'Matriz de Riesgos'!$AH$26="Catastrófico"),CONCATENATE("R3C",'Matriz de Riesgos'!$U$26),"")</f>
        <v/>
      </c>
      <c r="AN18" s="69"/>
      <c r="AO18" s="598"/>
      <c r="AP18" s="599"/>
      <c r="AQ18" s="599"/>
      <c r="AR18" s="599"/>
      <c r="AS18" s="599"/>
      <c r="AT18" s="600"/>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x14ac:dyDescent="0.25">
      <c r="A19" s="69"/>
      <c r="B19" s="509"/>
      <c r="C19" s="509"/>
      <c r="D19" s="510"/>
      <c r="E19" s="608"/>
      <c r="F19" s="607"/>
      <c r="G19" s="607"/>
      <c r="H19" s="607"/>
      <c r="I19" s="607"/>
      <c r="J19" s="53" t="str">
        <f>IF(AND('Matriz de Riesgos'!$AF$27="Alta",'Matriz de Riesgos'!$AH$27="Leve"),CONCATENATE("R4C",'Matriz de Riesgos'!$U$27),"")</f>
        <v/>
      </c>
      <c r="K19" s="54" t="str">
        <f>IF(AND('Matriz de Riesgos'!$AF$28="Alta",'Matriz de Riesgos'!$AH$28="Leve"),CONCATENATE("R4C",'Matriz de Riesgos'!$U$28),"")</f>
        <v/>
      </c>
      <c r="L19" s="54" t="str">
        <f>IF(AND('Matriz de Riesgos'!$AF$29="Alta",'Matriz de Riesgos'!$AH$29="Leve"),CONCATENATE("R4C",'Matriz de Riesgos'!$U$29),"")</f>
        <v/>
      </c>
      <c r="M19" s="54" t="str">
        <f>IF(AND('Matriz de Riesgos'!$AF$30="Alta",'Matriz de Riesgos'!$AH$30="Leve"),CONCATENATE("R4C",'Matriz de Riesgos'!$U$30),"")</f>
        <v/>
      </c>
      <c r="N19" s="54" t="str">
        <f>IF(AND('Matriz de Riesgos'!$AF$31="Alta",'Matriz de Riesgos'!$AH$31="Leve"),CONCATENATE("R4C",'Matriz de Riesgos'!$U$31),"")</f>
        <v/>
      </c>
      <c r="O19" s="55" t="str">
        <f>IF(AND('Matriz de Riesgos'!$AF$32="Alta",'Matriz de Riesgos'!$AH$32="Leve"),CONCATENATE("R4C",'Matriz de Riesgos'!$U$32),"")</f>
        <v/>
      </c>
      <c r="P19" s="53" t="str">
        <f>IF(AND('Matriz de Riesgos'!$AF$27="Alta",'Matriz de Riesgos'!$AH$27="Menor"),CONCATENATE("R4C",'Matriz de Riesgos'!$U$27),"")</f>
        <v/>
      </c>
      <c r="Q19" s="54" t="str">
        <f>IF(AND('Matriz de Riesgos'!$AF$28="Alta",'Matriz de Riesgos'!$AH$28="Menor"),CONCATENATE("R4C",'Matriz de Riesgos'!$U$28),"")</f>
        <v/>
      </c>
      <c r="R19" s="54" t="str">
        <f>IF(AND('Matriz de Riesgos'!$AF$29="Alta",'Matriz de Riesgos'!$AH$29="Menor"),CONCATENATE("R4C",'Matriz de Riesgos'!$U$29),"")</f>
        <v/>
      </c>
      <c r="S19" s="54" t="str">
        <f>IF(AND('Matriz de Riesgos'!$AF$30="Alta",'Matriz de Riesgos'!$AH$30="Menor"),CONCATENATE("R4C",'Matriz de Riesgos'!$U$30),"")</f>
        <v/>
      </c>
      <c r="T19" s="54" t="str">
        <f>IF(AND('Matriz de Riesgos'!$AF$31="Alta",'Matriz de Riesgos'!$AH$31="Menor"),CONCATENATE("R4C",'Matriz de Riesgos'!$U$31),"")</f>
        <v/>
      </c>
      <c r="U19" s="55" t="str">
        <f>IF(AND('Matriz de Riesgos'!$AF$32="Alta",'Matriz de Riesgos'!$AH$32="Menor"),CONCATENATE("R4C",'Matriz de Riesgos'!$U$32),"")</f>
        <v/>
      </c>
      <c r="V19" s="38" t="str">
        <f>IF(AND('Matriz de Riesgos'!$AF$27="Alta",'Matriz de Riesgos'!$AH$27="Moderado"),CONCATENATE("R4C",'Matriz de Riesgos'!$U$27),"")</f>
        <v/>
      </c>
      <c r="W19" s="39" t="str">
        <f>IF(AND('Matriz de Riesgos'!$AF$28="Alta",'Matriz de Riesgos'!$AH$28="Moderado"),CONCATENATE("R4C",'Matriz de Riesgos'!$U$28),"")</f>
        <v/>
      </c>
      <c r="X19" s="39" t="str">
        <f>IF(AND('Matriz de Riesgos'!$AF$29="Alta",'Matriz de Riesgos'!$AH$29="Moderado"),CONCATENATE("R4C",'Matriz de Riesgos'!$U$29),"")</f>
        <v/>
      </c>
      <c r="Y19" s="39" t="str">
        <f>IF(AND('Matriz de Riesgos'!$AF$30="Alta",'Matriz de Riesgos'!$AH$30="Moderado"),CONCATENATE("R4C",'Matriz de Riesgos'!$U$30),"")</f>
        <v/>
      </c>
      <c r="Z19" s="39" t="str">
        <f>IF(AND('Matriz de Riesgos'!$AF$31="Alta",'Matriz de Riesgos'!$AH$31="Moderado"),CONCATENATE("R4C",'Matriz de Riesgos'!$U$31),"")</f>
        <v/>
      </c>
      <c r="AA19" s="40" t="str">
        <f>IF(AND('Matriz de Riesgos'!$AF$32="Alta",'Matriz de Riesgos'!$AH$32="Moderado"),CONCATENATE("R4C",'Matriz de Riesgos'!$U$32),"")</f>
        <v/>
      </c>
      <c r="AB19" s="38" t="str">
        <f>IF(AND('Matriz de Riesgos'!$AF$27="Alta",'Matriz de Riesgos'!$AH$27="Mayor"),CONCATENATE("R4C",'Matriz de Riesgos'!$U$27),"")</f>
        <v/>
      </c>
      <c r="AC19" s="39" t="str">
        <f>IF(AND('Matriz de Riesgos'!$AF$28="Alta",'Matriz de Riesgos'!$AH$28="Mayor"),CONCATENATE("R4C",'Matriz de Riesgos'!$U$28),"")</f>
        <v/>
      </c>
      <c r="AD19" s="39" t="str">
        <f>IF(AND('Matriz de Riesgos'!$AF$29="Alta",'Matriz de Riesgos'!$AH$29="Mayor"),CONCATENATE("R4C",'Matriz de Riesgos'!$U$29),"")</f>
        <v/>
      </c>
      <c r="AE19" s="39" t="str">
        <f>IF(AND('Matriz de Riesgos'!$AF$30="Alta",'Matriz de Riesgos'!$AH$30="Mayor"),CONCATENATE("R4C",'Matriz de Riesgos'!$U$30),"")</f>
        <v/>
      </c>
      <c r="AF19" s="39" t="str">
        <f>IF(AND('Matriz de Riesgos'!$AF$31="Alta",'Matriz de Riesgos'!$AH$31="Mayor"),CONCATENATE("R4C",'Matriz de Riesgos'!$U$31),"")</f>
        <v/>
      </c>
      <c r="AG19" s="40" t="str">
        <f>IF(AND('Matriz de Riesgos'!$AF$32="Alta",'Matriz de Riesgos'!$AH$32="Mayor"),CONCATENATE("R4C",'Matriz de Riesgos'!$U$32),"")</f>
        <v/>
      </c>
      <c r="AH19" s="41" t="str">
        <f>IF(AND('Matriz de Riesgos'!$AF$27="Alta",'Matriz de Riesgos'!$AH$27="Catastrófico"),CONCATENATE("R4C",'Matriz de Riesgos'!$U$27),"")</f>
        <v/>
      </c>
      <c r="AI19" s="42" t="str">
        <f>IF(AND('Matriz de Riesgos'!$AF$28="Alta",'Matriz de Riesgos'!$AH$28="Catastrófico"),CONCATENATE("R4C",'Matriz de Riesgos'!$U$28),"")</f>
        <v/>
      </c>
      <c r="AJ19" s="42" t="str">
        <f>IF(AND('Matriz de Riesgos'!$AF$29="Alta",'Matriz de Riesgos'!$AH$29="Catastrófico"),CONCATENATE("R4C",'Matriz de Riesgos'!$U$29),"")</f>
        <v/>
      </c>
      <c r="AK19" s="42" t="str">
        <f>IF(AND('Matriz de Riesgos'!$AF$30="Alta",'Matriz de Riesgos'!$AH$30="Catastrófico"),CONCATENATE("R4C",'Matriz de Riesgos'!$U$30),"")</f>
        <v/>
      </c>
      <c r="AL19" s="42" t="str">
        <f>IF(AND('Matriz de Riesgos'!$AF$31="Alta",'Matriz de Riesgos'!$AH$31="Catastrófico"),CONCATENATE("R4C",'Matriz de Riesgos'!$U$31),"")</f>
        <v/>
      </c>
      <c r="AM19" s="43" t="str">
        <f>IF(AND('Matriz de Riesgos'!$AF$32="Alta",'Matriz de Riesgos'!$AH$32="Catastrófico"),CONCATENATE("R4C",'Matriz de Riesgos'!$U$32),"")</f>
        <v/>
      </c>
      <c r="AN19" s="69"/>
      <c r="AO19" s="598"/>
      <c r="AP19" s="599"/>
      <c r="AQ19" s="599"/>
      <c r="AR19" s="599"/>
      <c r="AS19" s="599"/>
      <c r="AT19" s="600"/>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x14ac:dyDescent="0.25">
      <c r="A20" s="69"/>
      <c r="B20" s="509"/>
      <c r="C20" s="509"/>
      <c r="D20" s="510"/>
      <c r="E20" s="608"/>
      <c r="F20" s="607"/>
      <c r="G20" s="607"/>
      <c r="H20" s="607"/>
      <c r="I20" s="607"/>
      <c r="J20" s="53" t="str">
        <f>IF(AND('Matriz de Riesgos'!$AF$33="Alta",'Matriz de Riesgos'!$AH$33="Leve"),CONCATENATE("R5C",'Matriz de Riesgos'!$U$33),"")</f>
        <v/>
      </c>
      <c r="K20" s="54" t="str">
        <f>IF(AND('Matriz de Riesgos'!$AF$34="Alta",'Matriz de Riesgos'!$AH$34="Leve"),CONCATENATE("R5C",'Matriz de Riesgos'!$U$34),"")</f>
        <v/>
      </c>
      <c r="L20" s="54" t="str">
        <f>IF(AND('Matriz de Riesgos'!$AF$35="Alta",'Matriz de Riesgos'!$AH$35="Leve"),CONCATENATE("R5C",'Matriz de Riesgos'!$U$35),"")</f>
        <v/>
      </c>
      <c r="M20" s="54" t="str">
        <f>IF(AND('Matriz de Riesgos'!$AF$36="Alta",'Matriz de Riesgos'!$AH$36="Leve"),CONCATENATE("R5C",'Matriz de Riesgos'!$U$36),"")</f>
        <v/>
      </c>
      <c r="N20" s="54" t="str">
        <f>IF(AND('Matriz de Riesgos'!$AF$37="Alta",'Matriz de Riesgos'!$AH$37="Leve"),CONCATENATE("R5C",'Matriz de Riesgos'!$U$37),"")</f>
        <v/>
      </c>
      <c r="O20" s="55" t="str">
        <f>IF(AND('Matriz de Riesgos'!$AF$38="Alta",'Matriz de Riesgos'!$AH$38="Leve"),CONCATENATE("R5C",'Matriz de Riesgos'!$U$38),"")</f>
        <v/>
      </c>
      <c r="P20" s="53" t="str">
        <f>IF(AND('Matriz de Riesgos'!$AF$33="Alta",'Matriz de Riesgos'!$AH$33="Menor"),CONCATENATE("R5C",'Matriz de Riesgos'!$U$33),"")</f>
        <v/>
      </c>
      <c r="Q20" s="54" t="str">
        <f>IF(AND('Matriz de Riesgos'!$AF$34="Alta",'Matriz de Riesgos'!$AH$34="Menor"),CONCATENATE("R5C",'Matriz de Riesgos'!$U$34),"")</f>
        <v/>
      </c>
      <c r="R20" s="54" t="str">
        <f>IF(AND('Matriz de Riesgos'!$AF$35="Alta",'Matriz de Riesgos'!$AH$35="Menor"),CONCATENATE("R5C",'Matriz de Riesgos'!$U$35),"")</f>
        <v/>
      </c>
      <c r="S20" s="54" t="str">
        <f>IF(AND('Matriz de Riesgos'!$AF$36="Alta",'Matriz de Riesgos'!$AH$36="Menor"),CONCATENATE("R5C",'Matriz de Riesgos'!$U$36),"")</f>
        <v/>
      </c>
      <c r="T20" s="54" t="str">
        <f>IF(AND('Matriz de Riesgos'!$AF$37="Alta",'Matriz de Riesgos'!$AH$37="Menor"),CONCATENATE("R5C",'Matriz de Riesgos'!$U$37),"")</f>
        <v/>
      </c>
      <c r="U20" s="55" t="str">
        <f>IF(AND('Matriz de Riesgos'!$AF$38="Alta",'Matriz de Riesgos'!$AH$38="Menor"),CONCATENATE("R5C",'Matriz de Riesgos'!$U$38),"")</f>
        <v/>
      </c>
      <c r="V20" s="38" t="str">
        <f>IF(AND('Matriz de Riesgos'!$AF$33="Alta",'Matriz de Riesgos'!$AH$33="Moderado"),CONCATENATE("R5C",'Matriz de Riesgos'!$U$33),"")</f>
        <v/>
      </c>
      <c r="W20" s="39" t="str">
        <f>IF(AND('Matriz de Riesgos'!$AF$34="Alta",'Matriz de Riesgos'!$AH$34="Moderado"),CONCATENATE("R5C",'Matriz de Riesgos'!$U$34),"")</f>
        <v/>
      </c>
      <c r="X20" s="39" t="str">
        <f>IF(AND('Matriz de Riesgos'!$AF$35="Alta",'Matriz de Riesgos'!$AH$35="Moderado"),CONCATENATE("R5C",'Matriz de Riesgos'!$U$35),"")</f>
        <v/>
      </c>
      <c r="Y20" s="39" t="str">
        <f>IF(AND('Matriz de Riesgos'!$AF$36="Alta",'Matriz de Riesgos'!$AH$36="Moderado"),CONCATENATE("R5C",'Matriz de Riesgos'!$U$36),"")</f>
        <v/>
      </c>
      <c r="Z20" s="39" t="str">
        <f>IF(AND('Matriz de Riesgos'!$AF$37="Alta",'Matriz de Riesgos'!$AH$37="Moderado"),CONCATENATE("R5C",'Matriz de Riesgos'!$U$37),"")</f>
        <v/>
      </c>
      <c r="AA20" s="40" t="str">
        <f>IF(AND('Matriz de Riesgos'!$AF$38="Alta",'Matriz de Riesgos'!$AH$38="Moderado"),CONCATENATE("R5C",'Matriz de Riesgos'!$U$38),"")</f>
        <v/>
      </c>
      <c r="AB20" s="38" t="str">
        <f>IF(AND('Matriz de Riesgos'!$AF$33="Alta",'Matriz de Riesgos'!$AH$33="Mayor"),CONCATENATE("R5C",'Matriz de Riesgos'!$U$33),"")</f>
        <v/>
      </c>
      <c r="AC20" s="39" t="str">
        <f>IF(AND('Matriz de Riesgos'!$AF$34="Alta",'Matriz de Riesgos'!$AH$34="Mayor"),CONCATENATE("R5C",'Matriz de Riesgos'!$U$34),"")</f>
        <v/>
      </c>
      <c r="AD20" s="39" t="str">
        <f>IF(AND('Matriz de Riesgos'!$AF$35="Alta",'Matriz de Riesgos'!$AH$35="Mayor"),CONCATENATE("R5C",'Matriz de Riesgos'!$U$35),"")</f>
        <v/>
      </c>
      <c r="AE20" s="39" t="str">
        <f>IF(AND('Matriz de Riesgos'!$AF$36="Alta",'Matriz de Riesgos'!$AH$36="Mayor"),CONCATENATE("R5C",'Matriz de Riesgos'!$U$36),"")</f>
        <v/>
      </c>
      <c r="AF20" s="39" t="str">
        <f>IF(AND('Matriz de Riesgos'!$AF$37="Alta",'Matriz de Riesgos'!$AH$37="Mayor"),CONCATENATE("R5C",'Matriz de Riesgos'!$U$37),"")</f>
        <v/>
      </c>
      <c r="AG20" s="40" t="str">
        <f>IF(AND('Matriz de Riesgos'!$AF$38="Alta",'Matriz de Riesgos'!$AH$38="Mayor"),CONCATENATE("R5C",'Matriz de Riesgos'!$U$38),"")</f>
        <v/>
      </c>
      <c r="AH20" s="41" t="str">
        <f>IF(AND('Matriz de Riesgos'!$AF$33="Alta",'Matriz de Riesgos'!$AH$33="Catastrófico"),CONCATENATE("R5C",'Matriz de Riesgos'!$U$33),"")</f>
        <v/>
      </c>
      <c r="AI20" s="42" t="str">
        <f>IF(AND('Matriz de Riesgos'!$AF$34="Alta",'Matriz de Riesgos'!$AH$34="Catastrófico"),CONCATENATE("R5C",'Matriz de Riesgos'!$U$34),"")</f>
        <v/>
      </c>
      <c r="AJ20" s="42" t="str">
        <f>IF(AND('Matriz de Riesgos'!$AF$35="Alta",'Matriz de Riesgos'!$AH$35="Catastrófico"),CONCATENATE("R5C",'Matriz de Riesgos'!$U$35),"")</f>
        <v/>
      </c>
      <c r="AK20" s="42" t="str">
        <f>IF(AND('Matriz de Riesgos'!$AF$36="Alta",'Matriz de Riesgos'!$AH$36="Catastrófico"),CONCATENATE("R5C",'Matriz de Riesgos'!$U$36),"")</f>
        <v/>
      </c>
      <c r="AL20" s="42" t="str">
        <f>IF(AND('Matriz de Riesgos'!$AF$37="Alta",'Matriz de Riesgos'!$AH$37="Catastrófico"),CONCATENATE("R5C",'Matriz de Riesgos'!$U$37),"")</f>
        <v/>
      </c>
      <c r="AM20" s="43" t="str">
        <f>IF(AND('Matriz de Riesgos'!$AF$38="Alta",'Matriz de Riesgos'!$AH$38="Catastrófico"),CONCATENATE("R5C",'Matriz de Riesgos'!$U$38),"")</f>
        <v/>
      </c>
      <c r="AN20" s="69"/>
      <c r="AO20" s="598"/>
      <c r="AP20" s="599"/>
      <c r="AQ20" s="599"/>
      <c r="AR20" s="599"/>
      <c r="AS20" s="599"/>
      <c r="AT20" s="600"/>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x14ac:dyDescent="0.25">
      <c r="A21" s="69"/>
      <c r="B21" s="509"/>
      <c r="C21" s="509"/>
      <c r="D21" s="510"/>
      <c r="E21" s="608"/>
      <c r="F21" s="607"/>
      <c r="G21" s="607"/>
      <c r="H21" s="607"/>
      <c r="I21" s="607"/>
      <c r="J21" s="53" t="str">
        <f>IF(AND('Matriz de Riesgos'!$AF$39="Alta",'Matriz de Riesgos'!$AH$39="Leve"),CONCATENATE("R6C",'Matriz de Riesgos'!$U$39),"")</f>
        <v/>
      </c>
      <c r="K21" s="54" t="str">
        <f>IF(AND('Matriz de Riesgos'!$AF$40="Alta",'Matriz de Riesgos'!$AH$40="Leve"),CONCATENATE("R6C",'Matriz de Riesgos'!$U$40),"")</f>
        <v/>
      </c>
      <c r="L21" s="54" t="str">
        <f>IF(AND('Matriz de Riesgos'!$AF$41="Alta",'Matriz de Riesgos'!$AH$41="Leve"),CONCATENATE("R6C",'Matriz de Riesgos'!$U$41),"")</f>
        <v/>
      </c>
      <c r="M21" s="54" t="str">
        <f>IF(AND('Matriz de Riesgos'!$AF$42="Alta",'Matriz de Riesgos'!$AH$42="Leve"),CONCATENATE("R6C",'Matriz de Riesgos'!$U$42),"")</f>
        <v/>
      </c>
      <c r="N21" s="54" t="str">
        <f>IF(AND('Matriz de Riesgos'!$AF$43="Alta",'Matriz de Riesgos'!$AH$43="Leve"),CONCATENATE("R6C",'Matriz de Riesgos'!$U$43),"")</f>
        <v/>
      </c>
      <c r="O21" s="55" t="str">
        <f>IF(AND('Matriz de Riesgos'!$AF$44="Alta",'Matriz de Riesgos'!$AH$44="Leve"),CONCATENATE("R6C",'Matriz de Riesgos'!$U$44),"")</f>
        <v/>
      </c>
      <c r="P21" s="53" t="str">
        <f>IF(AND('Matriz de Riesgos'!$AF$39="Alta",'Matriz de Riesgos'!$AH$39="Menor"),CONCATENATE("R6C",'Matriz de Riesgos'!$U$39),"")</f>
        <v/>
      </c>
      <c r="Q21" s="54" t="str">
        <f>IF(AND('Matriz de Riesgos'!$AF$40="Alta",'Matriz de Riesgos'!$AH$40="Menor"),CONCATENATE("R6C",'Matriz de Riesgos'!$U$40),"")</f>
        <v/>
      </c>
      <c r="R21" s="54" t="str">
        <f>IF(AND('Matriz de Riesgos'!$AF$41="Alta",'Matriz de Riesgos'!$AH$41="Menor"),CONCATENATE("R6C",'Matriz de Riesgos'!$U$41),"")</f>
        <v/>
      </c>
      <c r="S21" s="54" t="str">
        <f>IF(AND('Matriz de Riesgos'!$AF$42="Alta",'Matriz de Riesgos'!$AH$42="Menor"),CONCATENATE("R6C",'Matriz de Riesgos'!$U$42),"")</f>
        <v/>
      </c>
      <c r="T21" s="54" t="str">
        <f>IF(AND('Matriz de Riesgos'!$AF$43="Alta",'Matriz de Riesgos'!$AH$43="Menor"),CONCATENATE("R6C",'Matriz de Riesgos'!$U$43),"")</f>
        <v/>
      </c>
      <c r="U21" s="55" t="str">
        <f>IF(AND('Matriz de Riesgos'!$AF$44="Alta",'Matriz de Riesgos'!$AH$44="Menor"),CONCATENATE("R6C",'Matriz de Riesgos'!$U$44),"")</f>
        <v/>
      </c>
      <c r="V21" s="38" t="str">
        <f>IF(AND('Matriz de Riesgos'!$AF$39="Alta",'Matriz de Riesgos'!$AH$39="Moderado"),CONCATENATE("R6C",'Matriz de Riesgos'!$U$39),"")</f>
        <v/>
      </c>
      <c r="W21" s="39" t="str">
        <f>IF(AND('Matriz de Riesgos'!$AF$40="Alta",'Matriz de Riesgos'!$AH$40="Moderado"),CONCATENATE("R6C",'Matriz de Riesgos'!$U$40),"")</f>
        <v/>
      </c>
      <c r="X21" s="39" t="str">
        <f>IF(AND('Matriz de Riesgos'!$AF$41="Alta",'Matriz de Riesgos'!$AH$41="Moderado"),CONCATENATE("R6C",'Matriz de Riesgos'!$U$41),"")</f>
        <v/>
      </c>
      <c r="Y21" s="39" t="str">
        <f>IF(AND('Matriz de Riesgos'!$AF$42="Alta",'Matriz de Riesgos'!$AH$42="Moderado"),CONCATENATE("R6C",'Matriz de Riesgos'!$U$42),"")</f>
        <v/>
      </c>
      <c r="Z21" s="39" t="str">
        <f>IF(AND('Matriz de Riesgos'!$AF$43="Alta",'Matriz de Riesgos'!$AH$43="Moderado"),CONCATENATE("R6C",'Matriz de Riesgos'!$U$43),"")</f>
        <v/>
      </c>
      <c r="AA21" s="40" t="str">
        <f>IF(AND('Matriz de Riesgos'!$AF$44="Alta",'Matriz de Riesgos'!$AH$44="Moderado"),CONCATENATE("R6C",'Matriz de Riesgos'!$U$44),"")</f>
        <v/>
      </c>
      <c r="AB21" s="38" t="str">
        <f>IF(AND('Matriz de Riesgos'!$AF$39="Alta",'Matriz de Riesgos'!$AH$39="Mayor"),CONCATENATE("R6C",'Matriz de Riesgos'!$U$39),"")</f>
        <v/>
      </c>
      <c r="AC21" s="39" t="str">
        <f>IF(AND('Matriz de Riesgos'!$AF$40="Alta",'Matriz de Riesgos'!$AH$40="Mayor"),CONCATENATE("R6C",'Matriz de Riesgos'!$U$40),"")</f>
        <v/>
      </c>
      <c r="AD21" s="39" t="str">
        <f>IF(AND('Matriz de Riesgos'!$AF$41="Alta",'Matriz de Riesgos'!$AH$41="Mayor"),CONCATENATE("R6C",'Matriz de Riesgos'!$U$41),"")</f>
        <v/>
      </c>
      <c r="AE21" s="39" t="str">
        <f>IF(AND('Matriz de Riesgos'!$AF$42="Alta",'Matriz de Riesgos'!$AH$42="Mayor"),CONCATENATE("R6C",'Matriz de Riesgos'!$U$42),"")</f>
        <v/>
      </c>
      <c r="AF21" s="39" t="str">
        <f>IF(AND('Matriz de Riesgos'!$AF$43="Alta",'Matriz de Riesgos'!$AH$43="Mayor"),CONCATENATE("R6C",'Matriz de Riesgos'!$U$43),"")</f>
        <v/>
      </c>
      <c r="AG21" s="40" t="str">
        <f>IF(AND('Matriz de Riesgos'!$AF$44="Alta",'Matriz de Riesgos'!$AH$44="Mayor"),CONCATENATE("R6C",'Matriz de Riesgos'!$U$44),"")</f>
        <v/>
      </c>
      <c r="AH21" s="41" t="str">
        <f>IF(AND('Matriz de Riesgos'!$AF$39="Alta",'Matriz de Riesgos'!$AH$39="Catastrófico"),CONCATENATE("R6C",'Matriz de Riesgos'!$U$39),"")</f>
        <v/>
      </c>
      <c r="AI21" s="42" t="str">
        <f>IF(AND('Matriz de Riesgos'!$AF$40="Alta",'Matriz de Riesgos'!$AH$40="Catastrófico"),CONCATENATE("R6C",'Matriz de Riesgos'!$U$40),"")</f>
        <v/>
      </c>
      <c r="AJ21" s="42" t="str">
        <f>IF(AND('Matriz de Riesgos'!$AF$41="Alta",'Matriz de Riesgos'!$AH$41="Catastrófico"),CONCATENATE("R6C",'Matriz de Riesgos'!$U$41),"")</f>
        <v/>
      </c>
      <c r="AK21" s="42" t="str">
        <f>IF(AND('Matriz de Riesgos'!$AF$42="Alta",'Matriz de Riesgos'!$AH$42="Catastrófico"),CONCATENATE("R6C",'Matriz de Riesgos'!$U$42),"")</f>
        <v/>
      </c>
      <c r="AL21" s="42" t="str">
        <f>IF(AND('Matriz de Riesgos'!$AF$43="Alta",'Matriz de Riesgos'!$AH$43="Catastrófico"),CONCATENATE("R6C",'Matriz de Riesgos'!$U$43),"")</f>
        <v/>
      </c>
      <c r="AM21" s="43" t="str">
        <f>IF(AND('Matriz de Riesgos'!$AF$44="Alta",'Matriz de Riesgos'!$AH$44="Catastrófico"),CONCATENATE("R6C",'Matriz de Riesgos'!$U$44),"")</f>
        <v/>
      </c>
      <c r="AN21" s="69"/>
      <c r="AO21" s="598"/>
      <c r="AP21" s="599"/>
      <c r="AQ21" s="599"/>
      <c r="AR21" s="599"/>
      <c r="AS21" s="599"/>
      <c r="AT21" s="600"/>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x14ac:dyDescent="0.25">
      <c r="A22" s="69"/>
      <c r="B22" s="509"/>
      <c r="C22" s="509"/>
      <c r="D22" s="510"/>
      <c r="E22" s="608"/>
      <c r="F22" s="607"/>
      <c r="G22" s="607"/>
      <c r="H22" s="607"/>
      <c r="I22" s="607"/>
      <c r="J22" s="53" t="str">
        <f>IF(AND('Matriz de Riesgos'!$AF$45="Alta",'Matriz de Riesgos'!$AH$45="Leve"),CONCATENATE("R7C",'Matriz de Riesgos'!$U$45),"")</f>
        <v/>
      </c>
      <c r="K22" s="54" t="str">
        <f>IF(AND('Matriz de Riesgos'!$AF$46="Alta",'Matriz de Riesgos'!$AH$46="Leve"),CONCATENATE("R7C",'Matriz de Riesgos'!$U$46),"")</f>
        <v/>
      </c>
      <c r="L22" s="54" t="str">
        <f>IF(AND('Matriz de Riesgos'!$AF$47="Alta",'Matriz de Riesgos'!$AH$47="Leve"),CONCATENATE("R7C",'Matriz de Riesgos'!$U$47),"")</f>
        <v/>
      </c>
      <c r="M22" s="54" t="str">
        <f>IF(AND('Matriz de Riesgos'!$AF$48="Alta",'Matriz de Riesgos'!$AH$48="Leve"),CONCATENATE("R7C",'Matriz de Riesgos'!$U$48),"")</f>
        <v/>
      </c>
      <c r="N22" s="54" t="str">
        <f>IF(AND('Matriz de Riesgos'!$AF$49="Alta",'Matriz de Riesgos'!$AH$49="Leve"),CONCATENATE("R7C",'Matriz de Riesgos'!$U$49),"")</f>
        <v/>
      </c>
      <c r="O22" s="55" t="str">
        <f>IF(AND('Matriz de Riesgos'!$AF$50="Alta",'Matriz de Riesgos'!$AH$50="Leve"),CONCATENATE("R7C",'Matriz de Riesgos'!$U$50),"")</f>
        <v/>
      </c>
      <c r="P22" s="53" t="str">
        <f>IF(AND('Matriz de Riesgos'!$AF$45="Alta",'Matriz de Riesgos'!$AH$45="Menor"),CONCATENATE("R7C",'Matriz de Riesgos'!$U$45),"")</f>
        <v/>
      </c>
      <c r="Q22" s="54" t="str">
        <f>IF(AND('Matriz de Riesgos'!$AF$46="Alta",'Matriz de Riesgos'!$AH$46="Menor"),CONCATENATE("R7C",'Matriz de Riesgos'!$U$46),"")</f>
        <v/>
      </c>
      <c r="R22" s="54" t="str">
        <f>IF(AND('Matriz de Riesgos'!$AF$47="Alta",'Matriz de Riesgos'!$AH$47="Menor"),CONCATENATE("R7C",'Matriz de Riesgos'!$U$47),"")</f>
        <v/>
      </c>
      <c r="S22" s="54" t="str">
        <f>IF(AND('Matriz de Riesgos'!$AF$48="Alta",'Matriz de Riesgos'!$AH$48="Menor"),CONCATENATE("R7C",'Matriz de Riesgos'!$U$48),"")</f>
        <v/>
      </c>
      <c r="T22" s="54" t="str">
        <f>IF(AND('Matriz de Riesgos'!$AF$49="Alta",'Matriz de Riesgos'!$AH$49="Menor"),CONCATENATE("R7C",'Matriz de Riesgos'!$U$49),"")</f>
        <v/>
      </c>
      <c r="U22" s="55" t="str">
        <f>IF(AND('Matriz de Riesgos'!$AF$50="Alta",'Matriz de Riesgos'!$AH$50="Menor"),CONCATENATE("R7C",'Matriz de Riesgos'!$U$50),"")</f>
        <v/>
      </c>
      <c r="V22" s="38" t="str">
        <f>IF(AND('Matriz de Riesgos'!$AF$45="Alta",'Matriz de Riesgos'!$AH$45="Moderado"),CONCATENATE("R7C",'Matriz de Riesgos'!$U$45),"")</f>
        <v/>
      </c>
      <c r="W22" s="39" t="str">
        <f>IF(AND('Matriz de Riesgos'!$AF$46="Alta",'Matriz de Riesgos'!$AH$46="Moderado"),CONCATENATE("R7C",'Matriz de Riesgos'!$U$46),"")</f>
        <v/>
      </c>
      <c r="X22" s="39" t="str">
        <f>IF(AND('Matriz de Riesgos'!$AF$47="Alta",'Matriz de Riesgos'!$AH$47="Moderado"),CONCATENATE("R7C",'Matriz de Riesgos'!$U$47),"")</f>
        <v/>
      </c>
      <c r="Y22" s="39" t="str">
        <f>IF(AND('Matriz de Riesgos'!$AF$48="Alta",'Matriz de Riesgos'!$AH$48="Moderado"),CONCATENATE("R7C",'Matriz de Riesgos'!$U$48),"")</f>
        <v/>
      </c>
      <c r="Z22" s="39" t="str">
        <f>IF(AND('Matriz de Riesgos'!$AF$49="Alta",'Matriz de Riesgos'!$AH$49="Moderado"),CONCATENATE("R7C",'Matriz de Riesgos'!$U$49),"")</f>
        <v/>
      </c>
      <c r="AA22" s="40" t="str">
        <f>IF(AND('Matriz de Riesgos'!$AF$50="Alta",'Matriz de Riesgos'!$AH$50="Moderado"),CONCATENATE("R7C",'Matriz de Riesgos'!$U$50),"")</f>
        <v/>
      </c>
      <c r="AB22" s="38" t="str">
        <f>IF(AND('Matriz de Riesgos'!$AF$45="Alta",'Matriz de Riesgos'!$AH$45="Mayor"),CONCATENATE("R7C",'Matriz de Riesgos'!$U$45),"")</f>
        <v/>
      </c>
      <c r="AC22" s="39" t="str">
        <f>IF(AND('Matriz de Riesgos'!$AF$46="Alta",'Matriz de Riesgos'!$AH$46="Mayor"),CONCATENATE("R7C",'Matriz de Riesgos'!$U$46),"")</f>
        <v/>
      </c>
      <c r="AD22" s="39" t="str">
        <f>IF(AND('Matriz de Riesgos'!$AF$47="Alta",'Matriz de Riesgos'!$AH$47="Mayor"),CONCATENATE("R7C",'Matriz de Riesgos'!$U$47),"")</f>
        <v/>
      </c>
      <c r="AE22" s="39" t="str">
        <f>IF(AND('Matriz de Riesgos'!$AF$48="Alta",'Matriz de Riesgos'!$AH$48="Mayor"),CONCATENATE("R7C",'Matriz de Riesgos'!$U$48),"")</f>
        <v/>
      </c>
      <c r="AF22" s="39" t="str">
        <f>IF(AND('Matriz de Riesgos'!$AF$49="Alta",'Matriz de Riesgos'!$AH$49="Mayor"),CONCATENATE("R7C",'Matriz de Riesgos'!$U$49),"")</f>
        <v/>
      </c>
      <c r="AG22" s="40" t="str">
        <f>IF(AND('Matriz de Riesgos'!$AF$50="Alta",'Matriz de Riesgos'!$AH$50="Mayor"),CONCATENATE("R7C",'Matriz de Riesgos'!$U$50),"")</f>
        <v/>
      </c>
      <c r="AH22" s="41" t="str">
        <f>IF(AND('Matriz de Riesgos'!$AF$45="Alta",'Matriz de Riesgos'!$AH$45="Catastrófico"),CONCATENATE("R7C",'Matriz de Riesgos'!$U$45),"")</f>
        <v/>
      </c>
      <c r="AI22" s="42" t="str">
        <f>IF(AND('Matriz de Riesgos'!$AF$46="Alta",'Matriz de Riesgos'!$AH$46="Catastrófico"),CONCATENATE("R7C",'Matriz de Riesgos'!$U$46),"")</f>
        <v/>
      </c>
      <c r="AJ22" s="42" t="str">
        <f>IF(AND('Matriz de Riesgos'!$AF$47="Alta",'Matriz de Riesgos'!$AH$47="Catastrófico"),CONCATENATE("R7C",'Matriz de Riesgos'!$U$47),"")</f>
        <v/>
      </c>
      <c r="AK22" s="42" t="str">
        <f>IF(AND('Matriz de Riesgos'!$AF$48="Alta",'Matriz de Riesgos'!$AH$48="Catastrófico"),CONCATENATE("R7C",'Matriz de Riesgos'!$U$48),"")</f>
        <v/>
      </c>
      <c r="AL22" s="42" t="str">
        <f>IF(AND('Matriz de Riesgos'!$AF$49="Alta",'Matriz de Riesgos'!$AH$49="Catastrófico"),CONCATENATE("R7C",'Matriz de Riesgos'!$U$49),"")</f>
        <v/>
      </c>
      <c r="AM22" s="43" t="str">
        <f>IF(AND('Matriz de Riesgos'!$AF$50="Alta",'Matriz de Riesgos'!$AH$50="Catastrófico"),CONCATENATE("R7C",'Matriz de Riesgos'!$U$50),"")</f>
        <v/>
      </c>
      <c r="AN22" s="69"/>
      <c r="AO22" s="598"/>
      <c r="AP22" s="599"/>
      <c r="AQ22" s="599"/>
      <c r="AR22" s="599"/>
      <c r="AS22" s="599"/>
      <c r="AT22" s="600"/>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x14ac:dyDescent="0.25">
      <c r="A23" s="69"/>
      <c r="B23" s="509"/>
      <c r="C23" s="509"/>
      <c r="D23" s="510"/>
      <c r="E23" s="608"/>
      <c r="F23" s="607"/>
      <c r="G23" s="607"/>
      <c r="H23" s="607"/>
      <c r="I23" s="607"/>
      <c r="J23" s="53" t="str">
        <f>IF(AND('Matriz de Riesgos'!$AF$51="Alta",'Matriz de Riesgos'!$AH$51="Leve"),CONCATENATE("R8C",'Matriz de Riesgos'!$U$51),"")</f>
        <v/>
      </c>
      <c r="K23" s="54" t="str">
        <f>IF(AND('Matriz de Riesgos'!$AF$52="Alta",'Matriz de Riesgos'!$AH$52="Leve"),CONCATENATE("R8C",'Matriz de Riesgos'!$U$52),"")</f>
        <v/>
      </c>
      <c r="L23" s="54" t="str">
        <f>IF(AND('Matriz de Riesgos'!$AF$53="Alta",'Matriz de Riesgos'!$AH$53="Leve"),CONCATENATE("R8C",'Matriz de Riesgos'!$U$53),"")</f>
        <v/>
      </c>
      <c r="M23" s="54" t="str">
        <f>IF(AND('Matriz de Riesgos'!$AF$54="Alta",'Matriz de Riesgos'!$AH$54="Leve"),CONCATENATE("R8C",'Matriz de Riesgos'!$U$54),"")</f>
        <v/>
      </c>
      <c r="N23" s="54" t="str">
        <f>IF(AND('Matriz de Riesgos'!$AF$55="Alta",'Matriz de Riesgos'!$AH$55="Leve"),CONCATENATE("R8C",'Matriz de Riesgos'!$U$55),"")</f>
        <v/>
      </c>
      <c r="O23" s="55" t="str">
        <f>IF(AND('Matriz de Riesgos'!$AF$56="Alta",'Matriz de Riesgos'!$AH$56="Leve"),CONCATENATE("R8C",'Matriz de Riesgos'!$U$56),"")</f>
        <v/>
      </c>
      <c r="P23" s="53" t="str">
        <f>IF(AND('Matriz de Riesgos'!$AF$51="Alta",'Matriz de Riesgos'!$AH$51="Menor"),CONCATENATE("R8C",'Matriz de Riesgos'!$U$51),"")</f>
        <v/>
      </c>
      <c r="Q23" s="54" t="str">
        <f>IF(AND('Matriz de Riesgos'!$AF$52="Alta",'Matriz de Riesgos'!$AH$52="Menor"),CONCATENATE("R8C",'Matriz de Riesgos'!$U$52),"")</f>
        <v/>
      </c>
      <c r="R23" s="54" t="str">
        <f>IF(AND('Matriz de Riesgos'!$AF$53="Alta",'Matriz de Riesgos'!$AH$53="Menor"),CONCATENATE("R8C",'Matriz de Riesgos'!$U$53),"")</f>
        <v/>
      </c>
      <c r="S23" s="54" t="str">
        <f>IF(AND('Matriz de Riesgos'!$AF$54="Alta",'Matriz de Riesgos'!$AH$54="Menor"),CONCATENATE("R8C",'Matriz de Riesgos'!$U$54),"")</f>
        <v/>
      </c>
      <c r="T23" s="54" t="str">
        <f>IF(AND('Matriz de Riesgos'!$AF$55="Alta",'Matriz de Riesgos'!$AH$55="Menor"),CONCATENATE("R8C",'Matriz de Riesgos'!$U$55),"")</f>
        <v/>
      </c>
      <c r="U23" s="55" t="str">
        <f>IF(AND('Matriz de Riesgos'!$AF$56="Alta",'Matriz de Riesgos'!$AH$56="Menor"),CONCATENATE("R8C",'Matriz de Riesgos'!$U$56),"")</f>
        <v/>
      </c>
      <c r="V23" s="38" t="str">
        <f>IF(AND('Matriz de Riesgos'!$AF$51="Alta",'Matriz de Riesgos'!$AH$51="Moderado"),CONCATENATE("R8C",'Matriz de Riesgos'!$U$51),"")</f>
        <v/>
      </c>
      <c r="W23" s="39" t="str">
        <f>IF(AND('Matriz de Riesgos'!$AF$52="Alta",'Matriz de Riesgos'!$AH$52="Moderado"),CONCATENATE("R8C",'Matriz de Riesgos'!$U$52),"")</f>
        <v/>
      </c>
      <c r="X23" s="39" t="str">
        <f>IF(AND('Matriz de Riesgos'!$AF$53="Alta",'Matriz de Riesgos'!$AH$53="Moderado"),CONCATENATE("R8C",'Matriz de Riesgos'!$U$53),"")</f>
        <v/>
      </c>
      <c r="Y23" s="39" t="str">
        <f>IF(AND('Matriz de Riesgos'!$AF$54="Alta",'Matriz de Riesgos'!$AH$54="Moderado"),CONCATENATE("R8C",'Matriz de Riesgos'!$U$54),"")</f>
        <v/>
      </c>
      <c r="Z23" s="39" t="str">
        <f>IF(AND('Matriz de Riesgos'!$AF$55="Alta",'Matriz de Riesgos'!$AH$55="Moderado"),CONCATENATE("R8C",'Matriz de Riesgos'!$U$55),"")</f>
        <v/>
      </c>
      <c r="AA23" s="40" t="str">
        <f>IF(AND('Matriz de Riesgos'!$AF$56="Alta",'Matriz de Riesgos'!$AH$56="Moderado"),CONCATENATE("R8C",'Matriz de Riesgos'!$U$56),"")</f>
        <v/>
      </c>
      <c r="AB23" s="38" t="str">
        <f>IF(AND('Matriz de Riesgos'!$AF$51="Alta",'Matriz de Riesgos'!$AH$51="Mayor"),CONCATENATE("R8C",'Matriz de Riesgos'!$U$51),"")</f>
        <v/>
      </c>
      <c r="AC23" s="39" t="str">
        <f>IF(AND('Matriz de Riesgos'!$AF$52="Alta",'Matriz de Riesgos'!$AH$52="Mayor"),CONCATENATE("R8C",'Matriz de Riesgos'!$U$52),"")</f>
        <v/>
      </c>
      <c r="AD23" s="39" t="str">
        <f>IF(AND('Matriz de Riesgos'!$AF$53="Alta",'Matriz de Riesgos'!$AH$53="Mayor"),CONCATENATE("R8C",'Matriz de Riesgos'!$U$53),"")</f>
        <v/>
      </c>
      <c r="AE23" s="39" t="str">
        <f>IF(AND('Matriz de Riesgos'!$AF$54="Alta",'Matriz de Riesgos'!$AH$54="Mayor"),CONCATENATE("R8C",'Matriz de Riesgos'!$U$54),"")</f>
        <v/>
      </c>
      <c r="AF23" s="39" t="str">
        <f>IF(AND('Matriz de Riesgos'!$AF$55="Alta",'Matriz de Riesgos'!$AH$55="Mayor"),CONCATENATE("R8C",'Matriz de Riesgos'!$U$55),"")</f>
        <v/>
      </c>
      <c r="AG23" s="40" t="str">
        <f>IF(AND('Matriz de Riesgos'!$AF$56="Alta",'Matriz de Riesgos'!$AH$56="Mayor"),CONCATENATE("R8C",'Matriz de Riesgos'!$U$56),"")</f>
        <v/>
      </c>
      <c r="AH23" s="41" t="str">
        <f>IF(AND('Matriz de Riesgos'!$AF$51="Alta",'Matriz de Riesgos'!$AH$51="Catastrófico"),CONCATENATE("R8C",'Matriz de Riesgos'!$U$51),"")</f>
        <v/>
      </c>
      <c r="AI23" s="42" t="str">
        <f>IF(AND('Matriz de Riesgos'!$AF$52="Alta",'Matriz de Riesgos'!$AH$52="Catastrófico"),CONCATENATE("R8C",'Matriz de Riesgos'!$U$52),"")</f>
        <v/>
      </c>
      <c r="AJ23" s="42" t="str">
        <f>IF(AND('Matriz de Riesgos'!$AF$53="Alta",'Matriz de Riesgos'!$AH$53="Catastrófico"),CONCATENATE("R8C",'Matriz de Riesgos'!$U$53),"")</f>
        <v/>
      </c>
      <c r="AK23" s="42" t="str">
        <f>IF(AND('Matriz de Riesgos'!$AF$54="Alta",'Matriz de Riesgos'!$AH$54="Catastrófico"),CONCATENATE("R8C",'Matriz de Riesgos'!$U$54),"")</f>
        <v/>
      </c>
      <c r="AL23" s="42" t="str">
        <f>IF(AND('Matriz de Riesgos'!$AF$55="Alta",'Matriz de Riesgos'!$AH$55="Catastrófico"),CONCATENATE("R8C",'Matriz de Riesgos'!$U$55),"")</f>
        <v/>
      </c>
      <c r="AM23" s="43" t="str">
        <f>IF(AND('Matriz de Riesgos'!$AF$56="Alta",'Matriz de Riesgos'!$AH$56="Catastrófico"),CONCATENATE("R8C",'Matriz de Riesgos'!$U$56),"")</f>
        <v/>
      </c>
      <c r="AN23" s="69"/>
      <c r="AO23" s="598"/>
      <c r="AP23" s="599"/>
      <c r="AQ23" s="599"/>
      <c r="AR23" s="599"/>
      <c r="AS23" s="599"/>
      <c r="AT23" s="600"/>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x14ac:dyDescent="0.25">
      <c r="A24" s="69"/>
      <c r="B24" s="509"/>
      <c r="C24" s="509"/>
      <c r="D24" s="510"/>
      <c r="E24" s="608"/>
      <c r="F24" s="607"/>
      <c r="G24" s="607"/>
      <c r="H24" s="607"/>
      <c r="I24" s="607"/>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98"/>
      <c r="AP24" s="599"/>
      <c r="AQ24" s="599"/>
      <c r="AR24" s="599"/>
      <c r="AS24" s="599"/>
      <c r="AT24" s="600"/>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x14ac:dyDescent="0.3">
      <c r="A25" s="69"/>
      <c r="B25" s="509"/>
      <c r="C25" s="509"/>
      <c r="D25" s="510"/>
      <c r="E25" s="609"/>
      <c r="F25" s="610"/>
      <c r="G25" s="610"/>
      <c r="H25" s="610"/>
      <c r="I25" s="610"/>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601"/>
      <c r="AP25" s="602"/>
      <c r="AQ25" s="602"/>
      <c r="AR25" s="602"/>
      <c r="AS25" s="602"/>
      <c r="AT25" s="603"/>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x14ac:dyDescent="0.25">
      <c r="A26" s="69"/>
      <c r="B26" s="509"/>
      <c r="C26" s="509"/>
      <c r="D26" s="510"/>
      <c r="E26" s="604" t="s">
        <v>947</v>
      </c>
      <c r="F26" s="605"/>
      <c r="G26" s="605"/>
      <c r="H26" s="605"/>
      <c r="I26" s="622"/>
      <c r="J26" s="50" t="str">
        <f>IF(AND('Matriz de Riesgos'!$AF$12="Media",'Matriz de Riesgos'!$AH$12="Leve"),CONCATENATE("R1C",'Matriz de Riesgos'!$U$12),"")</f>
        <v>R1C1</v>
      </c>
      <c r="K26" s="51" t="str">
        <f>IF(AND('Matriz de Riesgos'!$AF$13="Media",'Matriz de Riesgos'!$AH$13="Leve"),CONCATENATE("R1C",'Matriz de Riesgos'!$U$13),"")</f>
        <v/>
      </c>
      <c r="L26" s="51" t="e">
        <f>IF(AND('Matriz de Riesgos'!#REF!="Media",'Matriz de Riesgos'!#REF!="Leve"),CONCATENATE("R1C",'Matriz de Riesgos'!#REF!),"")</f>
        <v>#REF!</v>
      </c>
      <c r="M26" s="51" t="e">
        <f>IF(AND('Matriz de Riesgos'!#REF!="Media",'Matriz de Riesgos'!#REF!="Leve"),CONCATENATE("R1C",'Matriz de Riesgos'!#REF!),"")</f>
        <v>#REF!</v>
      </c>
      <c r="N26" s="51" t="e">
        <f>IF(AND('Matriz de Riesgos'!#REF!="Media",'Matriz de Riesgos'!#REF!="Leve"),CONCATENATE("R1C",'Matriz de Riesgos'!#REF!),"")</f>
        <v>#REF!</v>
      </c>
      <c r="O26" s="52" t="str">
        <f>IF(AND('Matriz de Riesgos'!$AF$14="Media",'Matriz de Riesgos'!$AH$14="Leve"),CONCATENATE("R1C",'Matriz de Riesgos'!$U$14),"")</f>
        <v/>
      </c>
      <c r="P26" s="50" t="str">
        <f>IF(AND('Matriz de Riesgos'!$AF$12="Media",'Matriz de Riesgos'!$AH$12="Menor"),CONCATENATE("R1C",'Matriz de Riesgos'!$U$12),"")</f>
        <v/>
      </c>
      <c r="Q26" s="51" t="str">
        <f>IF(AND('Matriz de Riesgos'!$AF$13="Media",'Matriz de Riesgos'!$AH$13="Menor"),CONCATENATE("R1C",'Matriz de Riesgos'!$U$13),"")</f>
        <v/>
      </c>
      <c r="R26" s="51" t="e">
        <f>IF(AND('Matriz de Riesgos'!#REF!="Media",'Matriz de Riesgos'!#REF!="Menor"),CONCATENATE("R1C",'Matriz de Riesgos'!#REF!),"")</f>
        <v>#REF!</v>
      </c>
      <c r="S26" s="51" t="e">
        <f>IF(AND('Matriz de Riesgos'!#REF!="Media",'Matriz de Riesgos'!#REF!="Menor"),CONCATENATE("R1C",'Matriz de Riesgos'!#REF!),"")</f>
        <v>#REF!</v>
      </c>
      <c r="T26" s="51" t="e">
        <f>IF(AND('Matriz de Riesgos'!#REF!="Media",'Matriz de Riesgos'!#REF!="Menor"),CONCATENATE("R1C",'Matriz de Riesgos'!#REF!),"")</f>
        <v>#REF!</v>
      </c>
      <c r="U26" s="52" t="str">
        <f>IF(AND('Matriz de Riesgos'!$AF$14="Media",'Matriz de Riesgos'!$AH$14="Menor"),CONCATENATE("R1C",'Matriz de Riesgos'!$U$14),"")</f>
        <v/>
      </c>
      <c r="V26" s="50" t="str">
        <f>IF(AND('Matriz de Riesgos'!$AF$12="Media",'Matriz de Riesgos'!$AH$12="Moderado"),CONCATENATE("R1C",'Matriz de Riesgos'!$U$12),"")</f>
        <v/>
      </c>
      <c r="W26" s="51" t="str">
        <f>IF(AND('Matriz de Riesgos'!$AF$13="Media",'Matriz de Riesgos'!$AH$13="Moderado"),CONCATENATE("R1C",'Matriz de Riesgos'!$U$13),"")</f>
        <v/>
      </c>
      <c r="X26" s="51" t="e">
        <f>IF(AND('Matriz de Riesgos'!#REF!="Media",'Matriz de Riesgos'!#REF!="Moderado"),CONCATENATE("R1C",'Matriz de Riesgos'!#REF!),"")</f>
        <v>#REF!</v>
      </c>
      <c r="Y26" s="51" t="e">
        <f>IF(AND('Matriz de Riesgos'!#REF!="Media",'Matriz de Riesgos'!#REF!="Moderado"),CONCATENATE("R1C",'Matriz de Riesgos'!#REF!),"")</f>
        <v>#REF!</v>
      </c>
      <c r="Z26" s="51" t="e">
        <f>IF(AND('Matriz de Riesgos'!#REF!="Media",'Matriz de Riesgos'!#REF!="Moderado"),CONCATENATE("R1C",'Matriz de Riesgos'!#REF!),"")</f>
        <v>#REF!</v>
      </c>
      <c r="AA26" s="52" t="str">
        <f>IF(AND('Matriz de Riesgos'!$AF$14="Media",'Matriz de Riesgos'!$AH$14="Moderado"),CONCATENATE("R1C",'Matriz de Riesgos'!$U$14),"")</f>
        <v/>
      </c>
      <c r="AB26" s="32" t="str">
        <f>IF(AND('Matriz de Riesgos'!$AF$12="Media",'Matriz de Riesgos'!$AH$12="Mayor"),CONCATENATE("R1C",'Matriz de Riesgos'!$U$12),"")</f>
        <v/>
      </c>
      <c r="AC26" s="33" t="str">
        <f>IF(AND('Matriz de Riesgos'!$AF$13="Media",'Matriz de Riesgos'!$AH$13="Mayor"),CONCATENATE("R1C",'Matriz de Riesgos'!$U$13),"")</f>
        <v/>
      </c>
      <c r="AD26" s="33" t="e">
        <f>IF(AND('Matriz de Riesgos'!#REF!="Media",'Matriz de Riesgos'!#REF!="Mayor"),CONCATENATE("R1C",'Matriz de Riesgos'!#REF!),"")</f>
        <v>#REF!</v>
      </c>
      <c r="AE26" s="33" t="e">
        <f>IF(AND('Matriz de Riesgos'!#REF!="Media",'Matriz de Riesgos'!#REF!="Mayor"),CONCATENATE("R1C",'Matriz de Riesgos'!#REF!),"")</f>
        <v>#REF!</v>
      </c>
      <c r="AF26" s="33" t="e">
        <f>IF(AND('Matriz de Riesgos'!#REF!="Media",'Matriz de Riesgos'!#REF!="Mayor"),CONCATENATE("R1C",'Matriz de Riesgos'!#REF!),"")</f>
        <v>#REF!</v>
      </c>
      <c r="AG26" s="34" t="str">
        <f>IF(AND('Matriz de Riesgos'!$AF$14="Media",'Matriz de Riesgos'!$AH$14="Mayor"),CONCATENATE("R1C",'Matriz de Riesgos'!$U$14),"")</f>
        <v/>
      </c>
      <c r="AH26" s="35" t="str">
        <f>IF(AND('Matriz de Riesgos'!$AF$12="Media",'Matriz de Riesgos'!$AH$12="Catastrófico"),CONCATENATE("R1C",'Matriz de Riesgos'!$U$12),"")</f>
        <v/>
      </c>
      <c r="AI26" s="36" t="str">
        <f>IF(AND('Matriz de Riesgos'!$AF$13="Media",'Matriz de Riesgos'!$AH$13="Catastrófico"),CONCATENATE("R1C",'Matriz de Riesgos'!$U$13),"")</f>
        <v/>
      </c>
      <c r="AJ26" s="36" t="e">
        <f>IF(AND('Matriz de Riesgos'!#REF!="Media",'Matriz de Riesgos'!#REF!="Catastrófico"),CONCATENATE("R1C",'Matriz de Riesgos'!#REF!),"")</f>
        <v>#REF!</v>
      </c>
      <c r="AK26" s="36" t="e">
        <f>IF(AND('Matriz de Riesgos'!#REF!="Media",'Matriz de Riesgos'!#REF!="Catastrófico"),CONCATENATE("R1C",'Matriz de Riesgos'!#REF!),"")</f>
        <v>#REF!</v>
      </c>
      <c r="AL26" s="36" t="e">
        <f>IF(AND('Matriz de Riesgos'!#REF!="Media",'Matriz de Riesgos'!#REF!="Catastrófico"),CONCATENATE("R1C",'Matriz de Riesgos'!#REF!),"")</f>
        <v>#REF!</v>
      </c>
      <c r="AM26" s="37" t="str">
        <f>IF(AND('Matriz de Riesgos'!$AF$14="Media",'Matriz de Riesgos'!$AH$14="Catastrófico"),CONCATENATE("R1C",'Matriz de Riesgos'!$U$14),"")</f>
        <v/>
      </c>
      <c r="AN26" s="69"/>
      <c r="AO26" s="634" t="s">
        <v>948</v>
      </c>
      <c r="AP26" s="635"/>
      <c r="AQ26" s="635"/>
      <c r="AR26" s="635"/>
      <c r="AS26" s="635"/>
      <c r="AT26" s="636"/>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x14ac:dyDescent="0.25">
      <c r="A27" s="69"/>
      <c r="B27" s="509"/>
      <c r="C27" s="509"/>
      <c r="D27" s="510"/>
      <c r="E27" s="606"/>
      <c r="F27" s="607"/>
      <c r="G27" s="607"/>
      <c r="H27" s="607"/>
      <c r="I27" s="623"/>
      <c r="J27" s="53" t="str">
        <f>IF(AND('Matriz de Riesgos'!$AF$15="Media",'Matriz de Riesgos'!$AH$15="Leve"),CONCATENATE("R2C",'Matriz de Riesgos'!$U$15),"")</f>
        <v/>
      </c>
      <c r="K27" s="54" t="str">
        <f>IF(AND('Matriz de Riesgos'!$AF$16="Media",'Matriz de Riesgos'!$AH$16="Leve"),CONCATENATE("R2C",'Matriz de Riesgos'!$U$16),"")</f>
        <v/>
      </c>
      <c r="L27" s="54" t="str">
        <f>IF(AND('Matriz de Riesgos'!$AF$17="Media",'Matriz de Riesgos'!$AH$17="Leve"),CONCATENATE("R2C",'Matriz de Riesgos'!$U$17),"")</f>
        <v/>
      </c>
      <c r="M27" s="54" t="str">
        <f>IF(AND('Matriz de Riesgos'!$AF$18="Media",'Matriz de Riesgos'!$AH$18="Leve"),CONCATENATE("R2C",'Matriz de Riesgos'!$U$18),"")</f>
        <v/>
      </c>
      <c r="N27" s="54" t="str">
        <f>IF(AND('Matriz de Riesgos'!$AF$19="Media",'Matriz de Riesgos'!$AH$19="Leve"),CONCATENATE("R2C",'Matriz de Riesgos'!$U$19),"")</f>
        <v/>
      </c>
      <c r="O27" s="55" t="str">
        <f>IF(AND('Matriz de Riesgos'!$AF$20="Media",'Matriz de Riesgos'!$AH$20="Leve"),CONCATENATE("R2C",'Matriz de Riesgos'!$U$20),"")</f>
        <v/>
      </c>
      <c r="P27" s="53" t="str">
        <f>IF(AND('Matriz de Riesgos'!$AF$15="Media",'Matriz de Riesgos'!$AH$15="Menor"),CONCATENATE("R2C",'Matriz de Riesgos'!$U$15),"")</f>
        <v/>
      </c>
      <c r="Q27" s="54" t="str">
        <f>IF(AND('Matriz de Riesgos'!$AF$16="Media",'Matriz de Riesgos'!$AH$16="Menor"),CONCATENATE("R2C",'Matriz de Riesgos'!$U$16),"")</f>
        <v/>
      </c>
      <c r="R27" s="54" t="str">
        <f>IF(AND('Matriz de Riesgos'!$AF$17="Media",'Matriz de Riesgos'!$AH$17="Menor"),CONCATENATE("R2C",'Matriz de Riesgos'!$U$17),"")</f>
        <v/>
      </c>
      <c r="S27" s="54" t="str">
        <f>IF(AND('Matriz de Riesgos'!$AF$18="Media",'Matriz de Riesgos'!$AH$18="Menor"),CONCATENATE("R2C",'Matriz de Riesgos'!$U$18),"")</f>
        <v/>
      </c>
      <c r="T27" s="54" t="str">
        <f>IF(AND('Matriz de Riesgos'!$AF$19="Media",'Matriz de Riesgos'!$AH$19="Menor"),CONCATENATE("R2C",'Matriz de Riesgos'!$U$19),"")</f>
        <v/>
      </c>
      <c r="U27" s="55" t="str">
        <f>IF(AND('Matriz de Riesgos'!$AF$20="Media",'Matriz de Riesgos'!$AH$20="Menor"),CONCATENATE("R2C",'Matriz de Riesgos'!$U$20),"")</f>
        <v/>
      </c>
      <c r="V27" s="53" t="str">
        <f>IF(AND('Matriz de Riesgos'!$AF$15="Media",'Matriz de Riesgos'!$AH$15="Moderado"),CONCATENATE("R2C",'Matriz de Riesgos'!$U$15),"")</f>
        <v/>
      </c>
      <c r="W27" s="54" t="str">
        <f>IF(AND('Matriz de Riesgos'!$AF$16="Media",'Matriz de Riesgos'!$AH$16="Moderado"),CONCATENATE("R2C",'Matriz de Riesgos'!$U$16),"")</f>
        <v/>
      </c>
      <c r="X27" s="54" t="str">
        <f>IF(AND('Matriz de Riesgos'!$AF$17="Media",'Matriz de Riesgos'!$AH$17="Moderado"),CONCATENATE("R2C",'Matriz de Riesgos'!$U$17),"")</f>
        <v/>
      </c>
      <c r="Y27" s="54" t="str">
        <f>IF(AND('Matriz de Riesgos'!$AF$18="Media",'Matriz de Riesgos'!$AH$18="Moderado"),CONCATENATE("R2C",'Matriz de Riesgos'!$U$18),"")</f>
        <v/>
      </c>
      <c r="Z27" s="54" t="str">
        <f>IF(AND('Matriz de Riesgos'!$AF$19="Media",'Matriz de Riesgos'!$AH$19="Moderado"),CONCATENATE("R2C",'Matriz de Riesgos'!$U$19),"")</f>
        <v/>
      </c>
      <c r="AA27" s="55" t="str">
        <f>IF(AND('Matriz de Riesgos'!$AF$20="Media",'Matriz de Riesgos'!$AH$20="Moderado"),CONCATENATE("R2C",'Matriz de Riesgos'!$U$20),"")</f>
        <v/>
      </c>
      <c r="AB27" s="38" t="str">
        <f>IF(AND('Matriz de Riesgos'!$AF$15="Media",'Matriz de Riesgos'!$AH$15="Mayor"),CONCATENATE("R2C",'Matriz de Riesgos'!$U$15),"")</f>
        <v/>
      </c>
      <c r="AC27" s="39" t="str">
        <f>IF(AND('Matriz de Riesgos'!$AF$16="Media",'Matriz de Riesgos'!$AH$16="Mayor"),CONCATENATE("R2C",'Matriz de Riesgos'!$U$16),"")</f>
        <v/>
      </c>
      <c r="AD27" s="39" t="str">
        <f>IF(AND('Matriz de Riesgos'!$AF$17="Media",'Matriz de Riesgos'!$AH$17="Mayor"),CONCATENATE("R2C",'Matriz de Riesgos'!$U$17),"")</f>
        <v/>
      </c>
      <c r="AE27" s="39" t="str">
        <f>IF(AND('Matriz de Riesgos'!$AF$18="Media",'Matriz de Riesgos'!$AH$18="Mayor"),CONCATENATE("R2C",'Matriz de Riesgos'!$U$18),"")</f>
        <v/>
      </c>
      <c r="AF27" s="39" t="str">
        <f>IF(AND('Matriz de Riesgos'!$AF$19="Media",'Matriz de Riesgos'!$AH$19="Mayor"),CONCATENATE("R2C",'Matriz de Riesgos'!$U$19),"")</f>
        <v/>
      </c>
      <c r="AG27" s="40" t="str">
        <f>IF(AND('Matriz de Riesgos'!$AF$20="Media",'Matriz de Riesgos'!$AH$20="Mayor"),CONCATENATE("R2C",'Matriz de Riesgos'!$U$20),"")</f>
        <v/>
      </c>
      <c r="AH27" s="41" t="str">
        <f>IF(AND('Matriz de Riesgos'!$AF$15="Media",'Matriz de Riesgos'!$AH$15="Catastrófico"),CONCATENATE("R2C",'Matriz de Riesgos'!$U$15),"")</f>
        <v/>
      </c>
      <c r="AI27" s="42" t="str">
        <f>IF(AND('Matriz de Riesgos'!$AF$16="Media",'Matriz de Riesgos'!$AH$16="Catastrófico"),CONCATENATE("R2C",'Matriz de Riesgos'!$U$16),"")</f>
        <v/>
      </c>
      <c r="AJ27" s="42" t="str">
        <f>IF(AND('Matriz de Riesgos'!$AF$17="Media",'Matriz de Riesgos'!$AH$17="Catastrófico"),CONCATENATE("R2C",'Matriz de Riesgos'!$U$17),"")</f>
        <v/>
      </c>
      <c r="AK27" s="42" t="str">
        <f>IF(AND('Matriz de Riesgos'!$AF$18="Media",'Matriz de Riesgos'!$AH$18="Catastrófico"),CONCATENATE("R2C",'Matriz de Riesgos'!$U$18),"")</f>
        <v/>
      </c>
      <c r="AL27" s="42" t="str">
        <f>IF(AND('Matriz de Riesgos'!$AF$19="Media",'Matriz de Riesgos'!$AH$19="Catastrófico"),CONCATENATE("R2C",'Matriz de Riesgos'!$U$19),"")</f>
        <v/>
      </c>
      <c r="AM27" s="43" t="str">
        <f>IF(AND('Matriz de Riesgos'!$AF$20="Media",'Matriz de Riesgos'!$AH$20="Catastrófico"),CONCATENATE("R2C",'Matriz de Riesgos'!$U$20),"")</f>
        <v/>
      </c>
      <c r="AN27" s="69"/>
      <c r="AO27" s="637"/>
      <c r="AP27" s="638"/>
      <c r="AQ27" s="638"/>
      <c r="AR27" s="638"/>
      <c r="AS27" s="638"/>
      <c r="AT27" s="63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x14ac:dyDescent="0.25">
      <c r="A28" s="69"/>
      <c r="B28" s="509"/>
      <c r="C28" s="509"/>
      <c r="D28" s="510"/>
      <c r="E28" s="608"/>
      <c r="F28" s="607"/>
      <c r="G28" s="607"/>
      <c r="H28" s="607"/>
      <c r="I28" s="623"/>
      <c r="J28" s="53" t="str">
        <f>IF(AND('Matriz de Riesgos'!$AF$21="Media",'Matriz de Riesgos'!$AH$21="Leve"),CONCATENATE("R3C",'Matriz de Riesgos'!$U$21),"")</f>
        <v/>
      </c>
      <c r="K28" s="54" t="str">
        <f>IF(AND('Matriz de Riesgos'!$AF$22="Media",'Matriz de Riesgos'!$AH$22="Leve"),CONCATENATE("R3C",'Matriz de Riesgos'!$U$22),"")</f>
        <v/>
      </c>
      <c r="L28" s="54" t="str">
        <f>IF(AND('Matriz de Riesgos'!$AF$23="Media",'Matriz de Riesgos'!$AH$23="Leve"),CONCATENATE("R3C",'Matriz de Riesgos'!$U$23),"")</f>
        <v/>
      </c>
      <c r="M28" s="54" t="str">
        <f>IF(AND('Matriz de Riesgos'!$AF$24="Media",'Matriz de Riesgos'!$AH$24="Leve"),CONCATENATE("R3C",'Matriz de Riesgos'!$U$24),"")</f>
        <v/>
      </c>
      <c r="N28" s="54" t="str">
        <f>IF(AND('Matriz de Riesgos'!$AF$25="Media",'Matriz de Riesgos'!$AH$25="Leve"),CONCATENATE("R3C",'Matriz de Riesgos'!$U$25),"")</f>
        <v/>
      </c>
      <c r="O28" s="55" t="str">
        <f>IF(AND('Matriz de Riesgos'!$AF$26="Media",'Matriz de Riesgos'!$AH$26="Leve"),CONCATENATE("R3C",'Matriz de Riesgos'!$U$26),"")</f>
        <v/>
      </c>
      <c r="P28" s="53" t="str">
        <f>IF(AND('Matriz de Riesgos'!$AF$21="Media",'Matriz de Riesgos'!$AH$21="Menor"),CONCATENATE("R3C",'Matriz de Riesgos'!$U$21),"")</f>
        <v/>
      </c>
      <c r="Q28" s="54" t="str">
        <f>IF(AND('Matriz de Riesgos'!$AF$22="Media",'Matriz de Riesgos'!$AH$22="Menor"),CONCATENATE("R3C",'Matriz de Riesgos'!$U$22),"")</f>
        <v/>
      </c>
      <c r="R28" s="54" t="str">
        <f>IF(AND('Matriz de Riesgos'!$AF$23="Media",'Matriz de Riesgos'!$AH$23="Menor"),CONCATENATE("R3C",'Matriz de Riesgos'!$U$23),"")</f>
        <v/>
      </c>
      <c r="S28" s="54" t="str">
        <f>IF(AND('Matriz de Riesgos'!$AF$24="Media",'Matriz de Riesgos'!$AH$24="Menor"),CONCATENATE("R3C",'Matriz de Riesgos'!$U$24),"")</f>
        <v/>
      </c>
      <c r="T28" s="54" t="str">
        <f>IF(AND('Matriz de Riesgos'!$AF$25="Media",'Matriz de Riesgos'!$AH$25="Menor"),CONCATENATE("R3C",'Matriz de Riesgos'!$U$25),"")</f>
        <v/>
      </c>
      <c r="U28" s="55" t="str">
        <f>IF(AND('Matriz de Riesgos'!$AF$26="Media",'Matriz de Riesgos'!$AH$26="Menor"),CONCATENATE("R3C",'Matriz de Riesgos'!$U$26),"")</f>
        <v/>
      </c>
      <c r="V28" s="53" t="str">
        <f>IF(AND('Matriz de Riesgos'!$AF$21="Media",'Matriz de Riesgos'!$AH$21="Moderado"),CONCATENATE("R3C",'Matriz de Riesgos'!$U$21),"")</f>
        <v/>
      </c>
      <c r="W28" s="54" t="str">
        <f>IF(AND('Matriz de Riesgos'!$AF$22="Media",'Matriz de Riesgos'!$AH$22="Moderado"),CONCATENATE("R3C",'Matriz de Riesgos'!$U$22),"")</f>
        <v/>
      </c>
      <c r="X28" s="54" t="str">
        <f>IF(AND('Matriz de Riesgos'!$AF$23="Media",'Matriz de Riesgos'!$AH$23="Moderado"),CONCATENATE("R3C",'Matriz de Riesgos'!$U$23),"")</f>
        <v/>
      </c>
      <c r="Y28" s="54" t="str">
        <f>IF(AND('Matriz de Riesgos'!$AF$24="Media",'Matriz de Riesgos'!$AH$24="Moderado"),CONCATENATE("R3C",'Matriz de Riesgos'!$U$24),"")</f>
        <v/>
      </c>
      <c r="Z28" s="54" t="str">
        <f>IF(AND('Matriz de Riesgos'!$AF$25="Media",'Matriz de Riesgos'!$AH$25="Moderado"),CONCATENATE("R3C",'Matriz de Riesgos'!$U$25),"")</f>
        <v/>
      </c>
      <c r="AA28" s="55" t="str">
        <f>IF(AND('Matriz de Riesgos'!$AF$26="Media",'Matriz de Riesgos'!$AH$26="Moderado"),CONCATENATE("R3C",'Matriz de Riesgos'!$U$26),"")</f>
        <v/>
      </c>
      <c r="AB28" s="38" t="str">
        <f>IF(AND('Matriz de Riesgos'!$AF$21="Media",'Matriz de Riesgos'!$AH$21="Mayor"),CONCATENATE("R3C",'Matriz de Riesgos'!$U$21),"")</f>
        <v/>
      </c>
      <c r="AC28" s="39" t="str">
        <f>IF(AND('Matriz de Riesgos'!$AF$22="Media",'Matriz de Riesgos'!$AH$22="Mayor"),CONCATENATE("R3C",'Matriz de Riesgos'!$U$22),"")</f>
        <v/>
      </c>
      <c r="AD28" s="39" t="str">
        <f>IF(AND('Matriz de Riesgos'!$AF$23="Media",'Matriz de Riesgos'!$AH$23="Mayor"),CONCATENATE("R3C",'Matriz de Riesgos'!$U$23),"")</f>
        <v/>
      </c>
      <c r="AE28" s="39" t="str">
        <f>IF(AND('Matriz de Riesgos'!$AF$24="Media",'Matriz de Riesgos'!$AH$24="Mayor"),CONCATENATE("R3C",'Matriz de Riesgos'!$U$24),"")</f>
        <v/>
      </c>
      <c r="AF28" s="39" t="str">
        <f>IF(AND('Matriz de Riesgos'!$AF$25="Media",'Matriz de Riesgos'!$AH$25="Mayor"),CONCATENATE("R3C",'Matriz de Riesgos'!$U$25),"")</f>
        <v/>
      </c>
      <c r="AG28" s="40" t="str">
        <f>IF(AND('Matriz de Riesgos'!$AF$26="Media",'Matriz de Riesgos'!$AH$26="Mayor"),CONCATENATE("R3C",'Matriz de Riesgos'!$U$26),"")</f>
        <v/>
      </c>
      <c r="AH28" s="41" t="str">
        <f>IF(AND('Matriz de Riesgos'!$AF$21="Media",'Matriz de Riesgos'!$AH$21="Catastrófico"),CONCATENATE("R3C",'Matriz de Riesgos'!$U$21),"")</f>
        <v/>
      </c>
      <c r="AI28" s="42" t="str">
        <f>IF(AND('Matriz de Riesgos'!$AF$22="Media",'Matriz de Riesgos'!$AH$22="Catastrófico"),CONCATENATE("R3C",'Matriz de Riesgos'!$U$22),"")</f>
        <v/>
      </c>
      <c r="AJ28" s="42" t="str">
        <f>IF(AND('Matriz de Riesgos'!$AF$23="Media",'Matriz de Riesgos'!$AH$23="Catastrófico"),CONCATENATE("R3C",'Matriz de Riesgos'!$U$23),"")</f>
        <v/>
      </c>
      <c r="AK28" s="42" t="str">
        <f>IF(AND('Matriz de Riesgos'!$AF$24="Media",'Matriz de Riesgos'!$AH$24="Catastrófico"),CONCATENATE("R3C",'Matriz de Riesgos'!$U$24),"")</f>
        <v/>
      </c>
      <c r="AL28" s="42" t="str">
        <f>IF(AND('Matriz de Riesgos'!$AF$25="Media",'Matriz de Riesgos'!$AH$25="Catastrófico"),CONCATENATE("R3C",'Matriz de Riesgos'!$U$25),"")</f>
        <v/>
      </c>
      <c r="AM28" s="43" t="str">
        <f>IF(AND('Matriz de Riesgos'!$AF$26="Media",'Matriz de Riesgos'!$AH$26="Catastrófico"),CONCATENATE("R3C",'Matriz de Riesgos'!$U$26),"")</f>
        <v/>
      </c>
      <c r="AN28" s="69"/>
      <c r="AO28" s="637"/>
      <c r="AP28" s="638"/>
      <c r="AQ28" s="638"/>
      <c r="AR28" s="638"/>
      <c r="AS28" s="638"/>
      <c r="AT28" s="63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x14ac:dyDescent="0.25">
      <c r="A29" s="69"/>
      <c r="B29" s="509"/>
      <c r="C29" s="509"/>
      <c r="D29" s="510"/>
      <c r="E29" s="608"/>
      <c r="F29" s="607"/>
      <c r="G29" s="607"/>
      <c r="H29" s="607"/>
      <c r="I29" s="623"/>
      <c r="J29" s="53" t="str">
        <f>IF(AND('Matriz de Riesgos'!$AF$27="Media",'Matriz de Riesgos'!$AH$27="Leve"),CONCATENATE("R4C",'Matriz de Riesgos'!$U$27),"")</f>
        <v/>
      </c>
      <c r="K29" s="54" t="str">
        <f>IF(AND('Matriz de Riesgos'!$AF$28="Media",'Matriz de Riesgos'!$AH$28="Leve"),CONCATENATE("R4C",'Matriz de Riesgos'!$U$28),"")</f>
        <v/>
      </c>
      <c r="L29" s="54" t="str">
        <f>IF(AND('Matriz de Riesgos'!$AF$29="Media",'Matriz de Riesgos'!$AH$29="Leve"),CONCATENATE("R4C",'Matriz de Riesgos'!$U$29),"")</f>
        <v/>
      </c>
      <c r="M29" s="54" t="str">
        <f>IF(AND('Matriz de Riesgos'!$AF$30="Media",'Matriz de Riesgos'!$AH$30="Leve"),CONCATENATE("R4C",'Matriz de Riesgos'!$U$30),"")</f>
        <v/>
      </c>
      <c r="N29" s="54" t="str">
        <f>IF(AND('Matriz de Riesgos'!$AF$31="Media",'Matriz de Riesgos'!$AH$31="Leve"),CONCATENATE("R4C",'Matriz de Riesgos'!$U$31),"")</f>
        <v/>
      </c>
      <c r="O29" s="55" t="str">
        <f>IF(AND('Matriz de Riesgos'!$AF$32="Media",'Matriz de Riesgos'!$AH$32="Leve"),CONCATENATE("R4C",'Matriz de Riesgos'!$U$32),"")</f>
        <v/>
      </c>
      <c r="P29" s="53" t="str">
        <f>IF(AND('Matriz de Riesgos'!$AF$27="Media",'Matriz de Riesgos'!$AH$27="Menor"),CONCATENATE("R4C",'Matriz de Riesgos'!$U$27),"")</f>
        <v/>
      </c>
      <c r="Q29" s="54" t="str">
        <f>IF(AND('Matriz de Riesgos'!$AF$28="Media",'Matriz de Riesgos'!$AH$28="Menor"),CONCATENATE("R4C",'Matriz de Riesgos'!$U$28),"")</f>
        <v/>
      </c>
      <c r="R29" s="54" t="str">
        <f>IF(AND('Matriz de Riesgos'!$AF$29="Media",'Matriz de Riesgos'!$AH$29="Menor"),CONCATENATE("R4C",'Matriz de Riesgos'!$U$29),"")</f>
        <v/>
      </c>
      <c r="S29" s="54" t="str">
        <f>IF(AND('Matriz de Riesgos'!$AF$30="Media",'Matriz de Riesgos'!$AH$30="Menor"),CONCATENATE("R4C",'Matriz de Riesgos'!$U$30),"")</f>
        <v/>
      </c>
      <c r="T29" s="54" t="str">
        <f>IF(AND('Matriz de Riesgos'!$AF$31="Media",'Matriz de Riesgos'!$AH$31="Menor"),CONCATENATE("R4C",'Matriz de Riesgos'!$U$31),"")</f>
        <v/>
      </c>
      <c r="U29" s="55" t="str">
        <f>IF(AND('Matriz de Riesgos'!$AF$32="Media",'Matriz de Riesgos'!$AH$32="Menor"),CONCATENATE("R4C",'Matriz de Riesgos'!$U$32),"")</f>
        <v/>
      </c>
      <c r="V29" s="53" t="str">
        <f>IF(AND('Matriz de Riesgos'!$AF$27="Media",'Matriz de Riesgos'!$AH$27="Moderado"),CONCATENATE("R4C",'Matriz de Riesgos'!$U$27),"")</f>
        <v/>
      </c>
      <c r="W29" s="54" t="str">
        <f>IF(AND('Matriz de Riesgos'!$AF$28="Media",'Matriz de Riesgos'!$AH$28="Moderado"),CONCATENATE("R4C",'Matriz de Riesgos'!$U$28),"")</f>
        <v/>
      </c>
      <c r="X29" s="54" t="str">
        <f>IF(AND('Matriz de Riesgos'!$AF$29="Media",'Matriz de Riesgos'!$AH$29="Moderado"),CONCATENATE("R4C",'Matriz de Riesgos'!$U$29),"")</f>
        <v/>
      </c>
      <c r="Y29" s="54" t="str">
        <f>IF(AND('Matriz de Riesgos'!$AF$30="Media",'Matriz de Riesgos'!$AH$30="Moderado"),CONCATENATE("R4C",'Matriz de Riesgos'!$U$30),"")</f>
        <v/>
      </c>
      <c r="Z29" s="54" t="str">
        <f>IF(AND('Matriz de Riesgos'!$AF$31="Media",'Matriz de Riesgos'!$AH$31="Moderado"),CONCATENATE("R4C",'Matriz de Riesgos'!$U$31),"")</f>
        <v/>
      </c>
      <c r="AA29" s="55" t="str">
        <f>IF(AND('Matriz de Riesgos'!$AF$32="Media",'Matriz de Riesgos'!$AH$32="Moderado"),CONCATENATE("R4C",'Matriz de Riesgos'!$U$32),"")</f>
        <v/>
      </c>
      <c r="AB29" s="38" t="str">
        <f>IF(AND('Matriz de Riesgos'!$AF$27="Media",'Matriz de Riesgos'!$AH$27="Mayor"),CONCATENATE("R4C",'Matriz de Riesgos'!$U$27),"")</f>
        <v/>
      </c>
      <c r="AC29" s="39" t="str">
        <f>IF(AND('Matriz de Riesgos'!$AF$28="Media",'Matriz de Riesgos'!$AH$28="Mayor"),CONCATENATE("R4C",'Matriz de Riesgos'!$U$28),"")</f>
        <v/>
      </c>
      <c r="AD29" s="39" t="str">
        <f>IF(AND('Matriz de Riesgos'!$AF$29="Media",'Matriz de Riesgos'!$AH$29="Mayor"),CONCATENATE("R4C",'Matriz de Riesgos'!$U$29),"")</f>
        <v/>
      </c>
      <c r="AE29" s="39" t="str">
        <f>IF(AND('Matriz de Riesgos'!$AF$30="Media",'Matriz de Riesgos'!$AH$30="Mayor"),CONCATENATE("R4C",'Matriz de Riesgos'!$U$30),"")</f>
        <v/>
      </c>
      <c r="AF29" s="39" t="str">
        <f>IF(AND('Matriz de Riesgos'!$AF$31="Media",'Matriz de Riesgos'!$AH$31="Mayor"),CONCATENATE("R4C",'Matriz de Riesgos'!$U$31),"")</f>
        <v/>
      </c>
      <c r="AG29" s="40" t="str">
        <f>IF(AND('Matriz de Riesgos'!$AF$32="Media",'Matriz de Riesgos'!$AH$32="Mayor"),CONCATENATE("R4C",'Matriz de Riesgos'!$U$32),"")</f>
        <v/>
      </c>
      <c r="AH29" s="41" t="str">
        <f>IF(AND('Matriz de Riesgos'!$AF$27="Media",'Matriz de Riesgos'!$AH$27="Catastrófico"),CONCATENATE("R4C",'Matriz de Riesgos'!$U$27),"")</f>
        <v/>
      </c>
      <c r="AI29" s="42" t="str">
        <f>IF(AND('Matriz de Riesgos'!$AF$28="Media",'Matriz de Riesgos'!$AH$28="Catastrófico"),CONCATENATE("R4C",'Matriz de Riesgos'!$U$28),"")</f>
        <v/>
      </c>
      <c r="AJ29" s="42" t="str">
        <f>IF(AND('Matriz de Riesgos'!$AF$29="Media",'Matriz de Riesgos'!$AH$29="Catastrófico"),CONCATENATE("R4C",'Matriz de Riesgos'!$U$29),"")</f>
        <v/>
      </c>
      <c r="AK29" s="42" t="str">
        <f>IF(AND('Matriz de Riesgos'!$AF$30="Media",'Matriz de Riesgos'!$AH$30="Catastrófico"),CONCATENATE("R4C",'Matriz de Riesgos'!$U$30),"")</f>
        <v/>
      </c>
      <c r="AL29" s="42" t="str">
        <f>IF(AND('Matriz de Riesgos'!$AF$31="Media",'Matriz de Riesgos'!$AH$31="Catastrófico"),CONCATENATE("R4C",'Matriz de Riesgos'!$U$31),"")</f>
        <v/>
      </c>
      <c r="AM29" s="43" t="str">
        <f>IF(AND('Matriz de Riesgos'!$AF$32="Media",'Matriz de Riesgos'!$AH$32="Catastrófico"),CONCATENATE("R4C",'Matriz de Riesgos'!$U$32),"")</f>
        <v/>
      </c>
      <c r="AN29" s="69"/>
      <c r="AO29" s="637"/>
      <c r="AP29" s="638"/>
      <c r="AQ29" s="638"/>
      <c r="AR29" s="638"/>
      <c r="AS29" s="638"/>
      <c r="AT29" s="63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x14ac:dyDescent="0.25">
      <c r="A30" s="69"/>
      <c r="B30" s="509"/>
      <c r="C30" s="509"/>
      <c r="D30" s="510"/>
      <c r="E30" s="608"/>
      <c r="F30" s="607"/>
      <c r="G30" s="607"/>
      <c r="H30" s="607"/>
      <c r="I30" s="623"/>
      <c r="J30" s="53" t="str">
        <f>IF(AND('Matriz de Riesgos'!$AF$33="Media",'Matriz de Riesgos'!$AH$33="Leve"),CONCATENATE("R5C",'Matriz de Riesgos'!$U$33),"")</f>
        <v/>
      </c>
      <c r="K30" s="54" t="str">
        <f>IF(AND('Matriz de Riesgos'!$AF$34="Media",'Matriz de Riesgos'!$AH$34="Leve"),CONCATENATE("R5C",'Matriz de Riesgos'!$U$34),"")</f>
        <v/>
      </c>
      <c r="L30" s="54" t="str">
        <f>IF(AND('Matriz de Riesgos'!$AF$35="Media",'Matriz de Riesgos'!$AH$35="Leve"),CONCATENATE("R5C",'Matriz de Riesgos'!$U$35),"")</f>
        <v/>
      </c>
      <c r="M30" s="54" t="str">
        <f>IF(AND('Matriz de Riesgos'!$AF$36="Media",'Matriz de Riesgos'!$AH$36="Leve"),CONCATENATE("R5C",'Matriz de Riesgos'!$U$36),"")</f>
        <v/>
      </c>
      <c r="N30" s="54" t="str">
        <f>IF(AND('Matriz de Riesgos'!$AF$37="Media",'Matriz de Riesgos'!$AH$37="Leve"),CONCATENATE("R5C",'Matriz de Riesgos'!$U$37),"")</f>
        <v/>
      </c>
      <c r="O30" s="55" t="str">
        <f>IF(AND('Matriz de Riesgos'!$AF$38="Media",'Matriz de Riesgos'!$AH$38="Leve"),CONCATENATE("R5C",'Matriz de Riesgos'!$U$38),"")</f>
        <v/>
      </c>
      <c r="P30" s="53" t="str">
        <f>IF(AND('Matriz de Riesgos'!$AF$33="Media",'Matriz de Riesgos'!$AH$33="Menor"),CONCATENATE("R5C",'Matriz de Riesgos'!$U$33),"")</f>
        <v/>
      </c>
      <c r="Q30" s="54" t="str">
        <f>IF(AND('Matriz de Riesgos'!$AF$34="Media",'Matriz de Riesgos'!$AH$34="Menor"),CONCATENATE("R5C",'Matriz de Riesgos'!$U$34),"")</f>
        <v/>
      </c>
      <c r="R30" s="54" t="str">
        <f>IF(AND('Matriz de Riesgos'!$AF$35="Media",'Matriz de Riesgos'!$AH$35="Menor"),CONCATENATE("R5C",'Matriz de Riesgos'!$U$35),"")</f>
        <v/>
      </c>
      <c r="S30" s="54" t="str">
        <f>IF(AND('Matriz de Riesgos'!$AF$36="Media",'Matriz de Riesgos'!$AH$36="Menor"),CONCATENATE("R5C",'Matriz de Riesgos'!$U$36),"")</f>
        <v/>
      </c>
      <c r="T30" s="54" t="str">
        <f>IF(AND('Matriz de Riesgos'!$AF$37="Media",'Matriz de Riesgos'!$AH$37="Menor"),CONCATENATE("R5C",'Matriz de Riesgos'!$U$37),"")</f>
        <v/>
      </c>
      <c r="U30" s="55" t="str">
        <f>IF(AND('Matriz de Riesgos'!$AF$38="Media",'Matriz de Riesgos'!$AH$38="Menor"),CONCATENATE("R5C",'Matriz de Riesgos'!$U$38),"")</f>
        <v/>
      </c>
      <c r="V30" s="53" t="str">
        <f>IF(AND('Matriz de Riesgos'!$AF$33="Media",'Matriz de Riesgos'!$AH$33="Moderado"),CONCATENATE("R5C",'Matriz de Riesgos'!$U$33),"")</f>
        <v/>
      </c>
      <c r="W30" s="54" t="str">
        <f>IF(AND('Matriz de Riesgos'!$AF$34="Media",'Matriz de Riesgos'!$AH$34="Moderado"),CONCATENATE("R5C",'Matriz de Riesgos'!$U$34),"")</f>
        <v/>
      </c>
      <c r="X30" s="54" t="str">
        <f>IF(AND('Matriz de Riesgos'!$AF$35="Media",'Matriz de Riesgos'!$AH$35="Moderado"),CONCATENATE("R5C",'Matriz de Riesgos'!$U$35),"")</f>
        <v/>
      </c>
      <c r="Y30" s="54" t="str">
        <f>IF(AND('Matriz de Riesgos'!$AF$36="Media",'Matriz de Riesgos'!$AH$36="Moderado"),CONCATENATE("R5C",'Matriz de Riesgos'!$U$36),"")</f>
        <v/>
      </c>
      <c r="Z30" s="54" t="str">
        <f>IF(AND('Matriz de Riesgos'!$AF$37="Media",'Matriz de Riesgos'!$AH$37="Moderado"),CONCATENATE("R5C",'Matriz de Riesgos'!$U$37),"")</f>
        <v/>
      </c>
      <c r="AA30" s="55" t="str">
        <f>IF(AND('Matriz de Riesgos'!$AF$38="Media",'Matriz de Riesgos'!$AH$38="Moderado"),CONCATENATE("R5C",'Matriz de Riesgos'!$U$38),"")</f>
        <v/>
      </c>
      <c r="AB30" s="38" t="str">
        <f>IF(AND('Matriz de Riesgos'!$AF$33="Media",'Matriz de Riesgos'!$AH$33="Mayor"),CONCATENATE("R5C",'Matriz de Riesgos'!$U$33),"")</f>
        <v/>
      </c>
      <c r="AC30" s="39" t="str">
        <f>IF(AND('Matriz de Riesgos'!$AF$34="Media",'Matriz de Riesgos'!$AH$34="Mayor"),CONCATENATE("R5C",'Matriz de Riesgos'!$U$34),"")</f>
        <v/>
      </c>
      <c r="AD30" s="39" t="str">
        <f>IF(AND('Matriz de Riesgos'!$AF$35="Media",'Matriz de Riesgos'!$AH$35="Mayor"),CONCATENATE("R5C",'Matriz de Riesgos'!$U$35),"")</f>
        <v/>
      </c>
      <c r="AE30" s="39" t="str">
        <f>IF(AND('Matriz de Riesgos'!$AF$36="Media",'Matriz de Riesgos'!$AH$36="Mayor"),CONCATENATE("R5C",'Matriz de Riesgos'!$U$36),"")</f>
        <v/>
      </c>
      <c r="AF30" s="39" t="str">
        <f>IF(AND('Matriz de Riesgos'!$AF$37="Media",'Matriz de Riesgos'!$AH$37="Mayor"),CONCATENATE("R5C",'Matriz de Riesgos'!$U$37),"")</f>
        <v/>
      </c>
      <c r="AG30" s="40" t="str">
        <f>IF(AND('Matriz de Riesgos'!$AF$38="Media",'Matriz de Riesgos'!$AH$38="Mayor"),CONCATENATE("R5C",'Matriz de Riesgos'!$U$38),"")</f>
        <v/>
      </c>
      <c r="AH30" s="41" t="str">
        <f>IF(AND('Matriz de Riesgos'!$AF$33="Media",'Matriz de Riesgos'!$AH$33="Catastrófico"),CONCATENATE("R5C",'Matriz de Riesgos'!$U$33),"")</f>
        <v/>
      </c>
      <c r="AI30" s="42" t="str">
        <f>IF(AND('Matriz de Riesgos'!$AF$34="Media",'Matriz de Riesgos'!$AH$34="Catastrófico"),CONCATENATE("R5C",'Matriz de Riesgos'!$U$34),"")</f>
        <v/>
      </c>
      <c r="AJ30" s="42" t="str">
        <f>IF(AND('Matriz de Riesgos'!$AF$35="Media",'Matriz de Riesgos'!$AH$35="Catastrófico"),CONCATENATE("R5C",'Matriz de Riesgos'!$U$35),"")</f>
        <v/>
      </c>
      <c r="AK30" s="42" t="str">
        <f>IF(AND('Matriz de Riesgos'!$AF$36="Media",'Matriz de Riesgos'!$AH$36="Catastrófico"),CONCATENATE("R5C",'Matriz de Riesgos'!$U$36),"")</f>
        <v/>
      </c>
      <c r="AL30" s="42" t="str">
        <f>IF(AND('Matriz de Riesgos'!$AF$37="Media",'Matriz de Riesgos'!$AH$37="Catastrófico"),CONCATENATE("R5C",'Matriz de Riesgos'!$U$37),"")</f>
        <v/>
      </c>
      <c r="AM30" s="43" t="str">
        <f>IF(AND('Matriz de Riesgos'!$AF$38="Media",'Matriz de Riesgos'!$AH$38="Catastrófico"),CONCATENATE("R5C",'Matriz de Riesgos'!$U$38),"")</f>
        <v/>
      </c>
      <c r="AN30" s="69"/>
      <c r="AO30" s="637"/>
      <c r="AP30" s="638"/>
      <c r="AQ30" s="638"/>
      <c r="AR30" s="638"/>
      <c r="AS30" s="638"/>
      <c r="AT30" s="63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x14ac:dyDescent="0.25">
      <c r="A31" s="69"/>
      <c r="B31" s="509"/>
      <c r="C31" s="509"/>
      <c r="D31" s="510"/>
      <c r="E31" s="608"/>
      <c r="F31" s="607"/>
      <c r="G31" s="607"/>
      <c r="H31" s="607"/>
      <c r="I31" s="623"/>
      <c r="J31" s="53" t="str">
        <f>IF(AND('Matriz de Riesgos'!$AF$39="Media",'Matriz de Riesgos'!$AH$39="Leve"),CONCATENATE("R6C",'Matriz de Riesgos'!$U$39),"")</f>
        <v/>
      </c>
      <c r="K31" s="54" t="str">
        <f>IF(AND('Matriz de Riesgos'!$AF$40="Media",'Matriz de Riesgos'!$AH$40="Leve"),CONCATENATE("R6C",'Matriz de Riesgos'!$U$40),"")</f>
        <v/>
      </c>
      <c r="L31" s="54" t="str">
        <f>IF(AND('Matriz de Riesgos'!$AF$41="Media",'Matriz de Riesgos'!$AH$41="Leve"),CONCATENATE("R6C",'Matriz de Riesgos'!$U$41),"")</f>
        <v/>
      </c>
      <c r="M31" s="54" t="str">
        <f>IF(AND('Matriz de Riesgos'!$AF$42="Media",'Matriz de Riesgos'!$AH$42="Leve"),CONCATENATE("R6C",'Matriz de Riesgos'!$U$42),"")</f>
        <v/>
      </c>
      <c r="N31" s="54" t="str">
        <f>IF(AND('Matriz de Riesgos'!$AF$43="Media",'Matriz de Riesgos'!$AH$43="Leve"),CONCATENATE("R6C",'Matriz de Riesgos'!$U$43),"")</f>
        <v/>
      </c>
      <c r="O31" s="55" t="str">
        <f>IF(AND('Matriz de Riesgos'!$AF$44="Media",'Matriz de Riesgos'!$AH$44="Leve"),CONCATENATE("R6C",'Matriz de Riesgos'!$U$44),"")</f>
        <v/>
      </c>
      <c r="P31" s="53" t="str">
        <f>IF(AND('Matriz de Riesgos'!$AF$39="Media",'Matriz de Riesgos'!$AH$39="Menor"),CONCATENATE("R6C",'Matriz de Riesgos'!$U$39),"")</f>
        <v/>
      </c>
      <c r="Q31" s="54" t="str">
        <f>IF(AND('Matriz de Riesgos'!$AF$40="Media",'Matriz de Riesgos'!$AH$40="Menor"),CONCATENATE("R6C",'Matriz de Riesgos'!$U$40),"")</f>
        <v/>
      </c>
      <c r="R31" s="54" t="str">
        <f>IF(AND('Matriz de Riesgos'!$AF$41="Media",'Matriz de Riesgos'!$AH$41="Menor"),CONCATENATE("R6C",'Matriz de Riesgos'!$U$41),"")</f>
        <v/>
      </c>
      <c r="S31" s="54" t="str">
        <f>IF(AND('Matriz de Riesgos'!$AF$42="Media",'Matriz de Riesgos'!$AH$42="Menor"),CONCATENATE("R6C",'Matriz de Riesgos'!$U$42),"")</f>
        <v/>
      </c>
      <c r="T31" s="54" t="str">
        <f>IF(AND('Matriz de Riesgos'!$AF$43="Media",'Matriz de Riesgos'!$AH$43="Menor"),CONCATENATE("R6C",'Matriz de Riesgos'!$U$43),"")</f>
        <v/>
      </c>
      <c r="U31" s="55" t="str">
        <f>IF(AND('Matriz de Riesgos'!$AF$44="Media",'Matriz de Riesgos'!$AH$44="Menor"),CONCATENATE("R6C",'Matriz de Riesgos'!$U$44),"")</f>
        <v/>
      </c>
      <c r="V31" s="53" t="str">
        <f>IF(AND('Matriz de Riesgos'!$AF$39="Media",'Matriz de Riesgos'!$AH$39="Moderado"),CONCATENATE("R6C",'Matriz de Riesgos'!$U$39),"")</f>
        <v/>
      </c>
      <c r="W31" s="54" t="str">
        <f>IF(AND('Matriz de Riesgos'!$AF$40="Media",'Matriz de Riesgos'!$AH$40="Moderado"),CONCATENATE("R6C",'Matriz de Riesgos'!$U$40),"")</f>
        <v/>
      </c>
      <c r="X31" s="54" t="str">
        <f>IF(AND('Matriz de Riesgos'!$AF$41="Media",'Matriz de Riesgos'!$AH$41="Moderado"),CONCATENATE("R6C",'Matriz de Riesgos'!$U$41),"")</f>
        <v/>
      </c>
      <c r="Y31" s="54" t="str">
        <f>IF(AND('Matriz de Riesgos'!$AF$42="Media",'Matriz de Riesgos'!$AH$42="Moderado"),CONCATENATE("R6C",'Matriz de Riesgos'!$U$42),"")</f>
        <v/>
      </c>
      <c r="Z31" s="54" t="str">
        <f>IF(AND('Matriz de Riesgos'!$AF$43="Media",'Matriz de Riesgos'!$AH$43="Moderado"),CONCATENATE("R6C",'Matriz de Riesgos'!$U$43),"")</f>
        <v/>
      </c>
      <c r="AA31" s="55" t="str">
        <f>IF(AND('Matriz de Riesgos'!$AF$44="Media",'Matriz de Riesgos'!$AH$44="Moderado"),CONCATENATE("R6C",'Matriz de Riesgos'!$U$44),"")</f>
        <v/>
      </c>
      <c r="AB31" s="38" t="str">
        <f>IF(AND('Matriz de Riesgos'!$AF$39="Media",'Matriz de Riesgos'!$AH$39="Mayor"),CONCATENATE("R6C",'Matriz de Riesgos'!$U$39),"")</f>
        <v/>
      </c>
      <c r="AC31" s="39" t="str">
        <f>IF(AND('Matriz de Riesgos'!$AF$40="Media",'Matriz de Riesgos'!$AH$40="Mayor"),CONCATENATE("R6C",'Matriz de Riesgos'!$U$40),"")</f>
        <v/>
      </c>
      <c r="AD31" s="39" t="str">
        <f>IF(AND('Matriz de Riesgos'!$AF$41="Media",'Matriz de Riesgos'!$AH$41="Mayor"),CONCATENATE("R6C",'Matriz de Riesgos'!$U$41),"")</f>
        <v/>
      </c>
      <c r="AE31" s="39" t="str">
        <f>IF(AND('Matriz de Riesgos'!$AF$42="Media",'Matriz de Riesgos'!$AH$42="Mayor"),CONCATENATE("R6C",'Matriz de Riesgos'!$U$42),"")</f>
        <v/>
      </c>
      <c r="AF31" s="39" t="str">
        <f>IF(AND('Matriz de Riesgos'!$AF$43="Media",'Matriz de Riesgos'!$AH$43="Mayor"),CONCATENATE("R6C",'Matriz de Riesgos'!$U$43),"")</f>
        <v/>
      </c>
      <c r="AG31" s="40" t="str">
        <f>IF(AND('Matriz de Riesgos'!$AF$44="Media",'Matriz de Riesgos'!$AH$44="Mayor"),CONCATENATE("R6C",'Matriz de Riesgos'!$U$44),"")</f>
        <v/>
      </c>
      <c r="AH31" s="41" t="str">
        <f>IF(AND('Matriz de Riesgos'!$AF$39="Media",'Matriz de Riesgos'!$AH$39="Catastrófico"),CONCATENATE("R6C",'Matriz de Riesgos'!$U$39),"")</f>
        <v/>
      </c>
      <c r="AI31" s="42" t="str">
        <f>IF(AND('Matriz de Riesgos'!$AF$40="Media",'Matriz de Riesgos'!$AH$40="Catastrófico"),CONCATENATE("R6C",'Matriz de Riesgos'!$U$40),"")</f>
        <v/>
      </c>
      <c r="AJ31" s="42" t="str">
        <f>IF(AND('Matriz de Riesgos'!$AF$41="Media",'Matriz de Riesgos'!$AH$41="Catastrófico"),CONCATENATE("R6C",'Matriz de Riesgos'!$U$41),"")</f>
        <v/>
      </c>
      <c r="AK31" s="42" t="str">
        <f>IF(AND('Matriz de Riesgos'!$AF$42="Media",'Matriz de Riesgos'!$AH$42="Catastrófico"),CONCATENATE("R6C",'Matriz de Riesgos'!$U$42),"")</f>
        <v/>
      </c>
      <c r="AL31" s="42" t="str">
        <f>IF(AND('Matriz de Riesgos'!$AF$43="Media",'Matriz de Riesgos'!$AH$43="Catastrófico"),CONCATENATE("R6C",'Matriz de Riesgos'!$U$43),"")</f>
        <v/>
      </c>
      <c r="AM31" s="43" t="str">
        <f>IF(AND('Matriz de Riesgos'!$AF$44="Media",'Matriz de Riesgos'!$AH$44="Catastrófico"),CONCATENATE("R6C",'Matriz de Riesgos'!$U$44),"")</f>
        <v/>
      </c>
      <c r="AN31" s="69"/>
      <c r="AO31" s="637"/>
      <c r="AP31" s="638"/>
      <c r="AQ31" s="638"/>
      <c r="AR31" s="638"/>
      <c r="AS31" s="638"/>
      <c r="AT31" s="63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x14ac:dyDescent="0.25">
      <c r="A32" s="69"/>
      <c r="B32" s="509"/>
      <c r="C32" s="509"/>
      <c r="D32" s="510"/>
      <c r="E32" s="608"/>
      <c r="F32" s="607"/>
      <c r="G32" s="607"/>
      <c r="H32" s="607"/>
      <c r="I32" s="623"/>
      <c r="J32" s="53" t="str">
        <f>IF(AND('Matriz de Riesgos'!$AF$45="Media",'Matriz de Riesgos'!$AH$45="Leve"),CONCATENATE("R7C",'Matriz de Riesgos'!$U$45),"")</f>
        <v/>
      </c>
      <c r="K32" s="54" t="str">
        <f>IF(AND('Matriz de Riesgos'!$AF$46="Media",'Matriz de Riesgos'!$AH$46="Leve"),CONCATENATE("R7C",'Matriz de Riesgos'!$U$46),"")</f>
        <v/>
      </c>
      <c r="L32" s="54" t="str">
        <f>IF(AND('Matriz de Riesgos'!$AF$47="Media",'Matriz de Riesgos'!$AH$47="Leve"),CONCATENATE("R7C",'Matriz de Riesgos'!$U$47),"")</f>
        <v/>
      </c>
      <c r="M32" s="54" t="str">
        <f>IF(AND('Matriz de Riesgos'!$AF$48="Media",'Matriz de Riesgos'!$AH$48="Leve"),CONCATENATE("R7C",'Matriz de Riesgos'!$U$48),"")</f>
        <v/>
      </c>
      <c r="N32" s="54" t="str">
        <f>IF(AND('Matriz de Riesgos'!$AF$49="Media",'Matriz de Riesgos'!$AH$49="Leve"),CONCATENATE("R7C",'Matriz de Riesgos'!$U$49),"")</f>
        <v/>
      </c>
      <c r="O32" s="55" t="str">
        <f>IF(AND('Matriz de Riesgos'!$AF$50="Media",'Matriz de Riesgos'!$AH$50="Leve"),CONCATENATE("R7C",'Matriz de Riesgos'!$U$50),"")</f>
        <v/>
      </c>
      <c r="P32" s="53" t="str">
        <f>IF(AND('Matriz de Riesgos'!$AF$45="Media",'Matriz de Riesgos'!$AH$45="Menor"),CONCATENATE("R7C",'Matriz de Riesgos'!$U$45),"")</f>
        <v/>
      </c>
      <c r="Q32" s="54" t="str">
        <f>IF(AND('Matriz de Riesgos'!$AF$46="Media",'Matriz de Riesgos'!$AH$46="Menor"),CONCATENATE("R7C",'Matriz de Riesgos'!$U$46),"")</f>
        <v/>
      </c>
      <c r="R32" s="54" t="str">
        <f>IF(AND('Matriz de Riesgos'!$AF$47="Media",'Matriz de Riesgos'!$AH$47="Menor"),CONCATENATE("R7C",'Matriz de Riesgos'!$U$47),"")</f>
        <v/>
      </c>
      <c r="S32" s="54" t="str">
        <f>IF(AND('Matriz de Riesgos'!$AF$48="Media",'Matriz de Riesgos'!$AH$48="Menor"),CONCATENATE("R7C",'Matriz de Riesgos'!$U$48),"")</f>
        <v/>
      </c>
      <c r="T32" s="54" t="str">
        <f>IF(AND('Matriz de Riesgos'!$AF$49="Media",'Matriz de Riesgos'!$AH$49="Menor"),CONCATENATE("R7C",'Matriz de Riesgos'!$U$49),"")</f>
        <v/>
      </c>
      <c r="U32" s="55" t="str">
        <f>IF(AND('Matriz de Riesgos'!$AF$50="Media",'Matriz de Riesgos'!$AH$50="Menor"),CONCATENATE("R7C",'Matriz de Riesgos'!$U$50),"")</f>
        <v/>
      </c>
      <c r="V32" s="53" t="str">
        <f>IF(AND('Matriz de Riesgos'!$AF$45="Media",'Matriz de Riesgos'!$AH$45="Moderado"),CONCATENATE("R7C",'Matriz de Riesgos'!$U$45),"")</f>
        <v/>
      </c>
      <c r="W32" s="54" t="str">
        <f>IF(AND('Matriz de Riesgos'!$AF$46="Media",'Matriz de Riesgos'!$AH$46="Moderado"),CONCATENATE("R7C",'Matriz de Riesgos'!$U$46),"")</f>
        <v/>
      </c>
      <c r="X32" s="54" t="str">
        <f>IF(AND('Matriz de Riesgos'!$AF$47="Media",'Matriz de Riesgos'!$AH$47="Moderado"),CONCATENATE("R7C",'Matriz de Riesgos'!$U$47),"")</f>
        <v/>
      </c>
      <c r="Y32" s="54" t="str">
        <f>IF(AND('Matriz de Riesgos'!$AF$48="Media",'Matriz de Riesgos'!$AH$48="Moderado"),CONCATENATE("R7C",'Matriz de Riesgos'!$U$48),"")</f>
        <v/>
      </c>
      <c r="Z32" s="54" t="str">
        <f>IF(AND('Matriz de Riesgos'!$AF$49="Media",'Matriz de Riesgos'!$AH$49="Moderado"),CONCATENATE("R7C",'Matriz de Riesgos'!$U$49),"")</f>
        <v/>
      </c>
      <c r="AA32" s="55" t="str">
        <f>IF(AND('Matriz de Riesgos'!$AF$50="Media",'Matriz de Riesgos'!$AH$50="Moderado"),CONCATENATE("R7C",'Matriz de Riesgos'!$U$50),"")</f>
        <v/>
      </c>
      <c r="AB32" s="38" t="str">
        <f>IF(AND('Matriz de Riesgos'!$AF$45="Media",'Matriz de Riesgos'!$AH$45="Mayor"),CONCATENATE("R7C",'Matriz de Riesgos'!$U$45),"")</f>
        <v/>
      </c>
      <c r="AC32" s="39" t="str">
        <f>IF(AND('Matriz de Riesgos'!$AF$46="Media",'Matriz de Riesgos'!$AH$46="Mayor"),CONCATENATE("R7C",'Matriz de Riesgos'!$U$46),"")</f>
        <v/>
      </c>
      <c r="AD32" s="39" t="str">
        <f>IF(AND('Matriz de Riesgos'!$AF$47="Media",'Matriz de Riesgos'!$AH$47="Mayor"),CONCATENATE("R7C",'Matriz de Riesgos'!$U$47),"")</f>
        <v/>
      </c>
      <c r="AE32" s="39" t="str">
        <f>IF(AND('Matriz de Riesgos'!$AF$48="Media",'Matriz de Riesgos'!$AH$48="Mayor"),CONCATENATE("R7C",'Matriz de Riesgos'!$U$48),"")</f>
        <v/>
      </c>
      <c r="AF32" s="39" t="str">
        <f>IF(AND('Matriz de Riesgos'!$AF$49="Media",'Matriz de Riesgos'!$AH$49="Mayor"),CONCATENATE("R7C",'Matriz de Riesgos'!$U$49),"")</f>
        <v/>
      </c>
      <c r="AG32" s="40" t="str">
        <f>IF(AND('Matriz de Riesgos'!$AF$50="Media",'Matriz de Riesgos'!$AH$50="Mayor"),CONCATENATE("R7C",'Matriz de Riesgos'!$U$50),"")</f>
        <v/>
      </c>
      <c r="AH32" s="41" t="str">
        <f>IF(AND('Matriz de Riesgos'!$AF$45="Media",'Matriz de Riesgos'!$AH$45="Catastrófico"),CONCATENATE("R7C",'Matriz de Riesgos'!$U$45),"")</f>
        <v/>
      </c>
      <c r="AI32" s="42" t="str">
        <f>IF(AND('Matriz de Riesgos'!$AF$46="Media",'Matriz de Riesgos'!$AH$46="Catastrófico"),CONCATENATE("R7C",'Matriz de Riesgos'!$U$46),"")</f>
        <v/>
      </c>
      <c r="AJ32" s="42" t="str">
        <f>IF(AND('Matriz de Riesgos'!$AF$47="Media",'Matriz de Riesgos'!$AH$47="Catastrófico"),CONCATENATE("R7C",'Matriz de Riesgos'!$U$47),"")</f>
        <v/>
      </c>
      <c r="AK32" s="42" t="str">
        <f>IF(AND('Matriz de Riesgos'!$AF$48="Media",'Matriz de Riesgos'!$AH$48="Catastrófico"),CONCATENATE("R7C",'Matriz de Riesgos'!$U$48),"")</f>
        <v/>
      </c>
      <c r="AL32" s="42" t="str">
        <f>IF(AND('Matriz de Riesgos'!$AF$49="Media",'Matriz de Riesgos'!$AH$49="Catastrófico"),CONCATENATE("R7C",'Matriz de Riesgos'!$U$49),"")</f>
        <v/>
      </c>
      <c r="AM32" s="43" t="str">
        <f>IF(AND('Matriz de Riesgos'!$AF$50="Media",'Matriz de Riesgos'!$AH$50="Catastrófico"),CONCATENATE("R7C",'Matriz de Riesgos'!$U$50),"")</f>
        <v/>
      </c>
      <c r="AN32" s="69"/>
      <c r="AO32" s="637"/>
      <c r="AP32" s="638"/>
      <c r="AQ32" s="638"/>
      <c r="AR32" s="638"/>
      <c r="AS32" s="638"/>
      <c r="AT32" s="63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x14ac:dyDescent="0.25">
      <c r="A33" s="69"/>
      <c r="B33" s="509"/>
      <c r="C33" s="509"/>
      <c r="D33" s="510"/>
      <c r="E33" s="608"/>
      <c r="F33" s="607"/>
      <c r="G33" s="607"/>
      <c r="H33" s="607"/>
      <c r="I33" s="623"/>
      <c r="J33" s="53" t="str">
        <f>IF(AND('Matriz de Riesgos'!$AF$51="Media",'Matriz de Riesgos'!$AH$51="Leve"),CONCATENATE("R8C",'Matriz de Riesgos'!$U$51),"")</f>
        <v/>
      </c>
      <c r="K33" s="54" t="str">
        <f>IF(AND('Matriz de Riesgos'!$AF$52="Media",'Matriz de Riesgos'!$AH$52="Leve"),CONCATENATE("R8C",'Matriz de Riesgos'!$U$52),"")</f>
        <v/>
      </c>
      <c r="L33" s="54" t="str">
        <f>IF(AND('Matriz de Riesgos'!$AF$53="Media",'Matriz de Riesgos'!$AH$53="Leve"),CONCATENATE("R8C",'Matriz de Riesgos'!$U$53),"")</f>
        <v/>
      </c>
      <c r="M33" s="54" t="str">
        <f>IF(AND('Matriz de Riesgos'!$AF$54="Media",'Matriz de Riesgos'!$AH$54="Leve"),CONCATENATE("R8C",'Matriz de Riesgos'!$U$54),"")</f>
        <v/>
      </c>
      <c r="N33" s="54" t="str">
        <f>IF(AND('Matriz de Riesgos'!$AF$55="Media",'Matriz de Riesgos'!$AH$55="Leve"),CONCATENATE("R8C",'Matriz de Riesgos'!$U$55),"")</f>
        <v/>
      </c>
      <c r="O33" s="55" t="str">
        <f>IF(AND('Matriz de Riesgos'!$AF$56="Media",'Matriz de Riesgos'!$AH$56="Leve"),CONCATENATE("R8C",'Matriz de Riesgos'!$U$56),"")</f>
        <v/>
      </c>
      <c r="P33" s="53" t="str">
        <f>IF(AND('Matriz de Riesgos'!$AF$51="Media",'Matriz de Riesgos'!$AH$51="Menor"),CONCATENATE("R8C",'Matriz de Riesgos'!$U$51),"")</f>
        <v/>
      </c>
      <c r="Q33" s="54" t="str">
        <f>IF(AND('Matriz de Riesgos'!$AF$52="Media",'Matriz de Riesgos'!$AH$52="Menor"),CONCATENATE("R8C",'Matriz de Riesgos'!$U$52),"")</f>
        <v/>
      </c>
      <c r="R33" s="54" t="str">
        <f>IF(AND('Matriz de Riesgos'!$AF$53="Media",'Matriz de Riesgos'!$AH$53="Menor"),CONCATENATE("R8C",'Matriz de Riesgos'!$U$53),"")</f>
        <v/>
      </c>
      <c r="S33" s="54" t="str">
        <f>IF(AND('Matriz de Riesgos'!$AF$54="Media",'Matriz de Riesgos'!$AH$54="Menor"),CONCATENATE("R8C",'Matriz de Riesgos'!$U$54),"")</f>
        <v/>
      </c>
      <c r="T33" s="54" t="str">
        <f>IF(AND('Matriz de Riesgos'!$AF$55="Media",'Matriz de Riesgos'!$AH$55="Menor"),CONCATENATE("R8C",'Matriz de Riesgos'!$U$55),"")</f>
        <v/>
      </c>
      <c r="U33" s="55" t="str">
        <f>IF(AND('Matriz de Riesgos'!$AF$56="Media",'Matriz de Riesgos'!$AH$56="Menor"),CONCATENATE("R8C",'Matriz de Riesgos'!$U$56),"")</f>
        <v/>
      </c>
      <c r="V33" s="53" t="str">
        <f>IF(AND('Matriz de Riesgos'!$AF$51="Media",'Matriz de Riesgos'!$AH$51="Moderado"),CONCATENATE("R8C",'Matriz de Riesgos'!$U$51),"")</f>
        <v/>
      </c>
      <c r="W33" s="54" t="str">
        <f>IF(AND('Matriz de Riesgos'!$AF$52="Media",'Matriz de Riesgos'!$AH$52="Moderado"),CONCATENATE("R8C",'Matriz de Riesgos'!$U$52),"")</f>
        <v/>
      </c>
      <c r="X33" s="54" t="str">
        <f>IF(AND('Matriz de Riesgos'!$AF$53="Media",'Matriz de Riesgos'!$AH$53="Moderado"),CONCATENATE("R8C",'Matriz de Riesgos'!$U$53),"")</f>
        <v/>
      </c>
      <c r="Y33" s="54" t="str">
        <f>IF(AND('Matriz de Riesgos'!$AF$54="Media",'Matriz de Riesgos'!$AH$54="Moderado"),CONCATENATE("R8C",'Matriz de Riesgos'!$U$54),"")</f>
        <v/>
      </c>
      <c r="Z33" s="54" t="str">
        <f>IF(AND('Matriz de Riesgos'!$AF$55="Media",'Matriz de Riesgos'!$AH$55="Moderado"),CONCATENATE("R8C",'Matriz de Riesgos'!$U$55),"")</f>
        <v/>
      </c>
      <c r="AA33" s="55" t="str">
        <f>IF(AND('Matriz de Riesgos'!$AF$56="Media",'Matriz de Riesgos'!$AH$56="Moderado"),CONCATENATE("R8C",'Matriz de Riesgos'!$U$56),"")</f>
        <v/>
      </c>
      <c r="AB33" s="38" t="str">
        <f>IF(AND('Matriz de Riesgos'!$AF$51="Media",'Matriz de Riesgos'!$AH$51="Mayor"),CONCATENATE("R8C",'Matriz de Riesgos'!$U$51),"")</f>
        <v/>
      </c>
      <c r="AC33" s="39" t="str">
        <f>IF(AND('Matriz de Riesgos'!$AF$52="Media",'Matriz de Riesgos'!$AH$52="Mayor"),CONCATENATE("R8C",'Matriz de Riesgos'!$U$52),"")</f>
        <v/>
      </c>
      <c r="AD33" s="39" t="str">
        <f>IF(AND('Matriz de Riesgos'!$AF$53="Media",'Matriz de Riesgos'!$AH$53="Mayor"),CONCATENATE("R8C",'Matriz de Riesgos'!$U$53),"")</f>
        <v/>
      </c>
      <c r="AE33" s="39" t="str">
        <f>IF(AND('Matriz de Riesgos'!$AF$54="Media",'Matriz de Riesgos'!$AH$54="Mayor"),CONCATENATE("R8C",'Matriz de Riesgos'!$U$54),"")</f>
        <v/>
      </c>
      <c r="AF33" s="39" t="str">
        <f>IF(AND('Matriz de Riesgos'!$AF$55="Media",'Matriz de Riesgos'!$AH$55="Mayor"),CONCATENATE("R8C",'Matriz de Riesgos'!$U$55),"")</f>
        <v/>
      </c>
      <c r="AG33" s="40" t="str">
        <f>IF(AND('Matriz de Riesgos'!$AF$56="Media",'Matriz de Riesgos'!$AH$56="Mayor"),CONCATENATE("R8C",'Matriz de Riesgos'!$U$56),"")</f>
        <v/>
      </c>
      <c r="AH33" s="41" t="str">
        <f>IF(AND('Matriz de Riesgos'!$AF$51="Media",'Matriz de Riesgos'!$AH$51="Catastrófico"),CONCATENATE("R8C",'Matriz de Riesgos'!$U$51),"")</f>
        <v/>
      </c>
      <c r="AI33" s="42" t="str">
        <f>IF(AND('Matriz de Riesgos'!$AF$52="Media",'Matriz de Riesgos'!$AH$52="Catastrófico"),CONCATENATE("R8C",'Matriz de Riesgos'!$U$52),"")</f>
        <v/>
      </c>
      <c r="AJ33" s="42" t="str">
        <f>IF(AND('Matriz de Riesgos'!$AF$53="Media",'Matriz de Riesgos'!$AH$53="Catastrófico"),CONCATENATE("R8C",'Matriz de Riesgos'!$U$53),"")</f>
        <v/>
      </c>
      <c r="AK33" s="42" t="str">
        <f>IF(AND('Matriz de Riesgos'!$AF$54="Media",'Matriz de Riesgos'!$AH$54="Catastrófico"),CONCATENATE("R8C",'Matriz de Riesgos'!$U$54),"")</f>
        <v/>
      </c>
      <c r="AL33" s="42" t="str">
        <f>IF(AND('Matriz de Riesgos'!$AF$55="Media",'Matriz de Riesgos'!$AH$55="Catastrófico"),CONCATENATE("R8C",'Matriz de Riesgos'!$U$55),"")</f>
        <v/>
      </c>
      <c r="AM33" s="43" t="str">
        <f>IF(AND('Matriz de Riesgos'!$AF$56="Media",'Matriz de Riesgos'!$AH$56="Catastrófico"),CONCATENATE("R8C",'Matriz de Riesgos'!$U$56),"")</f>
        <v/>
      </c>
      <c r="AN33" s="69"/>
      <c r="AO33" s="637"/>
      <c r="AP33" s="638"/>
      <c r="AQ33" s="638"/>
      <c r="AR33" s="638"/>
      <c r="AS33" s="638"/>
      <c r="AT33" s="63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x14ac:dyDescent="0.25">
      <c r="A34" s="69"/>
      <c r="B34" s="509"/>
      <c r="C34" s="509"/>
      <c r="D34" s="510"/>
      <c r="E34" s="608"/>
      <c r="F34" s="607"/>
      <c r="G34" s="607"/>
      <c r="H34" s="607"/>
      <c r="I34" s="623"/>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37"/>
      <c r="AP34" s="638"/>
      <c r="AQ34" s="638"/>
      <c r="AR34" s="638"/>
      <c r="AS34" s="638"/>
      <c r="AT34" s="63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x14ac:dyDescent="0.3">
      <c r="A35" s="69"/>
      <c r="B35" s="509"/>
      <c r="C35" s="509"/>
      <c r="D35" s="510"/>
      <c r="E35" s="609"/>
      <c r="F35" s="610"/>
      <c r="G35" s="610"/>
      <c r="H35" s="610"/>
      <c r="I35" s="624"/>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40"/>
      <c r="AP35" s="641"/>
      <c r="AQ35" s="641"/>
      <c r="AR35" s="641"/>
      <c r="AS35" s="641"/>
      <c r="AT35" s="642"/>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x14ac:dyDescent="0.25">
      <c r="A36" s="69"/>
      <c r="B36" s="509"/>
      <c r="C36" s="509"/>
      <c r="D36" s="510"/>
      <c r="E36" s="604" t="s">
        <v>949</v>
      </c>
      <c r="F36" s="605"/>
      <c r="G36" s="605"/>
      <c r="H36" s="605"/>
      <c r="I36" s="605"/>
      <c r="J36" s="59" t="str">
        <f>IF(AND('Matriz de Riesgos'!$AF$12="Baja",'Matriz de Riesgos'!$AH$12="Leve"),CONCATENATE("R1C",'Matriz de Riesgos'!$U$12),"")</f>
        <v/>
      </c>
      <c r="K36" s="60" t="str">
        <f>IF(AND('Matriz de Riesgos'!$AF$13="Baja",'Matriz de Riesgos'!$AH$13="Leve"),CONCATENATE("R1C",'Matriz de Riesgos'!$U$13),"")</f>
        <v>R1C2</v>
      </c>
      <c r="L36" s="60" t="e">
        <f>IF(AND('Matriz de Riesgos'!#REF!="Baja",'Matriz de Riesgos'!#REF!="Leve"),CONCATENATE("R1C",'Matriz de Riesgos'!#REF!),"")</f>
        <v>#REF!</v>
      </c>
      <c r="M36" s="60" t="e">
        <f>IF(AND('Matriz de Riesgos'!#REF!="Baja",'Matriz de Riesgos'!#REF!="Leve"),CONCATENATE("R1C",'Matriz de Riesgos'!#REF!),"")</f>
        <v>#REF!</v>
      </c>
      <c r="N36" s="60" t="e">
        <f>IF(AND('Matriz de Riesgos'!#REF!="Baja",'Matriz de Riesgos'!#REF!="Leve"),CONCATENATE("R1C",'Matriz de Riesgos'!#REF!),"")</f>
        <v>#REF!</v>
      </c>
      <c r="O36" s="61" t="str">
        <f>IF(AND('Matriz de Riesgos'!$AF$14="Baja",'Matriz de Riesgos'!$AH$14="Leve"),CONCATENATE("R1C",'Matriz de Riesgos'!$U$14),"")</f>
        <v>R1C3</v>
      </c>
      <c r="P36" s="50" t="str">
        <f>IF(AND('Matriz de Riesgos'!$AF$12="Baja",'Matriz de Riesgos'!$AH$12="Menor"),CONCATENATE("R1C",'Matriz de Riesgos'!$U$12),"")</f>
        <v/>
      </c>
      <c r="Q36" s="51" t="str">
        <f>IF(AND('Matriz de Riesgos'!$AF$13="Baja",'Matriz de Riesgos'!$AH$13="Menor"),CONCATENATE("R1C",'Matriz de Riesgos'!$U$13),"")</f>
        <v/>
      </c>
      <c r="R36" s="51" t="e">
        <f>IF(AND('Matriz de Riesgos'!#REF!="Baja",'Matriz de Riesgos'!#REF!="Menor"),CONCATENATE("R1C",'Matriz de Riesgos'!#REF!),"")</f>
        <v>#REF!</v>
      </c>
      <c r="S36" s="51" t="e">
        <f>IF(AND('Matriz de Riesgos'!#REF!="Baja",'Matriz de Riesgos'!#REF!="Menor"),CONCATENATE("R1C",'Matriz de Riesgos'!#REF!),"")</f>
        <v>#REF!</v>
      </c>
      <c r="T36" s="51" t="e">
        <f>IF(AND('Matriz de Riesgos'!#REF!="Baja",'Matriz de Riesgos'!#REF!="Menor"),CONCATENATE("R1C",'Matriz de Riesgos'!#REF!),"")</f>
        <v>#REF!</v>
      </c>
      <c r="U36" s="52" t="str">
        <f>IF(AND('Matriz de Riesgos'!$AF$14="Baja",'Matriz de Riesgos'!$AH$14="Menor"),CONCATENATE("R1C",'Matriz de Riesgos'!$U$14),"")</f>
        <v/>
      </c>
      <c r="V36" s="50" t="str">
        <f>IF(AND('Matriz de Riesgos'!$AF$12="Baja",'Matriz de Riesgos'!$AH$12="Moderado"),CONCATENATE("R1C",'Matriz de Riesgos'!$U$12),"")</f>
        <v/>
      </c>
      <c r="W36" s="51" t="str">
        <f>IF(AND('Matriz de Riesgos'!$AF$13="Baja",'Matriz de Riesgos'!$AH$13="Moderado"),CONCATENATE("R1C",'Matriz de Riesgos'!$U$13),"")</f>
        <v/>
      </c>
      <c r="X36" s="51" t="e">
        <f>IF(AND('Matriz de Riesgos'!#REF!="Baja",'Matriz de Riesgos'!#REF!="Moderado"),CONCATENATE("R1C",'Matriz de Riesgos'!#REF!),"")</f>
        <v>#REF!</v>
      </c>
      <c r="Y36" s="51" t="e">
        <f>IF(AND('Matriz de Riesgos'!#REF!="Baja",'Matriz de Riesgos'!#REF!="Moderado"),CONCATENATE("R1C",'Matriz de Riesgos'!#REF!),"")</f>
        <v>#REF!</v>
      </c>
      <c r="Z36" s="51" t="e">
        <f>IF(AND('Matriz de Riesgos'!#REF!="Baja",'Matriz de Riesgos'!#REF!="Moderado"),CONCATENATE("R1C",'Matriz de Riesgos'!#REF!),"")</f>
        <v>#REF!</v>
      </c>
      <c r="AA36" s="52" t="str">
        <f>IF(AND('Matriz de Riesgos'!$AF$14="Baja",'Matriz de Riesgos'!$AH$14="Moderado"),CONCATENATE("R1C",'Matriz de Riesgos'!$U$14),"")</f>
        <v/>
      </c>
      <c r="AB36" s="32" t="str">
        <f>IF(AND('Matriz de Riesgos'!$AF$12="Baja",'Matriz de Riesgos'!$AH$12="Mayor"),CONCATENATE("R1C",'Matriz de Riesgos'!$U$12),"")</f>
        <v/>
      </c>
      <c r="AC36" s="33" t="str">
        <f>IF(AND('Matriz de Riesgos'!$AF$13="Baja",'Matriz de Riesgos'!$AH$13="Mayor"),CONCATENATE("R1C",'Matriz de Riesgos'!$U$13),"")</f>
        <v/>
      </c>
      <c r="AD36" s="33" t="e">
        <f>IF(AND('Matriz de Riesgos'!#REF!="Baja",'Matriz de Riesgos'!#REF!="Mayor"),CONCATENATE("R1C",'Matriz de Riesgos'!#REF!),"")</f>
        <v>#REF!</v>
      </c>
      <c r="AE36" s="33" t="e">
        <f>IF(AND('Matriz de Riesgos'!#REF!="Baja",'Matriz de Riesgos'!#REF!="Mayor"),CONCATENATE("R1C",'Matriz de Riesgos'!#REF!),"")</f>
        <v>#REF!</v>
      </c>
      <c r="AF36" s="33" t="e">
        <f>IF(AND('Matriz de Riesgos'!#REF!="Baja",'Matriz de Riesgos'!#REF!="Mayor"),CONCATENATE("R1C",'Matriz de Riesgos'!#REF!),"")</f>
        <v>#REF!</v>
      </c>
      <c r="AG36" s="34" t="str">
        <f>IF(AND('Matriz de Riesgos'!$AF$14="Baja",'Matriz de Riesgos'!$AH$14="Mayor"),CONCATENATE("R1C",'Matriz de Riesgos'!$U$14),"")</f>
        <v/>
      </c>
      <c r="AH36" s="35" t="str">
        <f>IF(AND('Matriz de Riesgos'!$AF$12="Baja",'Matriz de Riesgos'!$AH$12="Catastrófico"),CONCATENATE("R1C",'Matriz de Riesgos'!$U$12),"")</f>
        <v/>
      </c>
      <c r="AI36" s="36" t="str">
        <f>IF(AND('Matriz de Riesgos'!$AF$13="Baja",'Matriz de Riesgos'!$AH$13="Catastrófico"),CONCATENATE("R1C",'Matriz de Riesgos'!$U$13),"")</f>
        <v/>
      </c>
      <c r="AJ36" s="36" t="e">
        <f>IF(AND('Matriz de Riesgos'!#REF!="Baja",'Matriz de Riesgos'!#REF!="Catastrófico"),CONCATENATE("R1C",'Matriz de Riesgos'!#REF!),"")</f>
        <v>#REF!</v>
      </c>
      <c r="AK36" s="36" t="e">
        <f>IF(AND('Matriz de Riesgos'!#REF!="Baja",'Matriz de Riesgos'!#REF!="Catastrófico"),CONCATENATE("R1C",'Matriz de Riesgos'!#REF!),"")</f>
        <v>#REF!</v>
      </c>
      <c r="AL36" s="36" t="e">
        <f>IF(AND('Matriz de Riesgos'!#REF!="Baja",'Matriz de Riesgos'!#REF!="Catastrófico"),CONCATENATE("R1C",'Matriz de Riesgos'!#REF!),"")</f>
        <v>#REF!</v>
      </c>
      <c r="AM36" s="37" t="str">
        <f>IF(AND('Matriz de Riesgos'!$AF$14="Baja",'Matriz de Riesgos'!$AH$14="Catastrófico"),CONCATENATE("R1C",'Matriz de Riesgos'!$U$14),"")</f>
        <v/>
      </c>
      <c r="AN36" s="69"/>
      <c r="AO36" s="625" t="s">
        <v>950</v>
      </c>
      <c r="AP36" s="626"/>
      <c r="AQ36" s="626"/>
      <c r="AR36" s="626"/>
      <c r="AS36" s="626"/>
      <c r="AT36" s="627"/>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x14ac:dyDescent="0.25">
      <c r="A37" s="69"/>
      <c r="B37" s="509"/>
      <c r="C37" s="509"/>
      <c r="D37" s="510"/>
      <c r="E37" s="606"/>
      <c r="F37" s="607"/>
      <c r="G37" s="607"/>
      <c r="H37" s="607"/>
      <c r="I37" s="607"/>
      <c r="J37" s="62" t="str">
        <f>IF(AND('Matriz de Riesgos'!$AF$15="Baja",'Matriz de Riesgos'!$AH$15="Leve"),CONCATENATE("R2C",'Matriz de Riesgos'!$U$15),"")</f>
        <v/>
      </c>
      <c r="K37" s="63" t="str">
        <f>IF(AND('Matriz de Riesgos'!$AF$16="Baja",'Matriz de Riesgos'!$AH$16="Leve"),CONCATENATE("R2C",'Matriz de Riesgos'!$U$16),"")</f>
        <v/>
      </c>
      <c r="L37" s="63" t="str">
        <f>IF(AND('Matriz de Riesgos'!$AF$17="Baja",'Matriz de Riesgos'!$AH$17="Leve"),CONCATENATE("R2C",'Matriz de Riesgos'!$U$17),"")</f>
        <v/>
      </c>
      <c r="M37" s="63" t="str">
        <f>IF(AND('Matriz de Riesgos'!$AF$18="Baja",'Matriz de Riesgos'!$AH$18="Leve"),CONCATENATE("R2C",'Matriz de Riesgos'!$U$18),"")</f>
        <v/>
      </c>
      <c r="N37" s="63" t="str">
        <f>IF(AND('Matriz de Riesgos'!$AF$19="Baja",'Matriz de Riesgos'!$AH$19="Leve"),CONCATENATE("R2C",'Matriz de Riesgos'!$U$19),"")</f>
        <v/>
      </c>
      <c r="O37" s="64" t="str">
        <f>IF(AND('Matriz de Riesgos'!$AF$20="Baja",'Matriz de Riesgos'!$AH$20="Leve"),CONCATENATE("R2C",'Matriz de Riesgos'!$U$20),"")</f>
        <v/>
      </c>
      <c r="P37" s="53" t="str">
        <f>IF(AND('Matriz de Riesgos'!$AF$15="Baja",'Matriz de Riesgos'!$AH$15="Menor"),CONCATENATE("R2C",'Matriz de Riesgos'!$U$15),"")</f>
        <v/>
      </c>
      <c r="Q37" s="54" t="str">
        <f>IF(AND('Matriz de Riesgos'!$AF$16="Baja",'Matriz de Riesgos'!$AH$16="Menor"),CONCATENATE("R2C",'Matriz de Riesgos'!$U$16),"")</f>
        <v/>
      </c>
      <c r="R37" s="54" t="str">
        <f>IF(AND('Matriz de Riesgos'!$AF$17="Baja",'Matriz de Riesgos'!$AH$17="Menor"),CONCATENATE("R2C",'Matriz de Riesgos'!$U$17),"")</f>
        <v/>
      </c>
      <c r="S37" s="54" t="str">
        <f>IF(AND('Matriz de Riesgos'!$AF$18="Baja",'Matriz de Riesgos'!$AH$18="Menor"),CONCATENATE("R2C",'Matriz de Riesgos'!$U$18),"")</f>
        <v/>
      </c>
      <c r="T37" s="54" t="str">
        <f>IF(AND('Matriz de Riesgos'!$AF$19="Baja",'Matriz de Riesgos'!$AH$19="Menor"),CONCATENATE("R2C",'Matriz de Riesgos'!$U$19),"")</f>
        <v/>
      </c>
      <c r="U37" s="55" t="str">
        <f>IF(AND('Matriz de Riesgos'!$AF$20="Baja",'Matriz de Riesgos'!$AH$20="Menor"),CONCATENATE("R2C",'Matriz de Riesgos'!$U$20),"")</f>
        <v/>
      </c>
      <c r="V37" s="53" t="str">
        <f>IF(AND('Matriz de Riesgos'!$AF$15="Baja",'Matriz de Riesgos'!$AH$15="Moderado"),CONCATENATE("R2C",'Matriz de Riesgos'!$U$15),"")</f>
        <v>R2C1</v>
      </c>
      <c r="W37" s="54" t="str">
        <f>IF(AND('Matriz de Riesgos'!$AF$16="Baja",'Matriz de Riesgos'!$AH$16="Moderado"),CONCATENATE("R2C",'Matriz de Riesgos'!$U$16),"")</f>
        <v>R2C2</v>
      </c>
      <c r="X37" s="54" t="str">
        <f>IF(AND('Matriz de Riesgos'!$AF$17="Baja",'Matriz de Riesgos'!$AH$17="Moderado"),CONCATENATE("R2C",'Matriz de Riesgos'!$U$17),"")</f>
        <v/>
      </c>
      <c r="Y37" s="54" t="str">
        <f>IF(AND('Matriz de Riesgos'!$AF$18="Baja",'Matriz de Riesgos'!$AH$18="Moderado"),CONCATENATE("R2C",'Matriz de Riesgos'!$U$18),"")</f>
        <v/>
      </c>
      <c r="Z37" s="54" t="str">
        <f>IF(AND('Matriz de Riesgos'!$AF$19="Baja",'Matriz de Riesgos'!$AH$19="Moderado"),CONCATENATE("R2C",'Matriz de Riesgos'!$U$19),"")</f>
        <v/>
      </c>
      <c r="AA37" s="55" t="str">
        <f>IF(AND('Matriz de Riesgos'!$AF$20="Baja",'Matriz de Riesgos'!$AH$20="Moderado"),CONCATENATE("R2C",'Matriz de Riesgos'!$U$20),"")</f>
        <v/>
      </c>
      <c r="AB37" s="38" t="str">
        <f>IF(AND('Matriz de Riesgos'!$AF$15="Baja",'Matriz de Riesgos'!$AH$15="Mayor"),CONCATENATE("R2C",'Matriz de Riesgos'!$U$15),"")</f>
        <v/>
      </c>
      <c r="AC37" s="39" t="str">
        <f>IF(AND('Matriz de Riesgos'!$AF$16="Baja",'Matriz de Riesgos'!$AH$16="Mayor"),CONCATENATE("R2C",'Matriz de Riesgos'!$U$16),"")</f>
        <v/>
      </c>
      <c r="AD37" s="39" t="str">
        <f>IF(AND('Matriz de Riesgos'!$AF$17="Baja",'Matriz de Riesgos'!$AH$17="Mayor"),CONCATENATE("R2C",'Matriz de Riesgos'!$U$17),"")</f>
        <v/>
      </c>
      <c r="AE37" s="39" t="str">
        <f>IF(AND('Matriz de Riesgos'!$AF$18="Baja",'Matriz de Riesgos'!$AH$18="Mayor"),CONCATENATE("R2C",'Matriz de Riesgos'!$U$18),"")</f>
        <v/>
      </c>
      <c r="AF37" s="39" t="str">
        <f>IF(AND('Matriz de Riesgos'!$AF$19="Baja",'Matriz de Riesgos'!$AH$19="Mayor"),CONCATENATE("R2C",'Matriz de Riesgos'!$U$19),"")</f>
        <v/>
      </c>
      <c r="AG37" s="40" t="str">
        <f>IF(AND('Matriz de Riesgos'!$AF$20="Baja",'Matriz de Riesgos'!$AH$20="Mayor"),CONCATENATE("R2C",'Matriz de Riesgos'!$U$20),"")</f>
        <v/>
      </c>
      <c r="AH37" s="41" t="str">
        <f>IF(AND('Matriz de Riesgos'!$AF$15="Baja",'Matriz de Riesgos'!$AH$15="Catastrófico"),CONCATENATE("R2C",'Matriz de Riesgos'!$U$15),"")</f>
        <v/>
      </c>
      <c r="AI37" s="42" t="str">
        <f>IF(AND('Matriz de Riesgos'!$AF$16="Baja",'Matriz de Riesgos'!$AH$16="Catastrófico"),CONCATENATE("R2C",'Matriz de Riesgos'!$U$16),"")</f>
        <v/>
      </c>
      <c r="AJ37" s="42" t="str">
        <f>IF(AND('Matriz de Riesgos'!$AF$17="Baja",'Matriz de Riesgos'!$AH$17="Catastrófico"),CONCATENATE("R2C",'Matriz de Riesgos'!$U$17),"")</f>
        <v/>
      </c>
      <c r="AK37" s="42" t="str">
        <f>IF(AND('Matriz de Riesgos'!$AF$18="Baja",'Matriz de Riesgos'!$AH$18="Catastrófico"),CONCATENATE("R2C",'Matriz de Riesgos'!$U$18),"")</f>
        <v/>
      </c>
      <c r="AL37" s="42" t="str">
        <f>IF(AND('Matriz de Riesgos'!$AF$19="Baja",'Matriz de Riesgos'!$AH$19="Catastrófico"),CONCATENATE("R2C",'Matriz de Riesgos'!$U$19),"")</f>
        <v/>
      </c>
      <c r="AM37" s="43" t="str">
        <f>IF(AND('Matriz de Riesgos'!$AF$20="Baja",'Matriz de Riesgos'!$AH$20="Catastrófico"),CONCATENATE("R2C",'Matriz de Riesgos'!$U$20),"")</f>
        <v/>
      </c>
      <c r="AN37" s="69"/>
      <c r="AO37" s="628"/>
      <c r="AP37" s="629"/>
      <c r="AQ37" s="629"/>
      <c r="AR37" s="629"/>
      <c r="AS37" s="629"/>
      <c r="AT37" s="630"/>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x14ac:dyDescent="0.25">
      <c r="A38" s="69"/>
      <c r="B38" s="509"/>
      <c r="C38" s="509"/>
      <c r="D38" s="510"/>
      <c r="E38" s="608"/>
      <c r="F38" s="607"/>
      <c r="G38" s="607"/>
      <c r="H38" s="607"/>
      <c r="I38" s="607"/>
      <c r="J38" s="62" t="str">
        <f>IF(AND('Matriz de Riesgos'!$AF$21="Baja",'Matriz de Riesgos'!$AH$21="Leve"),CONCATENATE("R3C",'Matriz de Riesgos'!$U$21),"")</f>
        <v/>
      </c>
      <c r="K38" s="63" t="str">
        <f>IF(AND('Matriz de Riesgos'!$AF$22="Baja",'Matriz de Riesgos'!$AH$22="Leve"),CONCATENATE("R3C",'Matriz de Riesgos'!$U$22),"")</f>
        <v/>
      </c>
      <c r="L38" s="63" t="str">
        <f>IF(AND('Matriz de Riesgos'!$AF$23="Baja",'Matriz de Riesgos'!$AH$23="Leve"),CONCATENATE("R3C",'Matriz de Riesgos'!$U$23),"")</f>
        <v/>
      </c>
      <c r="M38" s="63" t="str">
        <f>IF(AND('Matriz de Riesgos'!$AF$24="Baja",'Matriz de Riesgos'!$AH$24="Leve"),CONCATENATE("R3C",'Matriz de Riesgos'!$U$24),"")</f>
        <v/>
      </c>
      <c r="N38" s="63" t="str">
        <f>IF(AND('Matriz de Riesgos'!$AF$25="Baja",'Matriz de Riesgos'!$AH$25="Leve"),CONCATENATE("R3C",'Matriz de Riesgos'!$U$25),"")</f>
        <v/>
      </c>
      <c r="O38" s="64" t="str">
        <f>IF(AND('Matriz de Riesgos'!$AF$26="Baja",'Matriz de Riesgos'!$AH$26="Leve"),CONCATENATE("R3C",'Matriz de Riesgos'!$U$26),"")</f>
        <v/>
      </c>
      <c r="P38" s="53" t="str">
        <f>IF(AND('Matriz de Riesgos'!$AF$21="Baja",'Matriz de Riesgos'!$AH$21="Menor"),CONCATENATE("R3C",'Matriz de Riesgos'!$U$21),"")</f>
        <v/>
      </c>
      <c r="Q38" s="54" t="str">
        <f>IF(AND('Matriz de Riesgos'!$AF$22="Baja",'Matriz de Riesgos'!$AH$22="Menor"),CONCATENATE("R3C",'Matriz de Riesgos'!$U$22),"")</f>
        <v/>
      </c>
      <c r="R38" s="54" t="str">
        <f>IF(AND('Matriz de Riesgos'!$AF$23="Baja",'Matriz de Riesgos'!$AH$23="Menor"),CONCATENATE("R3C",'Matriz de Riesgos'!$U$23),"")</f>
        <v/>
      </c>
      <c r="S38" s="54" t="str">
        <f>IF(AND('Matriz de Riesgos'!$AF$24="Baja",'Matriz de Riesgos'!$AH$24="Menor"),CONCATENATE("R3C",'Matriz de Riesgos'!$U$24),"")</f>
        <v/>
      </c>
      <c r="T38" s="54" t="str">
        <f>IF(AND('Matriz de Riesgos'!$AF$25="Baja",'Matriz de Riesgos'!$AH$25="Menor"),CONCATENATE("R3C",'Matriz de Riesgos'!$U$25),"")</f>
        <v/>
      </c>
      <c r="U38" s="55" t="str">
        <f>IF(AND('Matriz de Riesgos'!$AF$26="Baja",'Matriz de Riesgos'!$AH$26="Menor"),CONCATENATE("R3C",'Matriz de Riesgos'!$U$26),"")</f>
        <v/>
      </c>
      <c r="V38" s="53" t="str">
        <f>IF(AND('Matriz de Riesgos'!$AF$21="Baja",'Matriz de Riesgos'!$AH$21="Moderado"),CONCATENATE("R3C",'Matriz de Riesgos'!$U$21),"")</f>
        <v>R3C1</v>
      </c>
      <c r="W38" s="54" t="str">
        <f>IF(AND('Matriz de Riesgos'!$AF$22="Baja",'Matriz de Riesgos'!$AH$22="Moderado"),CONCATENATE("R3C",'Matriz de Riesgos'!$U$22),"")</f>
        <v>R3C2</v>
      </c>
      <c r="X38" s="54" t="str">
        <f>IF(AND('Matriz de Riesgos'!$AF$23="Baja",'Matriz de Riesgos'!$AH$23="Moderado"),CONCATENATE("R3C",'Matriz de Riesgos'!$U$23),"")</f>
        <v/>
      </c>
      <c r="Y38" s="54" t="str">
        <f>IF(AND('Matriz de Riesgos'!$AF$24="Baja",'Matriz de Riesgos'!$AH$24="Moderado"),CONCATENATE("R3C",'Matriz de Riesgos'!$U$24),"")</f>
        <v/>
      </c>
      <c r="Z38" s="54" t="str">
        <f>IF(AND('Matriz de Riesgos'!$AF$25="Baja",'Matriz de Riesgos'!$AH$25="Moderado"),CONCATENATE("R3C",'Matriz de Riesgos'!$U$25),"")</f>
        <v/>
      </c>
      <c r="AA38" s="55" t="str">
        <f>IF(AND('Matriz de Riesgos'!$AF$26="Baja",'Matriz de Riesgos'!$AH$26="Moderado"),CONCATENATE("R3C",'Matriz de Riesgos'!$U$26),"")</f>
        <v/>
      </c>
      <c r="AB38" s="38" t="str">
        <f>IF(AND('Matriz de Riesgos'!$AF$21="Baja",'Matriz de Riesgos'!$AH$21="Mayor"),CONCATENATE("R3C",'Matriz de Riesgos'!$U$21),"")</f>
        <v/>
      </c>
      <c r="AC38" s="39" t="str">
        <f>IF(AND('Matriz de Riesgos'!$AF$22="Baja",'Matriz de Riesgos'!$AH$22="Mayor"),CONCATENATE("R3C",'Matriz de Riesgos'!$U$22),"")</f>
        <v/>
      </c>
      <c r="AD38" s="39" t="str">
        <f>IF(AND('Matriz de Riesgos'!$AF$23="Baja",'Matriz de Riesgos'!$AH$23="Mayor"),CONCATENATE("R3C",'Matriz de Riesgos'!$U$23),"")</f>
        <v/>
      </c>
      <c r="AE38" s="39" t="str">
        <f>IF(AND('Matriz de Riesgos'!$AF$24="Baja",'Matriz de Riesgos'!$AH$24="Mayor"),CONCATENATE("R3C",'Matriz de Riesgos'!$U$24),"")</f>
        <v/>
      </c>
      <c r="AF38" s="39" t="str">
        <f>IF(AND('Matriz de Riesgos'!$AF$25="Baja",'Matriz de Riesgos'!$AH$25="Mayor"),CONCATENATE("R3C",'Matriz de Riesgos'!$U$25),"")</f>
        <v/>
      </c>
      <c r="AG38" s="40" t="str">
        <f>IF(AND('Matriz de Riesgos'!$AF$26="Baja",'Matriz de Riesgos'!$AH$26="Mayor"),CONCATENATE("R3C",'Matriz de Riesgos'!$U$26),"")</f>
        <v/>
      </c>
      <c r="AH38" s="41" t="str">
        <f>IF(AND('Matriz de Riesgos'!$AF$21="Baja",'Matriz de Riesgos'!$AH$21="Catastrófico"),CONCATENATE("R3C",'Matriz de Riesgos'!$U$21),"")</f>
        <v/>
      </c>
      <c r="AI38" s="42" t="str">
        <f>IF(AND('Matriz de Riesgos'!$AF$22="Baja",'Matriz de Riesgos'!$AH$22="Catastrófico"),CONCATENATE("R3C",'Matriz de Riesgos'!$U$22),"")</f>
        <v/>
      </c>
      <c r="AJ38" s="42" t="str">
        <f>IF(AND('Matriz de Riesgos'!$AF$23="Baja",'Matriz de Riesgos'!$AH$23="Catastrófico"),CONCATENATE("R3C",'Matriz de Riesgos'!$U$23),"")</f>
        <v/>
      </c>
      <c r="AK38" s="42" t="str">
        <f>IF(AND('Matriz de Riesgos'!$AF$24="Baja",'Matriz de Riesgos'!$AH$24="Catastrófico"),CONCATENATE("R3C",'Matriz de Riesgos'!$U$24),"")</f>
        <v/>
      </c>
      <c r="AL38" s="42" t="str">
        <f>IF(AND('Matriz de Riesgos'!$AF$25="Baja",'Matriz de Riesgos'!$AH$25="Catastrófico"),CONCATENATE("R3C",'Matriz de Riesgos'!$U$25),"")</f>
        <v/>
      </c>
      <c r="AM38" s="43" t="str">
        <f>IF(AND('Matriz de Riesgos'!$AF$26="Baja",'Matriz de Riesgos'!$AH$26="Catastrófico"),CONCATENATE("R3C",'Matriz de Riesgos'!$U$26),"")</f>
        <v/>
      </c>
      <c r="AN38" s="69"/>
      <c r="AO38" s="628"/>
      <c r="AP38" s="629"/>
      <c r="AQ38" s="629"/>
      <c r="AR38" s="629"/>
      <c r="AS38" s="629"/>
      <c r="AT38" s="630"/>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x14ac:dyDescent="0.25">
      <c r="A39" s="69"/>
      <c r="B39" s="509"/>
      <c r="C39" s="509"/>
      <c r="D39" s="510"/>
      <c r="E39" s="608"/>
      <c r="F39" s="607"/>
      <c r="G39" s="607"/>
      <c r="H39" s="607"/>
      <c r="I39" s="607"/>
      <c r="J39" s="62" t="str">
        <f>IF(AND('Matriz de Riesgos'!$AF$27="Baja",'Matriz de Riesgos'!$AH$27="Leve"),CONCATENATE("R4C",'Matriz de Riesgos'!$U$27),"")</f>
        <v/>
      </c>
      <c r="K39" s="63" t="str">
        <f>IF(AND('Matriz de Riesgos'!$AF$28="Baja",'Matriz de Riesgos'!$AH$28="Leve"),CONCATENATE("R4C",'Matriz de Riesgos'!$U$28),"")</f>
        <v/>
      </c>
      <c r="L39" s="63" t="str">
        <f>IF(AND('Matriz de Riesgos'!$AF$29="Baja",'Matriz de Riesgos'!$AH$29="Leve"),CONCATENATE("R4C",'Matriz de Riesgos'!$U$29),"")</f>
        <v/>
      </c>
      <c r="M39" s="63" t="str">
        <f>IF(AND('Matriz de Riesgos'!$AF$30="Baja",'Matriz de Riesgos'!$AH$30="Leve"),CONCATENATE("R4C",'Matriz de Riesgos'!$U$30),"")</f>
        <v/>
      </c>
      <c r="N39" s="63" t="str">
        <f>IF(AND('Matriz de Riesgos'!$AF$31="Baja",'Matriz de Riesgos'!$AH$31="Leve"),CONCATENATE("R4C",'Matriz de Riesgos'!$U$31),"")</f>
        <v/>
      </c>
      <c r="O39" s="64" t="str">
        <f>IF(AND('Matriz de Riesgos'!$AF$32="Baja",'Matriz de Riesgos'!$AH$32="Leve"),CONCATENATE("R4C",'Matriz de Riesgos'!$U$32),"")</f>
        <v/>
      </c>
      <c r="P39" s="53" t="str">
        <f>IF(AND('Matriz de Riesgos'!$AF$27="Baja",'Matriz de Riesgos'!$AH$27="Menor"),CONCATENATE("R4C",'Matriz de Riesgos'!$U$27),"")</f>
        <v/>
      </c>
      <c r="Q39" s="54" t="str">
        <f>IF(AND('Matriz de Riesgos'!$AF$28="Baja",'Matriz de Riesgos'!$AH$28="Menor"),CONCATENATE("R4C",'Matriz de Riesgos'!$U$28),"")</f>
        <v/>
      </c>
      <c r="R39" s="54" t="str">
        <f>IF(AND('Matriz de Riesgos'!$AF$29="Baja",'Matriz de Riesgos'!$AH$29="Menor"),CONCATENATE("R4C",'Matriz de Riesgos'!$U$29),"")</f>
        <v/>
      </c>
      <c r="S39" s="54" t="str">
        <f>IF(AND('Matriz de Riesgos'!$AF$30="Baja",'Matriz de Riesgos'!$AH$30="Menor"),CONCATENATE("R4C",'Matriz de Riesgos'!$U$30),"")</f>
        <v/>
      </c>
      <c r="T39" s="54" t="str">
        <f>IF(AND('Matriz de Riesgos'!$AF$31="Baja",'Matriz de Riesgos'!$AH$31="Menor"),CONCATENATE("R4C",'Matriz de Riesgos'!$U$31),"")</f>
        <v/>
      </c>
      <c r="U39" s="55" t="str">
        <f>IF(AND('Matriz de Riesgos'!$AF$32="Baja",'Matriz de Riesgos'!$AH$32="Menor"),CONCATENATE("R4C",'Matriz de Riesgos'!$U$32),"")</f>
        <v/>
      </c>
      <c r="V39" s="53" t="str">
        <f>IF(AND('Matriz de Riesgos'!$AF$27="Baja",'Matriz de Riesgos'!$AH$27="Moderado"),CONCATENATE("R4C",'Matriz de Riesgos'!$U$27),"")</f>
        <v/>
      </c>
      <c r="W39" s="54" t="str">
        <f>IF(AND('Matriz de Riesgos'!$AF$28="Baja",'Matriz de Riesgos'!$AH$28="Moderado"),CONCATENATE("R4C",'Matriz de Riesgos'!$U$28),"")</f>
        <v/>
      </c>
      <c r="X39" s="54" t="str">
        <f>IF(AND('Matriz de Riesgos'!$AF$29="Baja",'Matriz de Riesgos'!$AH$29="Moderado"),CONCATENATE("R4C",'Matriz de Riesgos'!$U$29),"")</f>
        <v/>
      </c>
      <c r="Y39" s="54" t="str">
        <f>IF(AND('Matriz de Riesgos'!$AF$30="Baja",'Matriz de Riesgos'!$AH$30="Moderado"),CONCATENATE("R4C",'Matriz de Riesgos'!$U$30),"")</f>
        <v/>
      </c>
      <c r="Z39" s="54" t="str">
        <f>IF(AND('Matriz de Riesgos'!$AF$31="Baja",'Matriz de Riesgos'!$AH$31="Moderado"),CONCATENATE("R4C",'Matriz de Riesgos'!$U$31),"")</f>
        <v/>
      </c>
      <c r="AA39" s="55" t="str">
        <f>IF(AND('Matriz de Riesgos'!$AF$32="Baja",'Matriz de Riesgos'!$AH$32="Moderado"),CONCATENATE("R4C",'Matriz de Riesgos'!$U$32),"")</f>
        <v/>
      </c>
      <c r="AB39" s="38" t="str">
        <f>IF(AND('Matriz de Riesgos'!$AF$27="Baja",'Matriz de Riesgos'!$AH$27="Mayor"),CONCATENATE("R4C",'Matriz de Riesgos'!$U$27),"")</f>
        <v/>
      </c>
      <c r="AC39" s="39" t="str">
        <f>IF(AND('Matriz de Riesgos'!$AF$28="Baja",'Matriz de Riesgos'!$AH$28="Mayor"),CONCATENATE("R4C",'Matriz de Riesgos'!$U$28),"")</f>
        <v/>
      </c>
      <c r="AD39" s="39" t="str">
        <f>IF(AND('Matriz de Riesgos'!$AF$29="Baja",'Matriz de Riesgos'!$AH$29="Mayor"),CONCATENATE("R4C",'Matriz de Riesgos'!$U$29),"")</f>
        <v/>
      </c>
      <c r="AE39" s="39" t="str">
        <f>IF(AND('Matriz de Riesgos'!$AF$30="Baja",'Matriz de Riesgos'!$AH$30="Mayor"),CONCATENATE("R4C",'Matriz de Riesgos'!$U$30),"")</f>
        <v/>
      </c>
      <c r="AF39" s="39" t="str">
        <f>IF(AND('Matriz de Riesgos'!$AF$31="Baja",'Matriz de Riesgos'!$AH$31="Mayor"),CONCATENATE("R4C",'Matriz de Riesgos'!$U$31),"")</f>
        <v/>
      </c>
      <c r="AG39" s="40" t="str">
        <f>IF(AND('Matriz de Riesgos'!$AF$32="Baja",'Matriz de Riesgos'!$AH$32="Mayor"),CONCATENATE("R4C",'Matriz de Riesgos'!$U$32),"")</f>
        <v/>
      </c>
      <c r="AH39" s="41" t="str">
        <f>IF(AND('Matriz de Riesgos'!$AF$27="Baja",'Matriz de Riesgos'!$AH$27="Catastrófico"),CONCATENATE("R4C",'Matriz de Riesgos'!$U$27),"")</f>
        <v/>
      </c>
      <c r="AI39" s="42" t="str">
        <f>IF(AND('Matriz de Riesgos'!$AF$28="Baja",'Matriz de Riesgos'!$AH$28="Catastrófico"),CONCATENATE("R4C",'Matriz de Riesgos'!$U$28),"")</f>
        <v/>
      </c>
      <c r="AJ39" s="42" t="str">
        <f>IF(AND('Matriz de Riesgos'!$AF$29="Baja",'Matriz de Riesgos'!$AH$29="Catastrófico"),CONCATENATE("R4C",'Matriz de Riesgos'!$U$29),"")</f>
        <v/>
      </c>
      <c r="AK39" s="42" t="str">
        <f>IF(AND('Matriz de Riesgos'!$AF$30="Baja",'Matriz de Riesgos'!$AH$30="Catastrófico"),CONCATENATE("R4C",'Matriz de Riesgos'!$U$30),"")</f>
        <v/>
      </c>
      <c r="AL39" s="42" t="str">
        <f>IF(AND('Matriz de Riesgos'!$AF$31="Baja",'Matriz de Riesgos'!$AH$31="Catastrófico"),CONCATENATE("R4C",'Matriz de Riesgos'!$U$31),"")</f>
        <v/>
      </c>
      <c r="AM39" s="43" t="str">
        <f>IF(AND('Matriz de Riesgos'!$AF$32="Baja",'Matriz de Riesgos'!$AH$32="Catastrófico"),CONCATENATE("R4C",'Matriz de Riesgos'!$U$32),"")</f>
        <v/>
      </c>
      <c r="AN39" s="69"/>
      <c r="AO39" s="628"/>
      <c r="AP39" s="629"/>
      <c r="AQ39" s="629"/>
      <c r="AR39" s="629"/>
      <c r="AS39" s="629"/>
      <c r="AT39" s="630"/>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x14ac:dyDescent="0.25">
      <c r="A40" s="69"/>
      <c r="B40" s="509"/>
      <c r="C40" s="509"/>
      <c r="D40" s="510"/>
      <c r="E40" s="608"/>
      <c r="F40" s="607"/>
      <c r="G40" s="607"/>
      <c r="H40" s="607"/>
      <c r="I40" s="607"/>
      <c r="J40" s="62" t="str">
        <f>IF(AND('Matriz de Riesgos'!$AF$33="Baja",'Matriz de Riesgos'!$AH$33="Leve"),CONCATENATE("R5C",'Matriz de Riesgos'!$U$33),"")</f>
        <v/>
      </c>
      <c r="K40" s="63" t="str">
        <f>IF(AND('Matriz de Riesgos'!$AF$34="Baja",'Matriz de Riesgos'!$AH$34="Leve"),CONCATENATE("R5C",'Matriz de Riesgos'!$U$34),"")</f>
        <v/>
      </c>
      <c r="L40" s="63" t="str">
        <f>IF(AND('Matriz de Riesgos'!$AF$35="Baja",'Matriz de Riesgos'!$AH$35="Leve"),CONCATENATE("R5C",'Matriz de Riesgos'!$U$35),"")</f>
        <v/>
      </c>
      <c r="M40" s="63" t="str">
        <f>IF(AND('Matriz de Riesgos'!$AF$36="Baja",'Matriz de Riesgos'!$AH$36="Leve"),CONCATENATE("R5C",'Matriz de Riesgos'!$U$36),"")</f>
        <v/>
      </c>
      <c r="N40" s="63" t="str">
        <f>IF(AND('Matriz de Riesgos'!$AF$37="Baja",'Matriz de Riesgos'!$AH$37="Leve"),CONCATENATE("R5C",'Matriz de Riesgos'!$U$37),"")</f>
        <v/>
      </c>
      <c r="O40" s="64" t="str">
        <f>IF(AND('Matriz de Riesgos'!$AF$38="Baja",'Matriz de Riesgos'!$AH$38="Leve"),CONCATENATE("R5C",'Matriz de Riesgos'!$U$38),"")</f>
        <v/>
      </c>
      <c r="P40" s="53" t="str">
        <f>IF(AND('Matriz de Riesgos'!$AF$33="Baja",'Matriz de Riesgos'!$AH$33="Menor"),CONCATENATE("R5C",'Matriz de Riesgos'!$U$33),"")</f>
        <v/>
      </c>
      <c r="Q40" s="54" t="str">
        <f>IF(AND('Matriz de Riesgos'!$AF$34="Baja",'Matriz de Riesgos'!$AH$34="Menor"),CONCATENATE("R5C",'Matriz de Riesgos'!$U$34),"")</f>
        <v/>
      </c>
      <c r="R40" s="54" t="str">
        <f>IF(AND('Matriz de Riesgos'!$AF$35="Baja",'Matriz de Riesgos'!$AH$35="Menor"),CONCATENATE("R5C",'Matriz de Riesgos'!$U$35),"")</f>
        <v/>
      </c>
      <c r="S40" s="54" t="str">
        <f>IF(AND('Matriz de Riesgos'!$AF$36="Baja",'Matriz de Riesgos'!$AH$36="Menor"),CONCATENATE("R5C",'Matriz de Riesgos'!$U$36),"")</f>
        <v/>
      </c>
      <c r="T40" s="54" t="str">
        <f>IF(AND('Matriz de Riesgos'!$AF$37="Baja",'Matriz de Riesgos'!$AH$37="Menor"),CONCATENATE("R5C",'Matriz de Riesgos'!$U$37),"")</f>
        <v/>
      </c>
      <c r="U40" s="55" t="str">
        <f>IF(AND('Matriz de Riesgos'!$AF$38="Baja",'Matriz de Riesgos'!$AH$38="Menor"),CONCATENATE("R5C",'Matriz de Riesgos'!$U$38),"")</f>
        <v/>
      </c>
      <c r="V40" s="53" t="str">
        <f>IF(AND('Matriz de Riesgos'!$AF$33="Baja",'Matriz de Riesgos'!$AH$33="Moderado"),CONCATENATE("R5C",'Matriz de Riesgos'!$U$33),"")</f>
        <v/>
      </c>
      <c r="W40" s="54" t="str">
        <f>IF(AND('Matriz de Riesgos'!$AF$34="Baja",'Matriz de Riesgos'!$AH$34="Moderado"),CONCATENATE("R5C",'Matriz de Riesgos'!$U$34),"")</f>
        <v/>
      </c>
      <c r="X40" s="54" t="str">
        <f>IF(AND('Matriz de Riesgos'!$AF$35="Baja",'Matriz de Riesgos'!$AH$35="Moderado"),CONCATENATE("R5C",'Matriz de Riesgos'!$U$35),"")</f>
        <v/>
      </c>
      <c r="Y40" s="54" t="str">
        <f>IF(AND('Matriz de Riesgos'!$AF$36="Baja",'Matriz de Riesgos'!$AH$36="Moderado"),CONCATENATE("R5C",'Matriz de Riesgos'!$U$36),"")</f>
        <v/>
      </c>
      <c r="Z40" s="54" t="str">
        <f>IF(AND('Matriz de Riesgos'!$AF$37="Baja",'Matriz de Riesgos'!$AH$37="Moderado"),CONCATENATE("R5C",'Matriz de Riesgos'!$U$37),"")</f>
        <v/>
      </c>
      <c r="AA40" s="55" t="str">
        <f>IF(AND('Matriz de Riesgos'!$AF$38="Baja",'Matriz de Riesgos'!$AH$38="Moderado"),CONCATENATE("R5C",'Matriz de Riesgos'!$U$38),"")</f>
        <v/>
      </c>
      <c r="AB40" s="38" t="str">
        <f>IF(AND('Matriz de Riesgos'!$AF$33="Baja",'Matriz de Riesgos'!$AH$33="Mayor"),CONCATENATE("R5C",'Matriz de Riesgos'!$U$33),"")</f>
        <v/>
      </c>
      <c r="AC40" s="39" t="str">
        <f>IF(AND('Matriz de Riesgos'!$AF$34="Baja",'Matriz de Riesgos'!$AH$34="Mayor"),CONCATENATE("R5C",'Matriz de Riesgos'!$U$34),"")</f>
        <v/>
      </c>
      <c r="AD40" s="39" t="str">
        <f>IF(AND('Matriz de Riesgos'!$AF$35="Baja",'Matriz de Riesgos'!$AH$35="Mayor"),CONCATENATE("R5C",'Matriz de Riesgos'!$U$35),"")</f>
        <v/>
      </c>
      <c r="AE40" s="39" t="str">
        <f>IF(AND('Matriz de Riesgos'!$AF$36="Baja",'Matriz de Riesgos'!$AH$36="Mayor"),CONCATENATE("R5C",'Matriz de Riesgos'!$U$36),"")</f>
        <v/>
      </c>
      <c r="AF40" s="39" t="str">
        <f>IF(AND('Matriz de Riesgos'!$AF$37="Baja",'Matriz de Riesgos'!$AH$37="Mayor"),CONCATENATE("R5C",'Matriz de Riesgos'!$U$37),"")</f>
        <v/>
      </c>
      <c r="AG40" s="40" t="str">
        <f>IF(AND('Matriz de Riesgos'!$AF$38="Baja",'Matriz de Riesgos'!$AH$38="Mayor"),CONCATENATE("R5C",'Matriz de Riesgos'!$U$38),"")</f>
        <v/>
      </c>
      <c r="AH40" s="41" t="str">
        <f>IF(AND('Matriz de Riesgos'!$AF$33="Baja",'Matriz de Riesgos'!$AH$33="Catastrófico"),CONCATENATE("R5C",'Matriz de Riesgos'!$U$33),"")</f>
        <v/>
      </c>
      <c r="AI40" s="42" t="str">
        <f>IF(AND('Matriz de Riesgos'!$AF$34="Baja",'Matriz de Riesgos'!$AH$34="Catastrófico"),CONCATENATE("R5C",'Matriz de Riesgos'!$U$34),"")</f>
        <v/>
      </c>
      <c r="AJ40" s="42" t="str">
        <f>IF(AND('Matriz de Riesgos'!$AF$35="Baja",'Matriz de Riesgos'!$AH$35="Catastrófico"),CONCATENATE("R5C",'Matriz de Riesgos'!$U$35),"")</f>
        <v/>
      </c>
      <c r="AK40" s="42" t="str">
        <f>IF(AND('Matriz de Riesgos'!$AF$36="Baja",'Matriz de Riesgos'!$AH$36="Catastrófico"),CONCATENATE("R5C",'Matriz de Riesgos'!$U$36),"")</f>
        <v/>
      </c>
      <c r="AL40" s="42" t="str">
        <f>IF(AND('Matriz de Riesgos'!$AF$37="Baja",'Matriz de Riesgos'!$AH$37="Catastrófico"),CONCATENATE("R5C",'Matriz de Riesgos'!$U$37),"")</f>
        <v/>
      </c>
      <c r="AM40" s="43" t="str">
        <f>IF(AND('Matriz de Riesgos'!$AF$38="Baja",'Matriz de Riesgos'!$AH$38="Catastrófico"),CONCATENATE("R5C",'Matriz de Riesgos'!$U$38),"")</f>
        <v/>
      </c>
      <c r="AN40" s="69"/>
      <c r="AO40" s="628"/>
      <c r="AP40" s="629"/>
      <c r="AQ40" s="629"/>
      <c r="AR40" s="629"/>
      <c r="AS40" s="629"/>
      <c r="AT40" s="630"/>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x14ac:dyDescent="0.25">
      <c r="A41" s="69"/>
      <c r="B41" s="509"/>
      <c r="C41" s="509"/>
      <c r="D41" s="510"/>
      <c r="E41" s="608"/>
      <c r="F41" s="607"/>
      <c r="G41" s="607"/>
      <c r="H41" s="607"/>
      <c r="I41" s="607"/>
      <c r="J41" s="62" t="str">
        <f>IF(AND('Matriz de Riesgos'!$AF$39="Baja",'Matriz de Riesgos'!$AH$39="Leve"),CONCATENATE("R6C",'Matriz de Riesgos'!$U$39),"")</f>
        <v/>
      </c>
      <c r="K41" s="63" t="str">
        <f>IF(AND('Matriz de Riesgos'!$AF$40="Baja",'Matriz de Riesgos'!$AH$40="Leve"),CONCATENATE("R6C",'Matriz de Riesgos'!$U$40),"")</f>
        <v/>
      </c>
      <c r="L41" s="63" t="str">
        <f>IF(AND('Matriz de Riesgos'!$AF$41="Baja",'Matriz de Riesgos'!$AH$41="Leve"),CONCATENATE("R6C",'Matriz de Riesgos'!$U$41),"")</f>
        <v/>
      </c>
      <c r="M41" s="63" t="str">
        <f>IF(AND('Matriz de Riesgos'!$AF$42="Baja",'Matriz de Riesgos'!$AH$42="Leve"),CONCATENATE("R6C",'Matriz de Riesgos'!$U$42),"")</f>
        <v/>
      </c>
      <c r="N41" s="63" t="str">
        <f>IF(AND('Matriz de Riesgos'!$AF$43="Baja",'Matriz de Riesgos'!$AH$43="Leve"),CONCATENATE("R6C",'Matriz de Riesgos'!$U$43),"")</f>
        <v/>
      </c>
      <c r="O41" s="64" t="str">
        <f>IF(AND('Matriz de Riesgos'!$AF$44="Baja",'Matriz de Riesgos'!$AH$44="Leve"),CONCATENATE("R6C",'Matriz de Riesgos'!$U$44),"")</f>
        <v/>
      </c>
      <c r="P41" s="53" t="str">
        <f>IF(AND('Matriz de Riesgos'!$AF$39="Baja",'Matriz de Riesgos'!$AH$39="Menor"),CONCATENATE("R6C",'Matriz de Riesgos'!$U$39),"")</f>
        <v/>
      </c>
      <c r="Q41" s="54" t="str">
        <f>IF(AND('Matriz de Riesgos'!$AF$40="Baja",'Matriz de Riesgos'!$AH$40="Menor"),CONCATENATE("R6C",'Matriz de Riesgos'!$U$40),"")</f>
        <v/>
      </c>
      <c r="R41" s="54" t="str">
        <f>IF(AND('Matriz de Riesgos'!$AF$41="Baja",'Matriz de Riesgos'!$AH$41="Menor"),CONCATENATE("R6C",'Matriz de Riesgos'!$U$41),"")</f>
        <v/>
      </c>
      <c r="S41" s="54" t="str">
        <f>IF(AND('Matriz de Riesgos'!$AF$42="Baja",'Matriz de Riesgos'!$AH$42="Menor"),CONCATENATE("R6C",'Matriz de Riesgos'!$U$42),"")</f>
        <v/>
      </c>
      <c r="T41" s="54" t="str">
        <f>IF(AND('Matriz de Riesgos'!$AF$43="Baja",'Matriz de Riesgos'!$AH$43="Menor"),CONCATENATE("R6C",'Matriz de Riesgos'!$U$43),"")</f>
        <v/>
      </c>
      <c r="U41" s="55" t="str">
        <f>IF(AND('Matriz de Riesgos'!$AF$44="Baja",'Matriz de Riesgos'!$AH$44="Menor"),CONCATENATE("R6C",'Matriz de Riesgos'!$U$44),"")</f>
        <v/>
      </c>
      <c r="V41" s="53" t="str">
        <f>IF(AND('Matriz de Riesgos'!$AF$39="Baja",'Matriz de Riesgos'!$AH$39="Moderado"),CONCATENATE("R6C",'Matriz de Riesgos'!$U$39),"")</f>
        <v/>
      </c>
      <c r="W41" s="54" t="str">
        <f>IF(AND('Matriz de Riesgos'!$AF$40="Baja",'Matriz de Riesgos'!$AH$40="Moderado"),CONCATENATE("R6C",'Matriz de Riesgos'!$U$40),"")</f>
        <v/>
      </c>
      <c r="X41" s="54" t="str">
        <f>IF(AND('Matriz de Riesgos'!$AF$41="Baja",'Matriz de Riesgos'!$AH$41="Moderado"),CONCATENATE("R6C",'Matriz de Riesgos'!$U$41),"")</f>
        <v/>
      </c>
      <c r="Y41" s="54" t="str">
        <f>IF(AND('Matriz de Riesgos'!$AF$42="Baja",'Matriz de Riesgos'!$AH$42="Moderado"),CONCATENATE("R6C",'Matriz de Riesgos'!$U$42),"")</f>
        <v/>
      </c>
      <c r="Z41" s="54" t="str">
        <f>IF(AND('Matriz de Riesgos'!$AF$43="Baja",'Matriz de Riesgos'!$AH$43="Moderado"),CONCATENATE("R6C",'Matriz de Riesgos'!$U$43),"")</f>
        <v/>
      </c>
      <c r="AA41" s="55" t="str">
        <f>IF(AND('Matriz de Riesgos'!$AF$44="Baja",'Matriz de Riesgos'!$AH$44="Moderado"),CONCATENATE("R6C",'Matriz de Riesgos'!$U$44),"")</f>
        <v/>
      </c>
      <c r="AB41" s="38" t="str">
        <f>IF(AND('Matriz de Riesgos'!$AF$39="Baja",'Matriz de Riesgos'!$AH$39="Mayor"),CONCATENATE("R6C",'Matriz de Riesgos'!$U$39),"")</f>
        <v/>
      </c>
      <c r="AC41" s="39" t="str">
        <f>IF(AND('Matriz de Riesgos'!$AF$40="Baja",'Matriz de Riesgos'!$AH$40="Mayor"),CONCATENATE("R6C",'Matriz de Riesgos'!$U$40),"")</f>
        <v/>
      </c>
      <c r="AD41" s="39" t="str">
        <f>IF(AND('Matriz de Riesgos'!$AF$41="Baja",'Matriz de Riesgos'!$AH$41="Mayor"),CONCATENATE("R6C",'Matriz de Riesgos'!$U$41),"")</f>
        <v/>
      </c>
      <c r="AE41" s="39" t="str">
        <f>IF(AND('Matriz de Riesgos'!$AF$42="Baja",'Matriz de Riesgos'!$AH$42="Mayor"),CONCATENATE("R6C",'Matriz de Riesgos'!$U$42),"")</f>
        <v/>
      </c>
      <c r="AF41" s="39" t="str">
        <f>IF(AND('Matriz de Riesgos'!$AF$43="Baja",'Matriz de Riesgos'!$AH$43="Mayor"),CONCATENATE("R6C",'Matriz de Riesgos'!$U$43),"")</f>
        <v/>
      </c>
      <c r="AG41" s="40" t="str">
        <f>IF(AND('Matriz de Riesgos'!$AF$44="Baja",'Matriz de Riesgos'!$AH$44="Mayor"),CONCATENATE("R6C",'Matriz de Riesgos'!$U$44),"")</f>
        <v/>
      </c>
      <c r="AH41" s="41" t="str">
        <f>IF(AND('Matriz de Riesgos'!$AF$39="Baja",'Matriz de Riesgos'!$AH$39="Catastrófico"),CONCATENATE("R6C",'Matriz de Riesgos'!$U$39),"")</f>
        <v/>
      </c>
      <c r="AI41" s="42" t="str">
        <f>IF(AND('Matriz de Riesgos'!$AF$40="Baja",'Matriz de Riesgos'!$AH$40="Catastrófico"),CONCATENATE("R6C",'Matriz de Riesgos'!$U$40),"")</f>
        <v/>
      </c>
      <c r="AJ41" s="42" t="str">
        <f>IF(AND('Matriz de Riesgos'!$AF$41="Baja",'Matriz de Riesgos'!$AH$41="Catastrófico"),CONCATENATE("R6C",'Matriz de Riesgos'!$U$41),"")</f>
        <v/>
      </c>
      <c r="AK41" s="42" t="str">
        <f>IF(AND('Matriz de Riesgos'!$AF$42="Baja",'Matriz de Riesgos'!$AH$42="Catastrófico"),CONCATENATE("R6C",'Matriz de Riesgos'!$U$42),"")</f>
        <v/>
      </c>
      <c r="AL41" s="42" t="str">
        <f>IF(AND('Matriz de Riesgos'!$AF$43="Baja",'Matriz de Riesgos'!$AH$43="Catastrófico"),CONCATENATE("R6C",'Matriz de Riesgos'!$U$43),"")</f>
        <v/>
      </c>
      <c r="AM41" s="43" t="str">
        <f>IF(AND('Matriz de Riesgos'!$AF$44="Baja",'Matriz de Riesgos'!$AH$44="Catastrófico"),CONCATENATE("R6C",'Matriz de Riesgos'!$U$44),"")</f>
        <v/>
      </c>
      <c r="AN41" s="69"/>
      <c r="AO41" s="628"/>
      <c r="AP41" s="629"/>
      <c r="AQ41" s="629"/>
      <c r="AR41" s="629"/>
      <c r="AS41" s="629"/>
      <c r="AT41" s="630"/>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x14ac:dyDescent="0.25">
      <c r="A42" s="69"/>
      <c r="B42" s="509"/>
      <c r="C42" s="509"/>
      <c r="D42" s="510"/>
      <c r="E42" s="608"/>
      <c r="F42" s="607"/>
      <c r="G42" s="607"/>
      <c r="H42" s="607"/>
      <c r="I42" s="607"/>
      <c r="J42" s="62" t="str">
        <f>IF(AND('Matriz de Riesgos'!$AF$45="Baja",'Matriz de Riesgos'!$AH$45="Leve"),CONCATENATE("R7C",'Matriz de Riesgos'!$U$45),"")</f>
        <v/>
      </c>
      <c r="K42" s="63" t="str">
        <f>IF(AND('Matriz de Riesgos'!$AF$46="Baja",'Matriz de Riesgos'!$AH$46="Leve"),CONCATENATE("R7C",'Matriz de Riesgos'!$U$46),"")</f>
        <v/>
      </c>
      <c r="L42" s="63" t="str">
        <f>IF(AND('Matriz de Riesgos'!$AF$47="Baja",'Matriz de Riesgos'!$AH$47="Leve"),CONCATENATE("R7C",'Matriz de Riesgos'!$U$47),"")</f>
        <v/>
      </c>
      <c r="M42" s="63" t="str">
        <f>IF(AND('Matriz de Riesgos'!$AF$48="Baja",'Matriz de Riesgos'!$AH$48="Leve"),CONCATENATE("R7C",'Matriz de Riesgos'!$U$48),"")</f>
        <v/>
      </c>
      <c r="N42" s="63" t="str">
        <f>IF(AND('Matriz de Riesgos'!$AF$49="Baja",'Matriz de Riesgos'!$AH$49="Leve"),CONCATENATE("R7C",'Matriz de Riesgos'!$U$49),"")</f>
        <v/>
      </c>
      <c r="O42" s="64" t="str">
        <f>IF(AND('Matriz de Riesgos'!$AF$50="Baja",'Matriz de Riesgos'!$AH$50="Leve"),CONCATENATE("R7C",'Matriz de Riesgos'!$U$50),"")</f>
        <v/>
      </c>
      <c r="P42" s="53" t="str">
        <f>IF(AND('Matriz de Riesgos'!$AF$45="Baja",'Matriz de Riesgos'!$AH$45="Menor"),CONCATENATE("R7C",'Matriz de Riesgos'!$U$45),"")</f>
        <v/>
      </c>
      <c r="Q42" s="54" t="str">
        <f>IF(AND('Matriz de Riesgos'!$AF$46="Baja",'Matriz de Riesgos'!$AH$46="Menor"),CONCATENATE("R7C",'Matriz de Riesgos'!$U$46),"")</f>
        <v/>
      </c>
      <c r="R42" s="54" t="str">
        <f>IF(AND('Matriz de Riesgos'!$AF$47="Baja",'Matriz de Riesgos'!$AH$47="Menor"),CONCATENATE("R7C",'Matriz de Riesgos'!$U$47),"")</f>
        <v/>
      </c>
      <c r="S42" s="54" t="str">
        <f>IF(AND('Matriz de Riesgos'!$AF$48="Baja",'Matriz de Riesgos'!$AH$48="Menor"),CONCATENATE("R7C",'Matriz de Riesgos'!$U$48),"")</f>
        <v/>
      </c>
      <c r="T42" s="54" t="str">
        <f>IF(AND('Matriz de Riesgos'!$AF$49="Baja",'Matriz de Riesgos'!$AH$49="Menor"),CONCATENATE("R7C",'Matriz de Riesgos'!$U$49),"")</f>
        <v/>
      </c>
      <c r="U42" s="55" t="str">
        <f>IF(AND('Matriz de Riesgos'!$AF$50="Baja",'Matriz de Riesgos'!$AH$50="Menor"),CONCATENATE("R7C",'Matriz de Riesgos'!$U$50),"")</f>
        <v/>
      </c>
      <c r="V42" s="53" t="str">
        <f>IF(AND('Matriz de Riesgos'!$AF$45="Baja",'Matriz de Riesgos'!$AH$45="Moderado"),CONCATENATE("R7C",'Matriz de Riesgos'!$U$45),"")</f>
        <v/>
      </c>
      <c r="W42" s="54" t="str">
        <f>IF(AND('Matriz de Riesgos'!$AF$46="Baja",'Matriz de Riesgos'!$AH$46="Moderado"),CONCATENATE("R7C",'Matriz de Riesgos'!$U$46),"")</f>
        <v/>
      </c>
      <c r="X42" s="54" t="str">
        <f>IF(AND('Matriz de Riesgos'!$AF$47="Baja",'Matriz de Riesgos'!$AH$47="Moderado"),CONCATENATE("R7C",'Matriz de Riesgos'!$U$47),"")</f>
        <v/>
      </c>
      <c r="Y42" s="54" t="str">
        <f>IF(AND('Matriz de Riesgos'!$AF$48="Baja",'Matriz de Riesgos'!$AH$48="Moderado"),CONCATENATE("R7C",'Matriz de Riesgos'!$U$48),"")</f>
        <v/>
      </c>
      <c r="Z42" s="54" t="str">
        <f>IF(AND('Matriz de Riesgos'!$AF$49="Baja",'Matriz de Riesgos'!$AH$49="Moderado"),CONCATENATE("R7C",'Matriz de Riesgos'!$U$49),"")</f>
        <v/>
      </c>
      <c r="AA42" s="55" t="str">
        <f>IF(AND('Matriz de Riesgos'!$AF$50="Baja",'Matriz de Riesgos'!$AH$50="Moderado"),CONCATENATE("R7C",'Matriz de Riesgos'!$U$50),"")</f>
        <v/>
      </c>
      <c r="AB42" s="38" t="str">
        <f>IF(AND('Matriz de Riesgos'!$AF$45="Baja",'Matriz de Riesgos'!$AH$45="Mayor"),CONCATENATE("R7C",'Matriz de Riesgos'!$U$45),"")</f>
        <v/>
      </c>
      <c r="AC42" s="39" t="str">
        <f>IF(AND('Matriz de Riesgos'!$AF$46="Baja",'Matriz de Riesgos'!$AH$46="Mayor"),CONCATENATE("R7C",'Matriz de Riesgos'!$U$46),"")</f>
        <v/>
      </c>
      <c r="AD42" s="39" t="str">
        <f>IF(AND('Matriz de Riesgos'!$AF$47="Baja",'Matriz de Riesgos'!$AH$47="Mayor"),CONCATENATE("R7C",'Matriz de Riesgos'!$U$47),"")</f>
        <v/>
      </c>
      <c r="AE42" s="39" t="str">
        <f>IF(AND('Matriz de Riesgos'!$AF$48="Baja",'Matriz de Riesgos'!$AH$48="Mayor"),CONCATENATE("R7C",'Matriz de Riesgos'!$U$48),"")</f>
        <v/>
      </c>
      <c r="AF42" s="39" t="str">
        <f>IF(AND('Matriz de Riesgos'!$AF$49="Baja",'Matriz de Riesgos'!$AH$49="Mayor"),CONCATENATE("R7C",'Matriz de Riesgos'!$U$49),"")</f>
        <v/>
      </c>
      <c r="AG42" s="40" t="str">
        <f>IF(AND('Matriz de Riesgos'!$AF$50="Baja",'Matriz de Riesgos'!$AH$50="Mayor"),CONCATENATE("R7C",'Matriz de Riesgos'!$U$50),"")</f>
        <v/>
      </c>
      <c r="AH42" s="41" t="str">
        <f>IF(AND('Matriz de Riesgos'!$AF$45="Baja",'Matriz de Riesgos'!$AH$45="Catastrófico"),CONCATENATE("R7C",'Matriz de Riesgos'!$U$45),"")</f>
        <v/>
      </c>
      <c r="AI42" s="42" t="str">
        <f>IF(AND('Matriz de Riesgos'!$AF$46="Baja",'Matriz de Riesgos'!$AH$46="Catastrófico"),CONCATENATE("R7C",'Matriz de Riesgos'!$U$46),"")</f>
        <v/>
      </c>
      <c r="AJ42" s="42" t="str">
        <f>IF(AND('Matriz de Riesgos'!$AF$47="Baja",'Matriz de Riesgos'!$AH$47="Catastrófico"),CONCATENATE("R7C",'Matriz de Riesgos'!$U$47),"")</f>
        <v/>
      </c>
      <c r="AK42" s="42" t="str">
        <f>IF(AND('Matriz de Riesgos'!$AF$48="Baja",'Matriz de Riesgos'!$AH$48="Catastrófico"),CONCATENATE("R7C",'Matriz de Riesgos'!$U$48),"")</f>
        <v/>
      </c>
      <c r="AL42" s="42" t="str">
        <f>IF(AND('Matriz de Riesgos'!$AF$49="Baja",'Matriz de Riesgos'!$AH$49="Catastrófico"),CONCATENATE("R7C",'Matriz de Riesgos'!$U$49),"")</f>
        <v/>
      </c>
      <c r="AM42" s="43" t="str">
        <f>IF(AND('Matriz de Riesgos'!$AF$50="Baja",'Matriz de Riesgos'!$AH$50="Catastrófico"),CONCATENATE("R7C",'Matriz de Riesgos'!$U$50),"")</f>
        <v/>
      </c>
      <c r="AN42" s="69"/>
      <c r="AO42" s="628"/>
      <c r="AP42" s="629"/>
      <c r="AQ42" s="629"/>
      <c r="AR42" s="629"/>
      <c r="AS42" s="629"/>
      <c r="AT42" s="630"/>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x14ac:dyDescent="0.25">
      <c r="A43" s="69"/>
      <c r="B43" s="509"/>
      <c r="C43" s="509"/>
      <c r="D43" s="510"/>
      <c r="E43" s="608"/>
      <c r="F43" s="607"/>
      <c r="G43" s="607"/>
      <c r="H43" s="607"/>
      <c r="I43" s="607"/>
      <c r="J43" s="62" t="str">
        <f>IF(AND('Matriz de Riesgos'!$AF$51="Baja",'Matriz de Riesgos'!$AH$51="Leve"),CONCATENATE("R8C",'Matriz de Riesgos'!$U$51),"")</f>
        <v/>
      </c>
      <c r="K43" s="63" t="str">
        <f>IF(AND('Matriz de Riesgos'!$AF$52="Baja",'Matriz de Riesgos'!$AH$52="Leve"),CONCATENATE("R8C",'Matriz de Riesgos'!$U$52),"")</f>
        <v/>
      </c>
      <c r="L43" s="63" t="str">
        <f>IF(AND('Matriz de Riesgos'!$AF$53="Baja",'Matriz de Riesgos'!$AH$53="Leve"),CONCATENATE("R8C",'Matriz de Riesgos'!$U$53),"")</f>
        <v/>
      </c>
      <c r="M43" s="63" t="str">
        <f>IF(AND('Matriz de Riesgos'!$AF$54="Baja",'Matriz de Riesgos'!$AH$54="Leve"),CONCATENATE("R8C",'Matriz de Riesgos'!$U$54),"")</f>
        <v/>
      </c>
      <c r="N43" s="63" t="str">
        <f>IF(AND('Matriz de Riesgos'!$AF$55="Baja",'Matriz de Riesgos'!$AH$55="Leve"),CONCATENATE("R8C",'Matriz de Riesgos'!$U$55),"")</f>
        <v/>
      </c>
      <c r="O43" s="64" t="str">
        <f>IF(AND('Matriz de Riesgos'!$AF$56="Baja",'Matriz de Riesgos'!$AH$56="Leve"),CONCATENATE("R8C",'Matriz de Riesgos'!$U$56),"")</f>
        <v/>
      </c>
      <c r="P43" s="53" t="str">
        <f>IF(AND('Matriz de Riesgos'!$AF$51="Baja",'Matriz de Riesgos'!$AH$51="Menor"),CONCATENATE("R8C",'Matriz de Riesgos'!$U$51),"")</f>
        <v/>
      </c>
      <c r="Q43" s="54" t="str">
        <f>IF(AND('Matriz de Riesgos'!$AF$52="Baja",'Matriz de Riesgos'!$AH$52="Menor"),CONCATENATE("R8C",'Matriz de Riesgos'!$U$52),"")</f>
        <v/>
      </c>
      <c r="R43" s="54" t="str">
        <f>IF(AND('Matriz de Riesgos'!$AF$53="Baja",'Matriz de Riesgos'!$AH$53="Menor"),CONCATENATE("R8C",'Matriz de Riesgos'!$U$53),"")</f>
        <v/>
      </c>
      <c r="S43" s="54" t="str">
        <f>IF(AND('Matriz de Riesgos'!$AF$54="Baja",'Matriz de Riesgos'!$AH$54="Menor"),CONCATENATE("R8C",'Matriz de Riesgos'!$U$54),"")</f>
        <v/>
      </c>
      <c r="T43" s="54" t="str">
        <f>IF(AND('Matriz de Riesgos'!$AF$55="Baja",'Matriz de Riesgos'!$AH$55="Menor"),CONCATENATE("R8C",'Matriz de Riesgos'!$U$55),"")</f>
        <v/>
      </c>
      <c r="U43" s="55" t="str">
        <f>IF(AND('Matriz de Riesgos'!$AF$56="Baja",'Matriz de Riesgos'!$AH$56="Menor"),CONCATENATE("R8C",'Matriz de Riesgos'!$U$56),"")</f>
        <v/>
      </c>
      <c r="V43" s="53" t="str">
        <f>IF(AND('Matriz de Riesgos'!$AF$51="Baja",'Matriz de Riesgos'!$AH$51="Moderado"),CONCATENATE("R8C",'Matriz de Riesgos'!$U$51),"")</f>
        <v/>
      </c>
      <c r="W43" s="54" t="str">
        <f>IF(AND('Matriz de Riesgos'!$AF$52="Baja",'Matriz de Riesgos'!$AH$52="Moderado"),CONCATENATE("R8C",'Matriz de Riesgos'!$U$52),"")</f>
        <v/>
      </c>
      <c r="X43" s="54" t="str">
        <f>IF(AND('Matriz de Riesgos'!$AF$53="Baja",'Matriz de Riesgos'!$AH$53="Moderado"),CONCATENATE("R8C",'Matriz de Riesgos'!$U$53),"")</f>
        <v/>
      </c>
      <c r="Y43" s="54" t="str">
        <f>IF(AND('Matriz de Riesgos'!$AF$54="Baja",'Matriz de Riesgos'!$AH$54="Moderado"),CONCATENATE("R8C",'Matriz de Riesgos'!$U$54),"")</f>
        <v/>
      </c>
      <c r="Z43" s="54" t="str">
        <f>IF(AND('Matriz de Riesgos'!$AF$55="Baja",'Matriz de Riesgos'!$AH$55="Moderado"),CONCATENATE("R8C",'Matriz de Riesgos'!$U$55),"")</f>
        <v/>
      </c>
      <c r="AA43" s="55" t="str">
        <f>IF(AND('Matriz de Riesgos'!$AF$56="Baja",'Matriz de Riesgos'!$AH$56="Moderado"),CONCATENATE("R8C",'Matriz de Riesgos'!$U$56),"")</f>
        <v/>
      </c>
      <c r="AB43" s="38" t="str">
        <f>IF(AND('Matriz de Riesgos'!$AF$51="Baja",'Matriz de Riesgos'!$AH$51="Mayor"),CONCATENATE("R8C",'Matriz de Riesgos'!$U$51),"")</f>
        <v/>
      </c>
      <c r="AC43" s="39" t="str">
        <f>IF(AND('Matriz de Riesgos'!$AF$52="Baja",'Matriz de Riesgos'!$AH$52="Mayor"),CONCATENATE("R8C",'Matriz de Riesgos'!$U$52),"")</f>
        <v/>
      </c>
      <c r="AD43" s="39" t="str">
        <f>IF(AND('Matriz de Riesgos'!$AF$53="Baja",'Matriz de Riesgos'!$AH$53="Mayor"),CONCATENATE("R8C",'Matriz de Riesgos'!$U$53),"")</f>
        <v/>
      </c>
      <c r="AE43" s="39" t="str">
        <f>IF(AND('Matriz de Riesgos'!$AF$54="Baja",'Matriz de Riesgos'!$AH$54="Mayor"),CONCATENATE("R8C",'Matriz de Riesgos'!$U$54),"")</f>
        <v/>
      </c>
      <c r="AF43" s="39" t="str">
        <f>IF(AND('Matriz de Riesgos'!$AF$55="Baja",'Matriz de Riesgos'!$AH$55="Mayor"),CONCATENATE("R8C",'Matriz de Riesgos'!$U$55),"")</f>
        <v/>
      </c>
      <c r="AG43" s="40" t="str">
        <f>IF(AND('Matriz de Riesgos'!$AF$56="Baja",'Matriz de Riesgos'!$AH$56="Mayor"),CONCATENATE("R8C",'Matriz de Riesgos'!$U$56),"")</f>
        <v/>
      </c>
      <c r="AH43" s="41" t="str">
        <f>IF(AND('Matriz de Riesgos'!$AF$51="Baja",'Matriz de Riesgos'!$AH$51="Catastrófico"),CONCATENATE("R8C",'Matriz de Riesgos'!$U$51),"")</f>
        <v/>
      </c>
      <c r="AI43" s="42" t="str">
        <f>IF(AND('Matriz de Riesgos'!$AF$52="Baja",'Matriz de Riesgos'!$AH$52="Catastrófico"),CONCATENATE("R8C",'Matriz de Riesgos'!$U$52),"")</f>
        <v/>
      </c>
      <c r="AJ43" s="42" t="str">
        <f>IF(AND('Matriz de Riesgos'!$AF$53="Baja",'Matriz de Riesgos'!$AH$53="Catastrófico"),CONCATENATE("R8C",'Matriz de Riesgos'!$U$53),"")</f>
        <v/>
      </c>
      <c r="AK43" s="42" t="str">
        <f>IF(AND('Matriz de Riesgos'!$AF$54="Baja",'Matriz de Riesgos'!$AH$54="Catastrófico"),CONCATENATE("R8C",'Matriz de Riesgos'!$U$54),"")</f>
        <v/>
      </c>
      <c r="AL43" s="42" t="str">
        <f>IF(AND('Matriz de Riesgos'!$AF$55="Baja",'Matriz de Riesgos'!$AH$55="Catastrófico"),CONCATENATE("R8C",'Matriz de Riesgos'!$U$55),"")</f>
        <v/>
      </c>
      <c r="AM43" s="43" t="str">
        <f>IF(AND('Matriz de Riesgos'!$AF$56="Baja",'Matriz de Riesgos'!$AH$56="Catastrófico"),CONCATENATE("R8C",'Matriz de Riesgos'!$U$56),"")</f>
        <v/>
      </c>
      <c r="AN43" s="69"/>
      <c r="AO43" s="628"/>
      <c r="AP43" s="629"/>
      <c r="AQ43" s="629"/>
      <c r="AR43" s="629"/>
      <c r="AS43" s="629"/>
      <c r="AT43" s="630"/>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x14ac:dyDescent="0.25">
      <c r="A44" s="69"/>
      <c r="B44" s="509"/>
      <c r="C44" s="509"/>
      <c r="D44" s="510"/>
      <c r="E44" s="608"/>
      <c r="F44" s="607"/>
      <c r="G44" s="607"/>
      <c r="H44" s="607"/>
      <c r="I44" s="607"/>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628"/>
      <c r="AP44" s="629"/>
      <c r="AQ44" s="629"/>
      <c r="AR44" s="629"/>
      <c r="AS44" s="629"/>
      <c r="AT44" s="630"/>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x14ac:dyDescent="0.3">
      <c r="A45" s="69"/>
      <c r="B45" s="509"/>
      <c r="C45" s="509"/>
      <c r="D45" s="510"/>
      <c r="E45" s="609"/>
      <c r="F45" s="610"/>
      <c r="G45" s="610"/>
      <c r="H45" s="610"/>
      <c r="I45" s="610"/>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631"/>
      <c r="AP45" s="632"/>
      <c r="AQ45" s="632"/>
      <c r="AR45" s="632"/>
      <c r="AS45" s="632"/>
      <c r="AT45" s="633"/>
    </row>
    <row r="46" spans="1:80" ht="46.5" customHeight="1" x14ac:dyDescent="0.35">
      <c r="A46" s="69"/>
      <c r="B46" s="509"/>
      <c r="C46" s="509"/>
      <c r="D46" s="510"/>
      <c r="E46" s="604" t="s">
        <v>951</v>
      </c>
      <c r="F46" s="605"/>
      <c r="G46" s="605"/>
      <c r="H46" s="605"/>
      <c r="I46" s="622"/>
      <c r="J46" s="59" t="str">
        <f>IF(AND('Matriz de Riesgos'!$AF$12="Muy Baja",'Matriz de Riesgos'!$AH$12="Leve"),CONCATENATE("R1C",'Matriz de Riesgos'!$U$12),"")</f>
        <v/>
      </c>
      <c r="K46" s="60" t="str">
        <f>IF(AND('Matriz de Riesgos'!$AF$13="Muy Baja",'Matriz de Riesgos'!$AH$13="Leve"),CONCATENATE("R1C",'Matriz de Riesgos'!$U$13),"")</f>
        <v/>
      </c>
      <c r="L46" s="60" t="e">
        <f>IF(AND('Matriz de Riesgos'!#REF!="Muy Baja",'Matriz de Riesgos'!#REF!="Leve"),CONCATENATE("R1C",'Matriz de Riesgos'!#REF!),"")</f>
        <v>#REF!</v>
      </c>
      <c r="M46" s="60" t="e">
        <f>IF(AND('Matriz de Riesgos'!#REF!="Muy Baja",'Matriz de Riesgos'!#REF!="Leve"),CONCATENATE("R1C",'Matriz de Riesgos'!#REF!),"")</f>
        <v>#REF!</v>
      </c>
      <c r="N46" s="60" t="e">
        <f>IF(AND('Matriz de Riesgos'!#REF!="Muy Baja",'Matriz de Riesgos'!#REF!="Leve"),CONCATENATE("R1C",'Matriz de Riesgos'!#REF!),"")</f>
        <v>#REF!</v>
      </c>
      <c r="O46" s="61" t="str">
        <f>IF(AND('Matriz de Riesgos'!$AF$14="Muy Baja",'Matriz de Riesgos'!$AH$14="Leve"),CONCATENATE("R1C",'Matriz de Riesgos'!$U$14),"")</f>
        <v/>
      </c>
      <c r="P46" s="59" t="str">
        <f>IF(AND('Matriz de Riesgos'!$AF$12="Muy Baja",'Matriz de Riesgos'!$AH$12="Menor"),CONCATENATE("R1C",'Matriz de Riesgos'!$U$12),"")</f>
        <v/>
      </c>
      <c r="Q46" s="60" t="str">
        <f>IF(AND('Matriz de Riesgos'!$AF$13="Muy Baja",'Matriz de Riesgos'!$AH$13="Menor"),CONCATENATE("R1C",'Matriz de Riesgos'!$U$13),"")</f>
        <v/>
      </c>
      <c r="R46" s="60" t="e">
        <f>IF(AND('Matriz de Riesgos'!#REF!="Muy Baja",'Matriz de Riesgos'!#REF!="Menor"),CONCATENATE("R1C",'Matriz de Riesgos'!#REF!),"")</f>
        <v>#REF!</v>
      </c>
      <c r="S46" s="60" t="e">
        <f>IF(AND('Matriz de Riesgos'!#REF!="Muy Baja",'Matriz de Riesgos'!#REF!="Menor"),CONCATENATE("R1C",'Matriz de Riesgos'!#REF!),"")</f>
        <v>#REF!</v>
      </c>
      <c r="T46" s="60" t="e">
        <f>IF(AND('Matriz de Riesgos'!#REF!="Muy Baja",'Matriz de Riesgos'!#REF!="Menor"),CONCATENATE("R1C",'Matriz de Riesgos'!#REF!),"")</f>
        <v>#REF!</v>
      </c>
      <c r="U46" s="61" t="str">
        <f>IF(AND('Matriz de Riesgos'!$AF$14="Muy Baja",'Matriz de Riesgos'!$AH$14="Menor"),CONCATENATE("R1C",'Matriz de Riesgos'!$U$14),"")</f>
        <v/>
      </c>
      <c r="V46" s="50" t="str">
        <f>IF(AND('Matriz de Riesgos'!$AF$12="Muy Baja",'Matriz de Riesgos'!$AH$12="Moderado"),CONCATENATE("R1C",'Matriz de Riesgos'!$U$12),"")</f>
        <v/>
      </c>
      <c r="W46" s="68" t="str">
        <f>IF(AND('Matriz de Riesgos'!$AF$13="Muy Baja",'Matriz de Riesgos'!$AH$13="Moderado"),CONCATENATE("R1C",'Matriz de Riesgos'!$U$13),"")</f>
        <v/>
      </c>
      <c r="X46" s="51" t="e">
        <f>IF(AND('Matriz de Riesgos'!#REF!="Muy Baja",'Matriz de Riesgos'!#REF!="Moderado"),CONCATENATE("R1C",'Matriz de Riesgos'!#REF!),"")</f>
        <v>#REF!</v>
      </c>
      <c r="Y46" s="51" t="e">
        <f>IF(AND('Matriz de Riesgos'!#REF!="Muy Baja",'Matriz de Riesgos'!#REF!="Moderado"),CONCATENATE("R1C",'Matriz de Riesgos'!#REF!),"")</f>
        <v>#REF!</v>
      </c>
      <c r="Z46" s="51" t="e">
        <f>IF(AND('Matriz de Riesgos'!#REF!="Muy Baja",'Matriz de Riesgos'!#REF!="Moderado"),CONCATENATE("R1C",'Matriz de Riesgos'!#REF!),"")</f>
        <v>#REF!</v>
      </c>
      <c r="AA46" s="52" t="str">
        <f>IF(AND('Matriz de Riesgos'!$AF$14="Muy Baja",'Matriz de Riesgos'!$AH$14="Moderado"),CONCATENATE("R1C",'Matriz de Riesgos'!$U$14),"")</f>
        <v/>
      </c>
      <c r="AB46" s="32" t="str">
        <f>IF(AND('Matriz de Riesgos'!$AF$12="Muy Baja",'Matriz de Riesgos'!$AH$12="Mayor"),CONCATENATE("R1C",'Matriz de Riesgos'!$U$12),"")</f>
        <v/>
      </c>
      <c r="AC46" s="33" t="str">
        <f>IF(AND('Matriz de Riesgos'!$AF$13="Muy Baja",'Matriz de Riesgos'!$AH$13="Mayor"),CONCATENATE("R1C",'Matriz de Riesgos'!$U$13),"")</f>
        <v/>
      </c>
      <c r="AD46" s="33" t="e">
        <f>IF(AND('Matriz de Riesgos'!#REF!="Muy Baja",'Matriz de Riesgos'!#REF!="Mayor"),CONCATENATE("R1C",'Matriz de Riesgos'!#REF!),"")</f>
        <v>#REF!</v>
      </c>
      <c r="AE46" s="33" t="e">
        <f>IF(AND('Matriz de Riesgos'!#REF!="Muy Baja",'Matriz de Riesgos'!#REF!="Mayor"),CONCATENATE("R1C",'Matriz de Riesgos'!#REF!),"")</f>
        <v>#REF!</v>
      </c>
      <c r="AF46" s="33" t="e">
        <f>IF(AND('Matriz de Riesgos'!#REF!="Muy Baja",'Matriz de Riesgos'!#REF!="Mayor"),CONCATENATE("R1C",'Matriz de Riesgos'!#REF!),"")</f>
        <v>#REF!</v>
      </c>
      <c r="AG46" s="34" t="str">
        <f>IF(AND('Matriz de Riesgos'!$AF$14="Muy Baja",'Matriz de Riesgos'!$AH$14="Mayor"),CONCATENATE("R1C",'Matriz de Riesgos'!$U$14),"")</f>
        <v/>
      </c>
      <c r="AH46" s="35" t="str">
        <f>IF(AND('Matriz de Riesgos'!$AF$12="Muy Baja",'Matriz de Riesgos'!$AH$12="Catastrófico"),CONCATENATE("R1C",'Matriz de Riesgos'!$U$12),"")</f>
        <v/>
      </c>
      <c r="AI46" s="36" t="str">
        <f>IF(AND('Matriz de Riesgos'!$AF$13="Muy Baja",'Matriz de Riesgos'!$AH$13="Catastrófico"),CONCATENATE("R1C",'Matriz de Riesgos'!$U$13),"")</f>
        <v/>
      </c>
      <c r="AJ46" s="36" t="e">
        <f>IF(AND('Matriz de Riesgos'!#REF!="Muy Baja",'Matriz de Riesgos'!#REF!="Catastrófico"),CONCATENATE("R1C",'Matriz de Riesgos'!#REF!),"")</f>
        <v>#REF!</v>
      </c>
      <c r="AK46" s="36" t="e">
        <f>IF(AND('Matriz de Riesgos'!#REF!="Muy Baja",'Matriz de Riesgos'!#REF!="Catastrófico"),CONCATENATE("R1C",'Matriz de Riesgos'!#REF!),"")</f>
        <v>#REF!</v>
      </c>
      <c r="AL46" s="36" t="e">
        <f>IF(AND('Matriz de Riesgos'!#REF!="Muy Baja",'Matriz de Riesgos'!#REF!="Catastrófico"),CONCATENATE("R1C",'Matriz de Riesgos'!#REF!),"")</f>
        <v>#REF!</v>
      </c>
      <c r="AM46" s="37" t="str">
        <f>IF(AND('Matriz de Riesgos'!$AF$14="Muy Baja",'Matriz de Riesgos'!$AH$14="Catastrófico"),CONCATENATE("R1C",'Matriz de Riesgos'!$U$14),"")</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x14ac:dyDescent="0.25">
      <c r="A47" s="69"/>
      <c r="B47" s="509"/>
      <c r="C47" s="509"/>
      <c r="D47" s="510"/>
      <c r="E47" s="606"/>
      <c r="F47" s="607"/>
      <c r="G47" s="607"/>
      <c r="H47" s="607"/>
      <c r="I47" s="623"/>
      <c r="J47" s="62" t="str">
        <f>IF(AND('Matriz de Riesgos'!$AF$15="Muy Baja",'Matriz de Riesgos'!$AH$15="Leve"),CONCATENATE("R2C",'Matriz de Riesgos'!$U$15),"")</f>
        <v/>
      </c>
      <c r="K47" s="63" t="str">
        <f>IF(AND('Matriz de Riesgos'!$AF$16="Muy Baja",'Matriz de Riesgos'!$AH$16="Leve"),CONCATENATE("R2C",'Matriz de Riesgos'!$U$16),"")</f>
        <v/>
      </c>
      <c r="L47" s="63" t="str">
        <f>IF(AND('Matriz de Riesgos'!$AF$17="Muy Baja",'Matriz de Riesgos'!$AH$17="Leve"),CONCATENATE("R2C",'Matriz de Riesgos'!$U$17),"")</f>
        <v/>
      </c>
      <c r="M47" s="63" t="str">
        <f>IF(AND('Matriz de Riesgos'!$AF$18="Muy Baja",'Matriz de Riesgos'!$AH$18="Leve"),CONCATENATE("R2C",'Matriz de Riesgos'!$U$18),"")</f>
        <v/>
      </c>
      <c r="N47" s="63" t="str">
        <f>IF(AND('Matriz de Riesgos'!$AF$19="Muy Baja",'Matriz de Riesgos'!$AH$19="Leve"),CONCATENATE("R2C",'Matriz de Riesgos'!$U$19),"")</f>
        <v/>
      </c>
      <c r="O47" s="64" t="str">
        <f>IF(AND('Matriz de Riesgos'!$AF$20="Muy Baja",'Matriz de Riesgos'!$AH$20="Leve"),CONCATENATE("R2C",'Matriz de Riesgos'!$U$20),"")</f>
        <v/>
      </c>
      <c r="P47" s="62" t="str">
        <f>IF(AND('Matriz de Riesgos'!$AF$15="Muy Baja",'Matriz de Riesgos'!$AH$15="Menor"),CONCATENATE("R2C",'Matriz de Riesgos'!$U$15),"")</f>
        <v/>
      </c>
      <c r="Q47" s="63" t="str">
        <f>IF(AND('Matriz de Riesgos'!$AF$16="Muy Baja",'Matriz de Riesgos'!$AH$16="Menor"),CONCATENATE("R2C",'Matriz de Riesgos'!$U$16),"")</f>
        <v/>
      </c>
      <c r="R47" s="63" t="str">
        <f>IF(AND('Matriz de Riesgos'!$AF$17="Muy Baja",'Matriz de Riesgos'!$AH$17="Menor"),CONCATENATE("R2C",'Matriz de Riesgos'!$U$17),"")</f>
        <v/>
      </c>
      <c r="S47" s="63" t="str">
        <f>IF(AND('Matriz de Riesgos'!$AF$18="Muy Baja",'Matriz de Riesgos'!$AH$18="Menor"),CONCATENATE("R2C",'Matriz de Riesgos'!$U$18),"")</f>
        <v/>
      </c>
      <c r="T47" s="63" t="str">
        <f>IF(AND('Matriz de Riesgos'!$AF$19="Muy Baja",'Matriz de Riesgos'!$AH$19="Menor"),CONCATENATE("R2C",'Matriz de Riesgos'!$U$19),"")</f>
        <v/>
      </c>
      <c r="U47" s="64" t="str">
        <f>IF(AND('Matriz de Riesgos'!$AF$20="Muy Baja",'Matriz de Riesgos'!$AH$20="Menor"),CONCATENATE("R2C",'Matriz de Riesgos'!$U$20),"")</f>
        <v/>
      </c>
      <c r="V47" s="53" t="str">
        <f>IF(AND('Matriz de Riesgos'!$AF$15="Muy Baja",'Matriz de Riesgos'!$AH$15="Moderado"),CONCATENATE("R2C",'Matriz de Riesgos'!$U$15),"")</f>
        <v/>
      </c>
      <c r="W47" s="54" t="str">
        <f>IF(AND('Matriz de Riesgos'!$AF$16="Muy Baja",'Matriz de Riesgos'!$AH$16="Moderado"),CONCATENATE("R2C",'Matriz de Riesgos'!$U$16),"")</f>
        <v/>
      </c>
      <c r="X47" s="54" t="str">
        <f>IF(AND('Matriz de Riesgos'!$AF$17="Muy Baja",'Matriz de Riesgos'!$AH$17="Moderado"),CONCATENATE("R2C",'Matriz de Riesgos'!$U$17),"")</f>
        <v/>
      </c>
      <c r="Y47" s="54" t="str">
        <f>IF(AND('Matriz de Riesgos'!$AF$18="Muy Baja",'Matriz de Riesgos'!$AH$18="Moderado"),CONCATENATE("R2C",'Matriz de Riesgos'!$U$18),"")</f>
        <v/>
      </c>
      <c r="Z47" s="54" t="str">
        <f>IF(AND('Matriz de Riesgos'!$AF$19="Muy Baja",'Matriz de Riesgos'!$AH$19="Moderado"),CONCATENATE("R2C",'Matriz de Riesgos'!$U$19),"")</f>
        <v/>
      </c>
      <c r="AA47" s="55" t="str">
        <f>IF(AND('Matriz de Riesgos'!$AF$20="Muy Baja",'Matriz de Riesgos'!$AH$20="Moderado"),CONCATENATE("R2C",'Matriz de Riesgos'!$U$20),"")</f>
        <v/>
      </c>
      <c r="AB47" s="38" t="str">
        <f>IF(AND('Matriz de Riesgos'!$AF$15="Muy Baja",'Matriz de Riesgos'!$AH$15="Mayor"),CONCATENATE("R2C",'Matriz de Riesgos'!$U$15),"")</f>
        <v/>
      </c>
      <c r="AC47" s="39" t="str">
        <f>IF(AND('Matriz de Riesgos'!$AF$16="Muy Baja",'Matriz de Riesgos'!$AH$16="Mayor"),CONCATENATE("R2C",'Matriz de Riesgos'!$U$16),"")</f>
        <v/>
      </c>
      <c r="AD47" s="39" t="str">
        <f>IF(AND('Matriz de Riesgos'!$AF$17="Muy Baja",'Matriz de Riesgos'!$AH$17="Mayor"),CONCATENATE("R2C",'Matriz de Riesgos'!$U$17),"")</f>
        <v/>
      </c>
      <c r="AE47" s="39" t="str">
        <f>IF(AND('Matriz de Riesgos'!$AF$18="Muy Baja",'Matriz de Riesgos'!$AH$18="Mayor"),CONCATENATE("R2C",'Matriz de Riesgos'!$U$18),"")</f>
        <v/>
      </c>
      <c r="AF47" s="39" t="str">
        <f>IF(AND('Matriz de Riesgos'!$AF$19="Muy Baja",'Matriz de Riesgos'!$AH$19="Mayor"),CONCATENATE("R2C",'Matriz de Riesgos'!$U$19),"")</f>
        <v/>
      </c>
      <c r="AG47" s="40" t="str">
        <f>IF(AND('Matriz de Riesgos'!$AF$20="Muy Baja",'Matriz de Riesgos'!$AH$20="Mayor"),CONCATENATE("R2C",'Matriz de Riesgos'!$U$20),"")</f>
        <v/>
      </c>
      <c r="AH47" s="41" t="str">
        <f>IF(AND('Matriz de Riesgos'!$AF$15="Muy Baja",'Matriz de Riesgos'!$AH$15="Catastrófico"),CONCATENATE("R2C",'Matriz de Riesgos'!$U$15),"")</f>
        <v/>
      </c>
      <c r="AI47" s="42" t="str">
        <f>IF(AND('Matriz de Riesgos'!$AF$16="Muy Baja",'Matriz de Riesgos'!$AH$16="Catastrófico"),CONCATENATE("R2C",'Matriz de Riesgos'!$U$16),"")</f>
        <v/>
      </c>
      <c r="AJ47" s="42" t="str">
        <f>IF(AND('Matriz de Riesgos'!$AF$17="Muy Baja",'Matriz de Riesgos'!$AH$17="Catastrófico"),CONCATENATE("R2C",'Matriz de Riesgos'!$U$17),"")</f>
        <v/>
      </c>
      <c r="AK47" s="42" t="str">
        <f>IF(AND('Matriz de Riesgos'!$AF$18="Muy Baja",'Matriz de Riesgos'!$AH$18="Catastrófico"),CONCATENATE("R2C",'Matriz de Riesgos'!$U$18),"")</f>
        <v/>
      </c>
      <c r="AL47" s="42" t="str">
        <f>IF(AND('Matriz de Riesgos'!$AF$19="Muy Baja",'Matriz de Riesgos'!$AH$19="Catastrófico"),CONCATENATE("R2C",'Matriz de Riesgos'!$U$19),"")</f>
        <v/>
      </c>
      <c r="AM47" s="43" t="str">
        <f>IF(AND('Matriz de Riesgos'!$AF$20="Muy Baja",'Matriz de Riesgos'!$AH$20="Catastrófico"),CONCATENATE("R2C",'Matriz de Riesgos'!$U$20),"")</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x14ac:dyDescent="0.25">
      <c r="A48" s="69"/>
      <c r="B48" s="509"/>
      <c r="C48" s="509"/>
      <c r="D48" s="510"/>
      <c r="E48" s="606"/>
      <c r="F48" s="607"/>
      <c r="G48" s="607"/>
      <c r="H48" s="607"/>
      <c r="I48" s="623"/>
      <c r="J48" s="62" t="str">
        <f>IF(AND('Matriz de Riesgos'!$AF$21="Muy Baja",'Matriz de Riesgos'!$AH$21="Leve"),CONCATENATE("R3C",'Matriz de Riesgos'!$U$21),"")</f>
        <v/>
      </c>
      <c r="K48" s="63" t="str">
        <f>IF(AND('Matriz de Riesgos'!$AF$22="Muy Baja",'Matriz de Riesgos'!$AH$22="Leve"),CONCATENATE("R3C",'Matriz de Riesgos'!$U$22),"")</f>
        <v/>
      </c>
      <c r="L48" s="63" t="str">
        <f>IF(AND('Matriz de Riesgos'!$AF$23="Muy Baja",'Matriz de Riesgos'!$AH$23="Leve"),CONCATENATE("R3C",'Matriz de Riesgos'!$U$23),"")</f>
        <v/>
      </c>
      <c r="M48" s="63" t="str">
        <f>IF(AND('Matriz de Riesgos'!$AF$24="Muy Baja",'Matriz de Riesgos'!$AH$24="Leve"),CONCATENATE("R3C",'Matriz de Riesgos'!$U$24),"")</f>
        <v/>
      </c>
      <c r="N48" s="63" t="str">
        <f>IF(AND('Matriz de Riesgos'!$AF$25="Muy Baja",'Matriz de Riesgos'!$AH$25="Leve"),CONCATENATE("R3C",'Matriz de Riesgos'!$U$25),"")</f>
        <v/>
      </c>
      <c r="O48" s="64" t="str">
        <f>IF(AND('Matriz de Riesgos'!$AF$26="Muy Baja",'Matriz de Riesgos'!$AH$26="Leve"),CONCATENATE("R3C",'Matriz de Riesgos'!$U$26),"")</f>
        <v/>
      </c>
      <c r="P48" s="62" t="str">
        <f>IF(AND('Matriz de Riesgos'!$AF$21="Muy Baja",'Matriz de Riesgos'!$AH$21="Menor"),CONCATENATE("R3C",'Matriz de Riesgos'!$U$21),"")</f>
        <v/>
      </c>
      <c r="Q48" s="63" t="str">
        <f>IF(AND('Matriz de Riesgos'!$AF$22="Muy Baja",'Matriz de Riesgos'!$AH$22="Menor"),CONCATENATE("R3C",'Matriz de Riesgos'!$U$22),"")</f>
        <v/>
      </c>
      <c r="R48" s="63" t="str">
        <f>IF(AND('Matriz de Riesgos'!$AF$23="Muy Baja",'Matriz de Riesgos'!$AH$23="Menor"),CONCATENATE("R3C",'Matriz de Riesgos'!$U$23),"")</f>
        <v/>
      </c>
      <c r="S48" s="63" t="str">
        <f>IF(AND('Matriz de Riesgos'!$AF$24="Muy Baja",'Matriz de Riesgos'!$AH$24="Menor"),CONCATENATE("R3C",'Matriz de Riesgos'!$U$24),"")</f>
        <v/>
      </c>
      <c r="T48" s="63" t="str">
        <f>IF(AND('Matriz de Riesgos'!$AF$25="Muy Baja",'Matriz de Riesgos'!$AH$25="Menor"),CONCATENATE("R3C",'Matriz de Riesgos'!$U$25),"")</f>
        <v/>
      </c>
      <c r="U48" s="64" t="str">
        <f>IF(AND('Matriz de Riesgos'!$AF$26="Muy Baja",'Matriz de Riesgos'!$AH$26="Menor"),CONCATENATE("R3C",'Matriz de Riesgos'!$U$26),"")</f>
        <v/>
      </c>
      <c r="V48" s="53" t="str">
        <f>IF(AND('Matriz de Riesgos'!$AF$21="Muy Baja",'Matriz de Riesgos'!$AH$21="Moderado"),CONCATENATE("R3C",'Matriz de Riesgos'!$U$21),"")</f>
        <v/>
      </c>
      <c r="W48" s="54" t="str">
        <f>IF(AND('Matriz de Riesgos'!$AF$22="Muy Baja",'Matriz de Riesgos'!$AH$22="Moderado"),CONCATENATE("R3C",'Matriz de Riesgos'!$U$22),"")</f>
        <v/>
      </c>
      <c r="X48" s="54" t="str">
        <f>IF(AND('Matriz de Riesgos'!$AF$23="Muy Baja",'Matriz de Riesgos'!$AH$23="Moderado"),CONCATENATE("R3C",'Matriz de Riesgos'!$U$23),"")</f>
        <v/>
      </c>
      <c r="Y48" s="54" t="str">
        <f>IF(AND('Matriz de Riesgos'!$AF$24="Muy Baja",'Matriz de Riesgos'!$AH$24="Moderado"),CONCATENATE("R3C",'Matriz de Riesgos'!$U$24),"")</f>
        <v/>
      </c>
      <c r="Z48" s="54" t="str">
        <f>IF(AND('Matriz de Riesgos'!$AF$25="Muy Baja",'Matriz de Riesgos'!$AH$25="Moderado"),CONCATENATE("R3C",'Matriz de Riesgos'!$U$25),"")</f>
        <v/>
      </c>
      <c r="AA48" s="55" t="str">
        <f>IF(AND('Matriz de Riesgos'!$AF$26="Muy Baja",'Matriz de Riesgos'!$AH$26="Moderado"),CONCATENATE("R3C",'Matriz de Riesgos'!$U$26),"")</f>
        <v/>
      </c>
      <c r="AB48" s="38" t="str">
        <f>IF(AND('Matriz de Riesgos'!$AF$21="Muy Baja",'Matriz de Riesgos'!$AH$21="Mayor"),CONCATENATE("R3C",'Matriz de Riesgos'!$U$21),"")</f>
        <v/>
      </c>
      <c r="AC48" s="39" t="str">
        <f>IF(AND('Matriz de Riesgos'!$AF$22="Muy Baja",'Matriz de Riesgos'!$AH$22="Mayor"),CONCATENATE("R3C",'Matriz de Riesgos'!$U$22),"")</f>
        <v/>
      </c>
      <c r="AD48" s="39" t="str">
        <f>IF(AND('Matriz de Riesgos'!$AF$23="Muy Baja",'Matriz de Riesgos'!$AH$23="Mayor"),CONCATENATE("R3C",'Matriz de Riesgos'!$U$23),"")</f>
        <v/>
      </c>
      <c r="AE48" s="39" t="str">
        <f>IF(AND('Matriz de Riesgos'!$AF$24="Muy Baja",'Matriz de Riesgos'!$AH$24="Mayor"),CONCATENATE("R3C",'Matriz de Riesgos'!$U$24),"")</f>
        <v/>
      </c>
      <c r="AF48" s="39" t="str">
        <f>IF(AND('Matriz de Riesgos'!$AF$25="Muy Baja",'Matriz de Riesgos'!$AH$25="Mayor"),CONCATENATE("R3C",'Matriz de Riesgos'!$U$25),"")</f>
        <v/>
      </c>
      <c r="AG48" s="40" t="str">
        <f>IF(AND('Matriz de Riesgos'!$AF$26="Muy Baja",'Matriz de Riesgos'!$AH$26="Mayor"),CONCATENATE("R3C",'Matriz de Riesgos'!$U$26),"")</f>
        <v/>
      </c>
      <c r="AH48" s="41" t="str">
        <f>IF(AND('Matriz de Riesgos'!$AF$21="Muy Baja",'Matriz de Riesgos'!$AH$21="Catastrófico"),CONCATENATE("R3C",'Matriz de Riesgos'!$U$21),"")</f>
        <v/>
      </c>
      <c r="AI48" s="42" t="str">
        <f>IF(AND('Matriz de Riesgos'!$AF$22="Muy Baja",'Matriz de Riesgos'!$AH$22="Catastrófico"),CONCATENATE("R3C",'Matriz de Riesgos'!$U$22),"")</f>
        <v/>
      </c>
      <c r="AJ48" s="42" t="str">
        <f>IF(AND('Matriz de Riesgos'!$AF$23="Muy Baja",'Matriz de Riesgos'!$AH$23="Catastrófico"),CONCATENATE("R3C",'Matriz de Riesgos'!$U$23),"")</f>
        <v/>
      </c>
      <c r="AK48" s="42" t="str">
        <f>IF(AND('Matriz de Riesgos'!$AF$24="Muy Baja",'Matriz de Riesgos'!$AH$24="Catastrófico"),CONCATENATE("R3C",'Matriz de Riesgos'!$U$24),"")</f>
        <v/>
      </c>
      <c r="AL48" s="42" t="str">
        <f>IF(AND('Matriz de Riesgos'!$AF$25="Muy Baja",'Matriz de Riesgos'!$AH$25="Catastrófico"),CONCATENATE("R3C",'Matriz de Riesgos'!$U$25),"")</f>
        <v/>
      </c>
      <c r="AM48" s="43" t="str">
        <f>IF(AND('Matriz de Riesgos'!$AF$26="Muy Baja",'Matriz de Riesgos'!$AH$26="Catastrófico"),CONCATENATE("R3C",'Matriz de Riesgos'!$U$26),"")</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x14ac:dyDescent="0.25">
      <c r="A49" s="69"/>
      <c r="B49" s="509"/>
      <c r="C49" s="509"/>
      <c r="D49" s="510"/>
      <c r="E49" s="608"/>
      <c r="F49" s="607"/>
      <c r="G49" s="607"/>
      <c r="H49" s="607"/>
      <c r="I49" s="623"/>
      <c r="J49" s="62" t="str">
        <f>IF(AND('Matriz de Riesgos'!$AF$27="Muy Baja",'Matriz de Riesgos'!$AH$27="Leve"),CONCATENATE("R4C",'Matriz de Riesgos'!$U$27),"")</f>
        <v/>
      </c>
      <c r="K49" s="63" t="str">
        <f>IF(AND('Matriz de Riesgos'!$AF$28="Muy Baja",'Matriz de Riesgos'!$AH$28="Leve"),CONCATENATE("R4C",'Matriz de Riesgos'!$U$28),"")</f>
        <v/>
      </c>
      <c r="L49" s="63" t="str">
        <f>IF(AND('Matriz de Riesgos'!$AF$29="Muy Baja",'Matriz de Riesgos'!$AH$29="Leve"),CONCATENATE("R4C",'Matriz de Riesgos'!$U$29),"")</f>
        <v/>
      </c>
      <c r="M49" s="63" t="str">
        <f>IF(AND('Matriz de Riesgos'!$AF$30="Muy Baja",'Matriz de Riesgos'!$AH$30="Leve"),CONCATENATE("R4C",'Matriz de Riesgos'!$U$30),"")</f>
        <v/>
      </c>
      <c r="N49" s="63" t="str">
        <f>IF(AND('Matriz de Riesgos'!$AF$31="Muy Baja",'Matriz de Riesgos'!$AH$31="Leve"),CONCATENATE("R4C",'Matriz de Riesgos'!$U$31),"")</f>
        <v/>
      </c>
      <c r="O49" s="64" t="str">
        <f>IF(AND('Matriz de Riesgos'!$AF$32="Muy Baja",'Matriz de Riesgos'!$AH$32="Leve"),CONCATENATE("R4C",'Matriz de Riesgos'!$U$32),"")</f>
        <v/>
      </c>
      <c r="P49" s="62" t="str">
        <f>IF(AND('Matriz de Riesgos'!$AF$27="Muy Baja",'Matriz de Riesgos'!$AH$27="Menor"),CONCATENATE("R4C",'Matriz de Riesgos'!$U$27),"")</f>
        <v/>
      </c>
      <c r="Q49" s="63" t="str">
        <f>IF(AND('Matriz de Riesgos'!$AF$28="Muy Baja",'Matriz de Riesgos'!$AH$28="Menor"),CONCATENATE("R4C",'Matriz de Riesgos'!$U$28),"")</f>
        <v/>
      </c>
      <c r="R49" s="63" t="str">
        <f>IF(AND('Matriz de Riesgos'!$AF$29="Muy Baja",'Matriz de Riesgos'!$AH$29="Menor"),CONCATENATE("R4C",'Matriz de Riesgos'!$U$29),"")</f>
        <v/>
      </c>
      <c r="S49" s="63" t="str">
        <f>IF(AND('Matriz de Riesgos'!$AF$30="Muy Baja",'Matriz de Riesgos'!$AH$30="Menor"),CONCATENATE("R4C",'Matriz de Riesgos'!$U$30),"")</f>
        <v/>
      </c>
      <c r="T49" s="63" t="str">
        <f>IF(AND('Matriz de Riesgos'!$AF$31="Muy Baja",'Matriz de Riesgos'!$AH$31="Menor"),CONCATENATE("R4C",'Matriz de Riesgos'!$U$31),"")</f>
        <v/>
      </c>
      <c r="U49" s="64" t="str">
        <f>IF(AND('Matriz de Riesgos'!$AF$32="Muy Baja",'Matriz de Riesgos'!$AH$32="Menor"),CONCATENATE("R4C",'Matriz de Riesgos'!$U$32),"")</f>
        <v/>
      </c>
      <c r="V49" s="53" t="str">
        <f>IF(AND('Matriz de Riesgos'!$AF$27="Muy Baja",'Matriz de Riesgos'!$AH$27="Moderado"),CONCATENATE("R4C",'Matriz de Riesgos'!$U$27),"")</f>
        <v/>
      </c>
      <c r="W49" s="54" t="str">
        <f>IF(AND('Matriz de Riesgos'!$AF$28="Muy Baja",'Matriz de Riesgos'!$AH$28="Moderado"),CONCATENATE("R4C",'Matriz de Riesgos'!$U$28),"")</f>
        <v/>
      </c>
      <c r="X49" s="54" t="str">
        <f>IF(AND('Matriz de Riesgos'!$AF$29="Muy Baja",'Matriz de Riesgos'!$AH$29="Moderado"),CONCATENATE("R4C",'Matriz de Riesgos'!$U$29),"")</f>
        <v/>
      </c>
      <c r="Y49" s="54" t="str">
        <f>IF(AND('Matriz de Riesgos'!$AF$30="Muy Baja",'Matriz de Riesgos'!$AH$30="Moderado"),CONCATENATE("R4C",'Matriz de Riesgos'!$U$30),"")</f>
        <v/>
      </c>
      <c r="Z49" s="54" t="str">
        <f>IF(AND('Matriz de Riesgos'!$AF$31="Muy Baja",'Matriz de Riesgos'!$AH$31="Moderado"),CONCATENATE("R4C",'Matriz de Riesgos'!$U$31),"")</f>
        <v/>
      </c>
      <c r="AA49" s="55" t="str">
        <f>IF(AND('Matriz de Riesgos'!$AF$32="Muy Baja",'Matriz de Riesgos'!$AH$32="Moderado"),CONCATENATE("R4C",'Matriz de Riesgos'!$U$32),"")</f>
        <v/>
      </c>
      <c r="AB49" s="38" t="str">
        <f>IF(AND('Matriz de Riesgos'!$AF$27="Muy Baja",'Matriz de Riesgos'!$AH$27="Mayor"),CONCATENATE("R4C",'Matriz de Riesgos'!$U$27),"")</f>
        <v/>
      </c>
      <c r="AC49" s="39" t="str">
        <f>IF(AND('Matriz de Riesgos'!$AF$28="Muy Baja",'Matriz de Riesgos'!$AH$28="Mayor"),CONCATENATE("R4C",'Matriz de Riesgos'!$U$28),"")</f>
        <v/>
      </c>
      <c r="AD49" s="39" t="str">
        <f>IF(AND('Matriz de Riesgos'!$AF$29="Muy Baja",'Matriz de Riesgos'!$AH$29="Mayor"),CONCATENATE("R4C",'Matriz de Riesgos'!$U$29),"")</f>
        <v/>
      </c>
      <c r="AE49" s="39" t="str">
        <f>IF(AND('Matriz de Riesgos'!$AF$30="Muy Baja",'Matriz de Riesgos'!$AH$30="Mayor"),CONCATENATE("R4C",'Matriz de Riesgos'!$U$30),"")</f>
        <v/>
      </c>
      <c r="AF49" s="39" t="str">
        <f>IF(AND('Matriz de Riesgos'!$AF$31="Muy Baja",'Matriz de Riesgos'!$AH$31="Mayor"),CONCATENATE("R4C",'Matriz de Riesgos'!$U$31),"")</f>
        <v/>
      </c>
      <c r="AG49" s="40" t="str">
        <f>IF(AND('Matriz de Riesgos'!$AF$32="Muy Baja",'Matriz de Riesgos'!$AH$32="Mayor"),CONCATENATE("R4C",'Matriz de Riesgos'!$U$32),"")</f>
        <v/>
      </c>
      <c r="AH49" s="41" t="str">
        <f>IF(AND('Matriz de Riesgos'!$AF$27="Muy Baja",'Matriz de Riesgos'!$AH$27="Catastrófico"),CONCATENATE("R4C",'Matriz de Riesgos'!$U$27),"")</f>
        <v/>
      </c>
      <c r="AI49" s="42" t="str">
        <f>IF(AND('Matriz de Riesgos'!$AF$28="Muy Baja",'Matriz de Riesgos'!$AH$28="Catastrófico"),CONCATENATE("R4C",'Matriz de Riesgos'!$U$28),"")</f>
        <v/>
      </c>
      <c r="AJ49" s="42" t="str">
        <f>IF(AND('Matriz de Riesgos'!$AF$29="Muy Baja",'Matriz de Riesgos'!$AH$29="Catastrófico"),CONCATENATE("R4C",'Matriz de Riesgos'!$U$29),"")</f>
        <v/>
      </c>
      <c r="AK49" s="42" t="str">
        <f>IF(AND('Matriz de Riesgos'!$AF$30="Muy Baja",'Matriz de Riesgos'!$AH$30="Catastrófico"),CONCATENATE("R4C",'Matriz de Riesgos'!$U$30),"")</f>
        <v/>
      </c>
      <c r="AL49" s="42" t="str">
        <f>IF(AND('Matriz de Riesgos'!$AF$31="Muy Baja",'Matriz de Riesgos'!$AH$31="Catastrófico"),CONCATENATE("R4C",'Matriz de Riesgos'!$U$31),"")</f>
        <v/>
      </c>
      <c r="AM49" s="43" t="str">
        <f>IF(AND('Matriz de Riesgos'!$AF$32="Muy Baja",'Matriz de Riesgos'!$AH$32="Catastrófico"),CONCATENATE("R4C",'Matriz de Riesgos'!$U$32),"")</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x14ac:dyDescent="0.25">
      <c r="A50" s="69"/>
      <c r="B50" s="509"/>
      <c r="C50" s="509"/>
      <c r="D50" s="510"/>
      <c r="E50" s="608"/>
      <c r="F50" s="607"/>
      <c r="G50" s="607"/>
      <c r="H50" s="607"/>
      <c r="I50" s="623"/>
      <c r="J50" s="62" t="str">
        <f>IF(AND('Matriz de Riesgos'!$AF$33="Muy Baja",'Matriz de Riesgos'!$AH$33="Leve"),CONCATENATE("R5C",'Matriz de Riesgos'!$U$33),"")</f>
        <v/>
      </c>
      <c r="K50" s="63" t="str">
        <f>IF(AND('Matriz de Riesgos'!$AF$34="Muy Baja",'Matriz de Riesgos'!$AH$34="Leve"),CONCATENATE("R5C",'Matriz de Riesgos'!$U$34),"")</f>
        <v/>
      </c>
      <c r="L50" s="63" t="str">
        <f>IF(AND('Matriz de Riesgos'!$AF$35="Muy Baja",'Matriz de Riesgos'!$AH$35="Leve"),CONCATENATE("R5C",'Matriz de Riesgos'!$U$35),"")</f>
        <v/>
      </c>
      <c r="M50" s="63" t="str">
        <f>IF(AND('Matriz de Riesgos'!$AF$36="Muy Baja",'Matriz de Riesgos'!$AH$36="Leve"),CONCATENATE("R5C",'Matriz de Riesgos'!$U$36),"")</f>
        <v/>
      </c>
      <c r="N50" s="63" t="str">
        <f>IF(AND('Matriz de Riesgos'!$AF$37="Muy Baja",'Matriz de Riesgos'!$AH$37="Leve"),CONCATENATE("R5C",'Matriz de Riesgos'!$U$37),"")</f>
        <v/>
      </c>
      <c r="O50" s="64" t="str">
        <f>IF(AND('Matriz de Riesgos'!$AF$38="Muy Baja",'Matriz de Riesgos'!$AH$38="Leve"),CONCATENATE("R5C",'Matriz de Riesgos'!$U$38),"")</f>
        <v/>
      </c>
      <c r="P50" s="62" t="str">
        <f>IF(AND('Matriz de Riesgos'!$AF$33="Muy Baja",'Matriz de Riesgos'!$AH$33="Menor"),CONCATENATE("R5C",'Matriz de Riesgos'!$U$33),"")</f>
        <v/>
      </c>
      <c r="Q50" s="63" t="str">
        <f>IF(AND('Matriz de Riesgos'!$AF$34="Muy Baja",'Matriz de Riesgos'!$AH$34="Menor"),CONCATENATE("R5C",'Matriz de Riesgos'!$U$34),"")</f>
        <v/>
      </c>
      <c r="R50" s="63" t="str">
        <f>IF(AND('Matriz de Riesgos'!$AF$35="Muy Baja",'Matriz de Riesgos'!$AH$35="Menor"),CONCATENATE("R5C",'Matriz de Riesgos'!$U$35),"")</f>
        <v/>
      </c>
      <c r="S50" s="63" t="str">
        <f>IF(AND('Matriz de Riesgos'!$AF$36="Muy Baja",'Matriz de Riesgos'!$AH$36="Menor"),CONCATENATE("R5C",'Matriz de Riesgos'!$U$36),"")</f>
        <v/>
      </c>
      <c r="T50" s="63" t="str">
        <f>IF(AND('Matriz de Riesgos'!$AF$37="Muy Baja",'Matriz de Riesgos'!$AH$37="Menor"),CONCATENATE("R5C",'Matriz de Riesgos'!$U$37),"")</f>
        <v/>
      </c>
      <c r="U50" s="64" t="str">
        <f>IF(AND('Matriz de Riesgos'!$AF$38="Muy Baja",'Matriz de Riesgos'!$AH$38="Menor"),CONCATENATE("R5C",'Matriz de Riesgos'!$U$38),"")</f>
        <v/>
      </c>
      <c r="V50" s="53" t="str">
        <f>IF(AND('Matriz de Riesgos'!$AF$33="Muy Baja",'Matriz de Riesgos'!$AH$33="Moderado"),CONCATENATE("R5C",'Matriz de Riesgos'!$U$33),"")</f>
        <v/>
      </c>
      <c r="W50" s="54" t="str">
        <f>IF(AND('Matriz de Riesgos'!$AF$34="Muy Baja",'Matriz de Riesgos'!$AH$34="Moderado"),CONCATENATE("R5C",'Matriz de Riesgos'!$U$34),"")</f>
        <v/>
      </c>
      <c r="X50" s="54" t="str">
        <f>IF(AND('Matriz de Riesgos'!$AF$35="Muy Baja",'Matriz de Riesgos'!$AH$35="Moderado"),CONCATENATE("R5C",'Matriz de Riesgos'!$U$35),"")</f>
        <v/>
      </c>
      <c r="Y50" s="54" t="str">
        <f>IF(AND('Matriz de Riesgos'!$AF$36="Muy Baja",'Matriz de Riesgos'!$AH$36="Moderado"),CONCATENATE("R5C",'Matriz de Riesgos'!$U$36),"")</f>
        <v/>
      </c>
      <c r="Z50" s="54" t="str">
        <f>IF(AND('Matriz de Riesgos'!$AF$37="Muy Baja",'Matriz de Riesgos'!$AH$37="Moderado"),CONCATENATE("R5C",'Matriz de Riesgos'!$U$37),"")</f>
        <v/>
      </c>
      <c r="AA50" s="55" t="str">
        <f>IF(AND('Matriz de Riesgos'!$AF$38="Muy Baja",'Matriz de Riesgos'!$AH$38="Moderado"),CONCATENATE("R5C",'Matriz de Riesgos'!$U$38),"")</f>
        <v/>
      </c>
      <c r="AB50" s="38" t="str">
        <f>IF(AND('Matriz de Riesgos'!$AF$33="Muy Baja",'Matriz de Riesgos'!$AH$33="Mayor"),CONCATENATE("R5C",'Matriz de Riesgos'!$U$33),"")</f>
        <v/>
      </c>
      <c r="AC50" s="39" t="str">
        <f>IF(AND('Matriz de Riesgos'!$AF$34="Muy Baja",'Matriz de Riesgos'!$AH$34="Mayor"),CONCATENATE("R5C",'Matriz de Riesgos'!$U$34),"")</f>
        <v/>
      </c>
      <c r="AD50" s="39" t="str">
        <f>IF(AND('Matriz de Riesgos'!$AF$35="Muy Baja",'Matriz de Riesgos'!$AH$35="Mayor"),CONCATENATE("R5C",'Matriz de Riesgos'!$U$35),"")</f>
        <v/>
      </c>
      <c r="AE50" s="39" t="str">
        <f>IF(AND('Matriz de Riesgos'!$AF$36="Muy Baja",'Matriz de Riesgos'!$AH$36="Mayor"),CONCATENATE("R5C",'Matriz de Riesgos'!$U$36),"")</f>
        <v/>
      </c>
      <c r="AF50" s="39" t="str">
        <f>IF(AND('Matriz de Riesgos'!$AF$37="Muy Baja",'Matriz de Riesgos'!$AH$37="Mayor"),CONCATENATE("R5C",'Matriz de Riesgos'!$U$37),"")</f>
        <v/>
      </c>
      <c r="AG50" s="40" t="str">
        <f>IF(AND('Matriz de Riesgos'!$AF$38="Muy Baja",'Matriz de Riesgos'!$AH$38="Mayor"),CONCATENATE("R5C",'Matriz de Riesgos'!$U$38),"")</f>
        <v/>
      </c>
      <c r="AH50" s="41" t="str">
        <f>IF(AND('Matriz de Riesgos'!$AF$33="Muy Baja",'Matriz de Riesgos'!$AH$33="Catastrófico"),CONCATENATE("R5C",'Matriz de Riesgos'!$U$33),"")</f>
        <v/>
      </c>
      <c r="AI50" s="42" t="str">
        <f>IF(AND('Matriz de Riesgos'!$AF$34="Muy Baja",'Matriz de Riesgos'!$AH$34="Catastrófico"),CONCATENATE("R5C",'Matriz de Riesgos'!$U$34),"")</f>
        <v/>
      </c>
      <c r="AJ50" s="42" t="str">
        <f>IF(AND('Matriz de Riesgos'!$AF$35="Muy Baja",'Matriz de Riesgos'!$AH$35="Catastrófico"),CONCATENATE("R5C",'Matriz de Riesgos'!$U$35),"")</f>
        <v/>
      </c>
      <c r="AK50" s="42" t="str">
        <f>IF(AND('Matriz de Riesgos'!$AF$36="Muy Baja",'Matriz de Riesgos'!$AH$36="Catastrófico"),CONCATENATE("R5C",'Matriz de Riesgos'!$U$36),"")</f>
        <v/>
      </c>
      <c r="AL50" s="42" t="str">
        <f>IF(AND('Matriz de Riesgos'!$AF$37="Muy Baja",'Matriz de Riesgos'!$AH$37="Catastrófico"),CONCATENATE("R5C",'Matriz de Riesgos'!$U$37),"")</f>
        <v/>
      </c>
      <c r="AM50" s="43" t="str">
        <f>IF(AND('Matriz de Riesgos'!$AF$38="Muy Baja",'Matriz de Riesgos'!$AH$38="Catastrófico"),CONCATENATE("R5C",'Matriz de Riesgos'!$U$38),"")</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x14ac:dyDescent="0.25">
      <c r="A51" s="69"/>
      <c r="B51" s="509"/>
      <c r="C51" s="509"/>
      <c r="D51" s="510"/>
      <c r="E51" s="608"/>
      <c r="F51" s="607"/>
      <c r="G51" s="607"/>
      <c r="H51" s="607"/>
      <c r="I51" s="623"/>
      <c r="J51" s="62" t="str">
        <f>IF(AND('Matriz de Riesgos'!$AF$39="Muy Baja",'Matriz de Riesgos'!$AH$39="Leve"),CONCATENATE("R6C",'Matriz de Riesgos'!$U$39),"")</f>
        <v/>
      </c>
      <c r="K51" s="63" t="str">
        <f>IF(AND('Matriz de Riesgos'!$AF$40="Muy Baja",'Matriz de Riesgos'!$AH$40="Leve"),CONCATENATE("R6C",'Matriz de Riesgos'!$U$40),"")</f>
        <v/>
      </c>
      <c r="L51" s="63" t="str">
        <f>IF(AND('Matriz de Riesgos'!$AF$41="Muy Baja",'Matriz de Riesgos'!$AH$41="Leve"),CONCATENATE("R6C",'Matriz de Riesgos'!$U$41),"")</f>
        <v/>
      </c>
      <c r="M51" s="63" t="str">
        <f>IF(AND('Matriz de Riesgos'!$AF$42="Muy Baja",'Matriz de Riesgos'!$AH$42="Leve"),CONCATENATE("R6C",'Matriz de Riesgos'!$U$42),"")</f>
        <v/>
      </c>
      <c r="N51" s="63" t="str">
        <f>IF(AND('Matriz de Riesgos'!$AF$43="Muy Baja",'Matriz de Riesgos'!$AH$43="Leve"),CONCATENATE("R6C",'Matriz de Riesgos'!$U$43),"")</f>
        <v/>
      </c>
      <c r="O51" s="64" t="str">
        <f>IF(AND('Matriz de Riesgos'!$AF$44="Muy Baja",'Matriz de Riesgos'!$AH$44="Leve"),CONCATENATE("R6C",'Matriz de Riesgos'!$U$44),"")</f>
        <v/>
      </c>
      <c r="P51" s="62" t="str">
        <f>IF(AND('Matriz de Riesgos'!$AF$39="Muy Baja",'Matriz de Riesgos'!$AH$39="Menor"),CONCATENATE("R6C",'Matriz de Riesgos'!$U$39),"")</f>
        <v/>
      </c>
      <c r="Q51" s="63" t="str">
        <f>IF(AND('Matriz de Riesgos'!$AF$40="Muy Baja",'Matriz de Riesgos'!$AH$40="Menor"),CONCATENATE("R6C",'Matriz de Riesgos'!$U$40),"")</f>
        <v/>
      </c>
      <c r="R51" s="63" t="str">
        <f>IF(AND('Matriz de Riesgos'!$AF$41="Muy Baja",'Matriz de Riesgos'!$AH$41="Menor"),CONCATENATE("R6C",'Matriz de Riesgos'!$U$41),"")</f>
        <v/>
      </c>
      <c r="S51" s="63" t="str">
        <f>IF(AND('Matriz de Riesgos'!$AF$42="Muy Baja",'Matriz de Riesgos'!$AH$42="Menor"),CONCATENATE("R6C",'Matriz de Riesgos'!$U$42),"")</f>
        <v/>
      </c>
      <c r="T51" s="63" t="str">
        <f>IF(AND('Matriz de Riesgos'!$AF$43="Muy Baja",'Matriz de Riesgos'!$AH$43="Menor"),CONCATENATE("R6C",'Matriz de Riesgos'!$U$43),"")</f>
        <v/>
      </c>
      <c r="U51" s="64" t="str">
        <f>IF(AND('Matriz de Riesgos'!$AF$44="Muy Baja",'Matriz de Riesgos'!$AH$44="Menor"),CONCATENATE("R6C",'Matriz de Riesgos'!$U$44),"")</f>
        <v/>
      </c>
      <c r="V51" s="53" t="str">
        <f>IF(AND('Matriz de Riesgos'!$AF$39="Muy Baja",'Matriz de Riesgos'!$AH$39="Moderado"),CONCATENATE("R6C",'Matriz de Riesgos'!$U$39),"")</f>
        <v/>
      </c>
      <c r="W51" s="54" t="str">
        <f>IF(AND('Matriz de Riesgos'!$AF$40="Muy Baja",'Matriz de Riesgos'!$AH$40="Moderado"),CONCATENATE("R6C",'Matriz de Riesgos'!$U$40),"")</f>
        <v/>
      </c>
      <c r="X51" s="54" t="str">
        <f>IF(AND('Matriz de Riesgos'!$AF$41="Muy Baja",'Matriz de Riesgos'!$AH$41="Moderado"),CONCATENATE("R6C",'Matriz de Riesgos'!$U$41),"")</f>
        <v/>
      </c>
      <c r="Y51" s="54" t="str">
        <f>IF(AND('Matriz de Riesgos'!$AF$42="Muy Baja",'Matriz de Riesgos'!$AH$42="Moderado"),CONCATENATE("R6C",'Matriz de Riesgos'!$U$42),"")</f>
        <v/>
      </c>
      <c r="Z51" s="54" t="str">
        <f>IF(AND('Matriz de Riesgos'!$AF$43="Muy Baja",'Matriz de Riesgos'!$AH$43="Moderado"),CONCATENATE("R6C",'Matriz de Riesgos'!$U$43),"")</f>
        <v/>
      </c>
      <c r="AA51" s="55" t="str">
        <f>IF(AND('Matriz de Riesgos'!$AF$44="Muy Baja",'Matriz de Riesgos'!$AH$44="Moderado"),CONCATENATE("R6C",'Matriz de Riesgos'!$U$44),"")</f>
        <v/>
      </c>
      <c r="AB51" s="38" t="str">
        <f>IF(AND('Matriz de Riesgos'!$AF$39="Muy Baja",'Matriz de Riesgos'!$AH$39="Mayor"),CONCATENATE("R6C",'Matriz de Riesgos'!$U$39),"")</f>
        <v/>
      </c>
      <c r="AC51" s="39" t="str">
        <f>IF(AND('Matriz de Riesgos'!$AF$40="Muy Baja",'Matriz de Riesgos'!$AH$40="Mayor"),CONCATENATE("R6C",'Matriz de Riesgos'!$U$40),"")</f>
        <v/>
      </c>
      <c r="AD51" s="39" t="str">
        <f>IF(AND('Matriz de Riesgos'!$AF$41="Muy Baja",'Matriz de Riesgos'!$AH$41="Mayor"),CONCATENATE("R6C",'Matriz de Riesgos'!$U$41),"")</f>
        <v/>
      </c>
      <c r="AE51" s="39" t="str">
        <f>IF(AND('Matriz de Riesgos'!$AF$42="Muy Baja",'Matriz de Riesgos'!$AH$42="Mayor"),CONCATENATE("R6C",'Matriz de Riesgos'!$U$42),"")</f>
        <v/>
      </c>
      <c r="AF51" s="39" t="str">
        <f>IF(AND('Matriz de Riesgos'!$AF$43="Muy Baja",'Matriz de Riesgos'!$AH$43="Mayor"),CONCATENATE("R6C",'Matriz de Riesgos'!$U$43),"")</f>
        <v/>
      </c>
      <c r="AG51" s="40" t="str">
        <f>IF(AND('Matriz de Riesgos'!$AF$44="Muy Baja",'Matriz de Riesgos'!$AH$44="Mayor"),CONCATENATE("R6C",'Matriz de Riesgos'!$U$44),"")</f>
        <v/>
      </c>
      <c r="AH51" s="41" t="str">
        <f>IF(AND('Matriz de Riesgos'!$AF$39="Muy Baja",'Matriz de Riesgos'!$AH$39="Catastrófico"),CONCATENATE("R6C",'Matriz de Riesgos'!$U$39),"")</f>
        <v/>
      </c>
      <c r="AI51" s="42" t="str">
        <f>IF(AND('Matriz de Riesgos'!$AF$40="Muy Baja",'Matriz de Riesgos'!$AH$40="Catastrófico"),CONCATENATE("R6C",'Matriz de Riesgos'!$U$40),"")</f>
        <v/>
      </c>
      <c r="AJ51" s="42" t="str">
        <f>IF(AND('Matriz de Riesgos'!$AF$41="Muy Baja",'Matriz de Riesgos'!$AH$41="Catastrófico"),CONCATENATE("R6C",'Matriz de Riesgos'!$U$41),"")</f>
        <v/>
      </c>
      <c r="AK51" s="42" t="str">
        <f>IF(AND('Matriz de Riesgos'!$AF$42="Muy Baja",'Matriz de Riesgos'!$AH$42="Catastrófico"),CONCATENATE("R6C",'Matriz de Riesgos'!$U$42),"")</f>
        <v/>
      </c>
      <c r="AL51" s="42" t="str">
        <f>IF(AND('Matriz de Riesgos'!$AF$43="Muy Baja",'Matriz de Riesgos'!$AH$43="Catastrófico"),CONCATENATE("R6C",'Matriz de Riesgos'!$U$43),"")</f>
        <v/>
      </c>
      <c r="AM51" s="43" t="str">
        <f>IF(AND('Matriz de Riesgos'!$AF$44="Muy Baja",'Matriz de Riesgos'!$AH$44="Catastrófico"),CONCATENATE("R6C",'Matriz de Riesgos'!$U$44),"")</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x14ac:dyDescent="0.25">
      <c r="A52" s="69"/>
      <c r="B52" s="509"/>
      <c r="C52" s="509"/>
      <c r="D52" s="510"/>
      <c r="E52" s="608"/>
      <c r="F52" s="607"/>
      <c r="G52" s="607"/>
      <c r="H52" s="607"/>
      <c r="I52" s="623"/>
      <c r="J52" s="62" t="str">
        <f>IF(AND('Matriz de Riesgos'!$AF$45="Muy Baja",'Matriz de Riesgos'!$AH$45="Leve"),CONCATENATE("R7C",'Matriz de Riesgos'!$U$45),"")</f>
        <v/>
      </c>
      <c r="K52" s="63" t="str">
        <f>IF(AND('Matriz de Riesgos'!$AF$46="Muy Baja",'Matriz de Riesgos'!$AH$46="Leve"),CONCATENATE("R7C",'Matriz de Riesgos'!$U$46),"")</f>
        <v/>
      </c>
      <c r="L52" s="63" t="str">
        <f>IF(AND('Matriz de Riesgos'!$AF$47="Muy Baja",'Matriz de Riesgos'!$AH$47="Leve"),CONCATENATE("R7C",'Matriz de Riesgos'!$U$47),"")</f>
        <v/>
      </c>
      <c r="M52" s="63" t="str">
        <f>IF(AND('Matriz de Riesgos'!$AF$48="Muy Baja",'Matriz de Riesgos'!$AH$48="Leve"),CONCATENATE("R7C",'Matriz de Riesgos'!$U$48),"")</f>
        <v/>
      </c>
      <c r="N52" s="63" t="str">
        <f>IF(AND('Matriz de Riesgos'!$AF$49="Muy Baja",'Matriz de Riesgos'!$AH$49="Leve"),CONCATENATE("R7C",'Matriz de Riesgos'!$U$49),"")</f>
        <v/>
      </c>
      <c r="O52" s="64" t="str">
        <f>IF(AND('Matriz de Riesgos'!$AF$50="Muy Baja",'Matriz de Riesgos'!$AH$50="Leve"),CONCATENATE("R7C",'Matriz de Riesgos'!$U$50),"")</f>
        <v/>
      </c>
      <c r="P52" s="62" t="str">
        <f>IF(AND('Matriz de Riesgos'!$AF$45="Muy Baja",'Matriz de Riesgos'!$AH$45="Menor"),CONCATENATE("R7C",'Matriz de Riesgos'!$U$45),"")</f>
        <v/>
      </c>
      <c r="Q52" s="63" t="str">
        <f>IF(AND('Matriz de Riesgos'!$AF$46="Muy Baja",'Matriz de Riesgos'!$AH$46="Menor"),CONCATENATE("R7C",'Matriz de Riesgos'!$U$46),"")</f>
        <v/>
      </c>
      <c r="R52" s="63" t="str">
        <f>IF(AND('Matriz de Riesgos'!$AF$47="Muy Baja",'Matriz de Riesgos'!$AH$47="Menor"),CONCATENATE("R7C",'Matriz de Riesgos'!$U$47),"")</f>
        <v/>
      </c>
      <c r="S52" s="63" t="str">
        <f>IF(AND('Matriz de Riesgos'!$AF$48="Muy Baja",'Matriz de Riesgos'!$AH$48="Menor"),CONCATENATE("R7C",'Matriz de Riesgos'!$U$48),"")</f>
        <v/>
      </c>
      <c r="T52" s="63" t="str">
        <f>IF(AND('Matriz de Riesgos'!$AF$49="Muy Baja",'Matriz de Riesgos'!$AH$49="Menor"),CONCATENATE("R7C",'Matriz de Riesgos'!$U$49),"")</f>
        <v/>
      </c>
      <c r="U52" s="64" t="str">
        <f>IF(AND('Matriz de Riesgos'!$AF$50="Muy Baja",'Matriz de Riesgos'!$AH$50="Menor"),CONCATENATE("R7C",'Matriz de Riesgos'!$U$50),"")</f>
        <v/>
      </c>
      <c r="V52" s="53" t="str">
        <f>IF(AND('Matriz de Riesgos'!$AF$45="Muy Baja",'Matriz de Riesgos'!$AH$45="Moderado"),CONCATENATE("R7C",'Matriz de Riesgos'!$U$45),"")</f>
        <v/>
      </c>
      <c r="W52" s="54" t="str">
        <f>IF(AND('Matriz de Riesgos'!$AF$46="Muy Baja",'Matriz de Riesgos'!$AH$46="Moderado"),CONCATENATE("R7C",'Matriz de Riesgos'!$U$46),"")</f>
        <v/>
      </c>
      <c r="X52" s="54" t="str">
        <f>IF(AND('Matriz de Riesgos'!$AF$47="Muy Baja",'Matriz de Riesgos'!$AH$47="Moderado"),CONCATENATE("R7C",'Matriz de Riesgos'!$U$47),"")</f>
        <v/>
      </c>
      <c r="Y52" s="54" t="str">
        <f>IF(AND('Matriz de Riesgos'!$AF$48="Muy Baja",'Matriz de Riesgos'!$AH$48="Moderado"),CONCATENATE("R7C",'Matriz de Riesgos'!$U$48),"")</f>
        <v/>
      </c>
      <c r="Z52" s="54" t="str">
        <f>IF(AND('Matriz de Riesgos'!$AF$49="Muy Baja",'Matriz de Riesgos'!$AH$49="Moderado"),CONCATENATE("R7C",'Matriz de Riesgos'!$U$49),"")</f>
        <v/>
      </c>
      <c r="AA52" s="55" t="str">
        <f>IF(AND('Matriz de Riesgos'!$AF$50="Muy Baja",'Matriz de Riesgos'!$AH$50="Moderado"),CONCATENATE("R7C",'Matriz de Riesgos'!$U$50),"")</f>
        <v/>
      </c>
      <c r="AB52" s="38" t="str">
        <f>IF(AND('Matriz de Riesgos'!$AF$45="Muy Baja",'Matriz de Riesgos'!$AH$45="Mayor"),CONCATENATE("R7C",'Matriz de Riesgos'!$U$45),"")</f>
        <v/>
      </c>
      <c r="AC52" s="39" t="str">
        <f>IF(AND('Matriz de Riesgos'!$AF$46="Muy Baja",'Matriz de Riesgos'!$AH$46="Mayor"),CONCATENATE("R7C",'Matriz de Riesgos'!$U$46),"")</f>
        <v/>
      </c>
      <c r="AD52" s="39" t="str">
        <f>IF(AND('Matriz de Riesgos'!$AF$47="Muy Baja",'Matriz de Riesgos'!$AH$47="Mayor"),CONCATENATE("R7C",'Matriz de Riesgos'!$U$47),"")</f>
        <v/>
      </c>
      <c r="AE52" s="39" t="str">
        <f>IF(AND('Matriz de Riesgos'!$AF$48="Muy Baja",'Matriz de Riesgos'!$AH$48="Mayor"),CONCATENATE("R7C",'Matriz de Riesgos'!$U$48),"")</f>
        <v/>
      </c>
      <c r="AF52" s="39" t="str">
        <f>IF(AND('Matriz de Riesgos'!$AF$49="Muy Baja",'Matriz de Riesgos'!$AH$49="Mayor"),CONCATENATE("R7C",'Matriz de Riesgos'!$U$49),"")</f>
        <v/>
      </c>
      <c r="AG52" s="40" t="str">
        <f>IF(AND('Matriz de Riesgos'!$AF$50="Muy Baja",'Matriz de Riesgos'!$AH$50="Mayor"),CONCATENATE("R7C",'Matriz de Riesgos'!$U$50),"")</f>
        <v/>
      </c>
      <c r="AH52" s="41" t="str">
        <f>IF(AND('Matriz de Riesgos'!$AF$45="Muy Baja",'Matriz de Riesgos'!$AH$45="Catastrófico"),CONCATENATE("R7C",'Matriz de Riesgos'!$U$45),"")</f>
        <v/>
      </c>
      <c r="AI52" s="42" t="str">
        <f>IF(AND('Matriz de Riesgos'!$AF$46="Muy Baja",'Matriz de Riesgos'!$AH$46="Catastrófico"),CONCATENATE("R7C",'Matriz de Riesgos'!$U$46),"")</f>
        <v/>
      </c>
      <c r="AJ52" s="42" t="str">
        <f>IF(AND('Matriz de Riesgos'!$AF$47="Muy Baja",'Matriz de Riesgos'!$AH$47="Catastrófico"),CONCATENATE("R7C",'Matriz de Riesgos'!$U$47),"")</f>
        <v/>
      </c>
      <c r="AK52" s="42" t="str">
        <f>IF(AND('Matriz de Riesgos'!$AF$48="Muy Baja",'Matriz de Riesgos'!$AH$48="Catastrófico"),CONCATENATE("R7C",'Matriz de Riesgos'!$U$48),"")</f>
        <v/>
      </c>
      <c r="AL52" s="42" t="str">
        <f>IF(AND('Matriz de Riesgos'!$AF$49="Muy Baja",'Matriz de Riesgos'!$AH$49="Catastrófico"),CONCATENATE("R7C",'Matriz de Riesgos'!$U$49),"")</f>
        <v/>
      </c>
      <c r="AM52" s="43" t="str">
        <f>IF(AND('Matriz de Riesgos'!$AF$50="Muy Baja",'Matriz de Riesgos'!$AH$50="Catastrófico"),CONCATENATE("R7C",'Matriz de Riesgos'!$U$50),"")</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x14ac:dyDescent="0.25">
      <c r="A53" s="69"/>
      <c r="B53" s="509"/>
      <c r="C53" s="509"/>
      <c r="D53" s="510"/>
      <c r="E53" s="608"/>
      <c r="F53" s="607"/>
      <c r="G53" s="607"/>
      <c r="H53" s="607"/>
      <c r="I53" s="623"/>
      <c r="J53" s="62" t="str">
        <f>IF(AND('Matriz de Riesgos'!$AF$51="Muy Baja",'Matriz de Riesgos'!$AH$51="Leve"),CONCATENATE("R8C",'Matriz de Riesgos'!$U$51),"")</f>
        <v/>
      </c>
      <c r="K53" s="63" t="str">
        <f>IF(AND('Matriz de Riesgos'!$AF$52="Muy Baja",'Matriz de Riesgos'!$AH$52="Leve"),CONCATENATE("R8C",'Matriz de Riesgos'!$U$52),"")</f>
        <v/>
      </c>
      <c r="L53" s="63" t="str">
        <f>IF(AND('Matriz de Riesgos'!$AF$53="Muy Baja",'Matriz de Riesgos'!$AH$53="Leve"),CONCATENATE("R8C",'Matriz de Riesgos'!$U$53),"")</f>
        <v/>
      </c>
      <c r="M53" s="63" t="str">
        <f>IF(AND('Matriz de Riesgos'!$AF$54="Muy Baja",'Matriz de Riesgos'!$AH$54="Leve"),CONCATENATE("R8C",'Matriz de Riesgos'!$U$54),"")</f>
        <v/>
      </c>
      <c r="N53" s="63" t="str">
        <f>IF(AND('Matriz de Riesgos'!$AF$55="Muy Baja",'Matriz de Riesgos'!$AH$55="Leve"),CONCATENATE("R8C",'Matriz de Riesgos'!$U$55),"")</f>
        <v/>
      </c>
      <c r="O53" s="64" t="str">
        <f>IF(AND('Matriz de Riesgos'!$AF$56="Muy Baja",'Matriz de Riesgos'!$AH$56="Leve"),CONCATENATE("R8C",'Matriz de Riesgos'!$U$56),"")</f>
        <v/>
      </c>
      <c r="P53" s="62" t="str">
        <f>IF(AND('Matriz de Riesgos'!$AF$51="Muy Baja",'Matriz de Riesgos'!$AH$51="Menor"),CONCATENATE("R8C",'Matriz de Riesgos'!$U$51),"")</f>
        <v/>
      </c>
      <c r="Q53" s="63" t="str">
        <f>IF(AND('Matriz de Riesgos'!$AF$52="Muy Baja",'Matriz de Riesgos'!$AH$52="Menor"),CONCATENATE("R8C",'Matriz de Riesgos'!$U$52),"")</f>
        <v/>
      </c>
      <c r="R53" s="63" t="str">
        <f>IF(AND('Matriz de Riesgos'!$AF$53="Muy Baja",'Matriz de Riesgos'!$AH$53="Menor"),CONCATENATE("R8C",'Matriz de Riesgos'!$U$53),"")</f>
        <v/>
      </c>
      <c r="S53" s="63" t="str">
        <f>IF(AND('Matriz de Riesgos'!$AF$54="Muy Baja",'Matriz de Riesgos'!$AH$54="Menor"),CONCATENATE("R8C",'Matriz de Riesgos'!$U$54),"")</f>
        <v/>
      </c>
      <c r="T53" s="63" t="str">
        <f>IF(AND('Matriz de Riesgos'!$AF$55="Muy Baja",'Matriz de Riesgos'!$AH$55="Menor"),CONCATENATE("R8C",'Matriz de Riesgos'!$U$55),"")</f>
        <v/>
      </c>
      <c r="U53" s="64" t="str">
        <f>IF(AND('Matriz de Riesgos'!$AF$56="Muy Baja",'Matriz de Riesgos'!$AH$56="Menor"),CONCATENATE("R8C",'Matriz de Riesgos'!$U$56),"")</f>
        <v/>
      </c>
      <c r="V53" s="53" t="str">
        <f>IF(AND('Matriz de Riesgos'!$AF$51="Muy Baja",'Matriz de Riesgos'!$AH$51="Moderado"),CONCATENATE("R8C",'Matriz de Riesgos'!$U$51),"")</f>
        <v/>
      </c>
      <c r="W53" s="54" t="str">
        <f>IF(AND('Matriz de Riesgos'!$AF$52="Muy Baja",'Matriz de Riesgos'!$AH$52="Moderado"),CONCATENATE("R8C",'Matriz de Riesgos'!$U$52),"")</f>
        <v/>
      </c>
      <c r="X53" s="54" t="str">
        <f>IF(AND('Matriz de Riesgos'!$AF$53="Muy Baja",'Matriz de Riesgos'!$AH$53="Moderado"),CONCATENATE("R8C",'Matriz de Riesgos'!$U$53),"")</f>
        <v/>
      </c>
      <c r="Y53" s="54" t="str">
        <f>IF(AND('Matriz de Riesgos'!$AF$54="Muy Baja",'Matriz de Riesgos'!$AH$54="Moderado"),CONCATENATE("R8C",'Matriz de Riesgos'!$U$54),"")</f>
        <v/>
      </c>
      <c r="Z53" s="54" t="str">
        <f>IF(AND('Matriz de Riesgos'!$AF$55="Muy Baja",'Matriz de Riesgos'!$AH$55="Moderado"),CONCATENATE("R8C",'Matriz de Riesgos'!$U$55),"")</f>
        <v/>
      </c>
      <c r="AA53" s="55" t="str">
        <f>IF(AND('Matriz de Riesgos'!$AF$56="Muy Baja",'Matriz de Riesgos'!$AH$56="Moderado"),CONCATENATE("R8C",'Matriz de Riesgos'!$U$56),"")</f>
        <v/>
      </c>
      <c r="AB53" s="38" t="str">
        <f>IF(AND('Matriz de Riesgos'!$AF$51="Muy Baja",'Matriz de Riesgos'!$AH$51="Mayor"),CONCATENATE("R8C",'Matriz de Riesgos'!$U$51),"")</f>
        <v/>
      </c>
      <c r="AC53" s="39" t="str">
        <f>IF(AND('Matriz de Riesgos'!$AF$52="Muy Baja",'Matriz de Riesgos'!$AH$52="Mayor"),CONCATENATE("R8C",'Matriz de Riesgos'!$U$52),"")</f>
        <v/>
      </c>
      <c r="AD53" s="39" t="str">
        <f>IF(AND('Matriz de Riesgos'!$AF$53="Muy Baja",'Matriz de Riesgos'!$AH$53="Mayor"),CONCATENATE("R8C",'Matriz de Riesgos'!$U$53),"")</f>
        <v/>
      </c>
      <c r="AE53" s="39" t="str">
        <f>IF(AND('Matriz de Riesgos'!$AF$54="Muy Baja",'Matriz de Riesgos'!$AH$54="Mayor"),CONCATENATE("R8C",'Matriz de Riesgos'!$U$54),"")</f>
        <v/>
      </c>
      <c r="AF53" s="39" t="str">
        <f>IF(AND('Matriz de Riesgos'!$AF$55="Muy Baja",'Matriz de Riesgos'!$AH$55="Mayor"),CONCATENATE("R8C",'Matriz de Riesgos'!$U$55),"")</f>
        <v/>
      </c>
      <c r="AG53" s="40" t="str">
        <f>IF(AND('Matriz de Riesgos'!$AF$56="Muy Baja",'Matriz de Riesgos'!$AH$56="Mayor"),CONCATENATE("R8C",'Matriz de Riesgos'!$U$56),"")</f>
        <v/>
      </c>
      <c r="AH53" s="41" t="str">
        <f>IF(AND('Matriz de Riesgos'!$AF$51="Muy Baja",'Matriz de Riesgos'!$AH$51="Catastrófico"),CONCATENATE("R8C",'Matriz de Riesgos'!$U$51),"")</f>
        <v/>
      </c>
      <c r="AI53" s="42" t="str">
        <f>IF(AND('Matriz de Riesgos'!$AF$52="Muy Baja",'Matriz de Riesgos'!$AH$52="Catastrófico"),CONCATENATE("R8C",'Matriz de Riesgos'!$U$52),"")</f>
        <v/>
      </c>
      <c r="AJ53" s="42" t="str">
        <f>IF(AND('Matriz de Riesgos'!$AF$53="Muy Baja",'Matriz de Riesgos'!$AH$53="Catastrófico"),CONCATENATE("R8C",'Matriz de Riesgos'!$U$53),"")</f>
        <v/>
      </c>
      <c r="AK53" s="42" t="str">
        <f>IF(AND('Matriz de Riesgos'!$AF$54="Muy Baja",'Matriz de Riesgos'!$AH$54="Catastrófico"),CONCATENATE("R8C",'Matriz de Riesgos'!$U$54),"")</f>
        <v/>
      </c>
      <c r="AL53" s="42" t="str">
        <f>IF(AND('Matriz de Riesgos'!$AF$55="Muy Baja",'Matriz de Riesgos'!$AH$55="Catastrófico"),CONCATENATE("R8C",'Matriz de Riesgos'!$U$55),"")</f>
        <v/>
      </c>
      <c r="AM53" s="43" t="str">
        <f>IF(AND('Matriz de Riesgos'!$AF$56="Muy Baja",'Matriz de Riesgos'!$AH$56="Catastrófico"),CONCATENATE("R8C",'Matriz de Riesgos'!$U$56),"")</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x14ac:dyDescent="0.25">
      <c r="A54" s="69"/>
      <c r="B54" s="509"/>
      <c r="C54" s="509"/>
      <c r="D54" s="510"/>
      <c r="E54" s="608"/>
      <c r="F54" s="607"/>
      <c r="G54" s="607"/>
      <c r="H54" s="607"/>
      <c r="I54" s="623"/>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x14ac:dyDescent="0.3">
      <c r="A55" s="69"/>
      <c r="B55" s="509"/>
      <c r="C55" s="509"/>
      <c r="D55" s="510"/>
      <c r="E55" s="609"/>
      <c r="F55" s="610"/>
      <c r="G55" s="610"/>
      <c r="H55" s="610"/>
      <c r="I55" s="624"/>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x14ac:dyDescent="0.25">
      <c r="A56" s="69"/>
      <c r="B56" s="69"/>
      <c r="C56" s="69"/>
      <c r="D56" s="69"/>
      <c r="E56" s="69"/>
      <c r="F56" s="69"/>
      <c r="G56" s="69"/>
      <c r="H56" s="69"/>
      <c r="I56" s="69"/>
      <c r="J56" s="604" t="s">
        <v>952</v>
      </c>
      <c r="K56" s="605"/>
      <c r="L56" s="605"/>
      <c r="M56" s="605"/>
      <c r="N56" s="605"/>
      <c r="O56" s="622"/>
      <c r="P56" s="604" t="s">
        <v>953</v>
      </c>
      <c r="Q56" s="605"/>
      <c r="R56" s="605"/>
      <c r="S56" s="605"/>
      <c r="T56" s="605"/>
      <c r="U56" s="622"/>
      <c r="V56" s="604" t="s">
        <v>954</v>
      </c>
      <c r="W56" s="605"/>
      <c r="X56" s="605"/>
      <c r="Y56" s="605"/>
      <c r="Z56" s="605"/>
      <c r="AA56" s="622"/>
      <c r="AB56" s="604" t="s">
        <v>955</v>
      </c>
      <c r="AC56" s="643"/>
      <c r="AD56" s="605"/>
      <c r="AE56" s="605"/>
      <c r="AF56" s="605"/>
      <c r="AG56" s="622"/>
      <c r="AH56" s="604" t="s">
        <v>956</v>
      </c>
      <c r="AI56" s="605"/>
      <c r="AJ56" s="605"/>
      <c r="AK56" s="605"/>
      <c r="AL56" s="605"/>
      <c r="AM56" s="622"/>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x14ac:dyDescent="0.25">
      <c r="A57" s="69"/>
      <c r="B57" s="69"/>
      <c r="C57" s="69"/>
      <c r="D57" s="69"/>
      <c r="E57" s="69"/>
      <c r="F57" s="69"/>
      <c r="G57" s="69"/>
      <c r="H57" s="69"/>
      <c r="I57" s="69"/>
      <c r="J57" s="608"/>
      <c r="K57" s="607"/>
      <c r="L57" s="607"/>
      <c r="M57" s="607"/>
      <c r="N57" s="607"/>
      <c r="O57" s="623"/>
      <c r="P57" s="608"/>
      <c r="Q57" s="607"/>
      <c r="R57" s="607"/>
      <c r="S57" s="607"/>
      <c r="T57" s="607"/>
      <c r="U57" s="623"/>
      <c r="V57" s="608"/>
      <c r="W57" s="607"/>
      <c r="X57" s="607"/>
      <c r="Y57" s="607"/>
      <c r="Z57" s="607"/>
      <c r="AA57" s="623"/>
      <c r="AB57" s="608"/>
      <c r="AC57" s="607"/>
      <c r="AD57" s="607"/>
      <c r="AE57" s="607"/>
      <c r="AF57" s="607"/>
      <c r="AG57" s="623"/>
      <c r="AH57" s="608"/>
      <c r="AI57" s="607"/>
      <c r="AJ57" s="607"/>
      <c r="AK57" s="607"/>
      <c r="AL57" s="607"/>
      <c r="AM57" s="623"/>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x14ac:dyDescent="0.25">
      <c r="A58" s="69"/>
      <c r="B58" s="69"/>
      <c r="C58" s="69"/>
      <c r="D58" s="69"/>
      <c r="E58" s="69"/>
      <c r="F58" s="69"/>
      <c r="G58" s="69"/>
      <c r="H58" s="69"/>
      <c r="I58" s="69"/>
      <c r="J58" s="608"/>
      <c r="K58" s="607"/>
      <c r="L58" s="607"/>
      <c r="M58" s="607"/>
      <c r="N58" s="607"/>
      <c r="O58" s="623"/>
      <c r="P58" s="608"/>
      <c r="Q58" s="607"/>
      <c r="R58" s="607"/>
      <c r="S58" s="607"/>
      <c r="T58" s="607"/>
      <c r="U58" s="623"/>
      <c r="V58" s="608"/>
      <c r="W58" s="607"/>
      <c r="X58" s="607"/>
      <c r="Y58" s="607"/>
      <c r="Z58" s="607"/>
      <c r="AA58" s="623"/>
      <c r="AB58" s="608"/>
      <c r="AC58" s="607"/>
      <c r="AD58" s="607"/>
      <c r="AE58" s="607"/>
      <c r="AF58" s="607"/>
      <c r="AG58" s="623"/>
      <c r="AH58" s="608"/>
      <c r="AI58" s="607"/>
      <c r="AJ58" s="607"/>
      <c r="AK58" s="607"/>
      <c r="AL58" s="607"/>
      <c r="AM58" s="623"/>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x14ac:dyDescent="0.25">
      <c r="A59" s="69"/>
      <c r="B59" s="69"/>
      <c r="C59" s="69"/>
      <c r="D59" s="69"/>
      <c r="E59" s="69"/>
      <c r="F59" s="69"/>
      <c r="G59" s="69"/>
      <c r="H59" s="69"/>
      <c r="I59" s="69"/>
      <c r="J59" s="608"/>
      <c r="K59" s="607"/>
      <c r="L59" s="607"/>
      <c r="M59" s="607"/>
      <c r="N59" s="607"/>
      <c r="O59" s="623"/>
      <c r="P59" s="608"/>
      <c r="Q59" s="607"/>
      <c r="R59" s="607"/>
      <c r="S59" s="607"/>
      <c r="T59" s="607"/>
      <c r="U59" s="623"/>
      <c r="V59" s="608"/>
      <c r="W59" s="607"/>
      <c r="X59" s="607"/>
      <c r="Y59" s="607"/>
      <c r="Z59" s="607"/>
      <c r="AA59" s="623"/>
      <c r="AB59" s="608"/>
      <c r="AC59" s="607"/>
      <c r="AD59" s="607"/>
      <c r="AE59" s="607"/>
      <c r="AF59" s="607"/>
      <c r="AG59" s="623"/>
      <c r="AH59" s="608"/>
      <c r="AI59" s="607"/>
      <c r="AJ59" s="607"/>
      <c r="AK59" s="607"/>
      <c r="AL59" s="607"/>
      <c r="AM59" s="623"/>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x14ac:dyDescent="0.25">
      <c r="A60" s="69"/>
      <c r="B60" s="69"/>
      <c r="C60" s="69"/>
      <c r="D60" s="69"/>
      <c r="E60" s="69"/>
      <c r="F60" s="69"/>
      <c r="G60" s="69"/>
      <c r="H60" s="69"/>
      <c r="I60" s="69"/>
      <c r="J60" s="608"/>
      <c r="K60" s="607"/>
      <c r="L60" s="607"/>
      <c r="M60" s="607"/>
      <c r="N60" s="607"/>
      <c r="O60" s="623"/>
      <c r="P60" s="608"/>
      <c r="Q60" s="607"/>
      <c r="R60" s="607"/>
      <c r="S60" s="607"/>
      <c r="T60" s="607"/>
      <c r="U60" s="623"/>
      <c r="V60" s="608"/>
      <c r="W60" s="607"/>
      <c r="X60" s="607"/>
      <c r="Y60" s="607"/>
      <c r="Z60" s="607"/>
      <c r="AA60" s="623"/>
      <c r="AB60" s="608"/>
      <c r="AC60" s="607"/>
      <c r="AD60" s="607"/>
      <c r="AE60" s="607"/>
      <c r="AF60" s="607"/>
      <c r="AG60" s="623"/>
      <c r="AH60" s="608"/>
      <c r="AI60" s="607"/>
      <c r="AJ60" s="607"/>
      <c r="AK60" s="607"/>
      <c r="AL60" s="607"/>
      <c r="AM60" s="623"/>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75" thickBot="1" x14ac:dyDescent="0.3">
      <c r="A61" s="69"/>
      <c r="B61" s="69"/>
      <c r="C61" s="69"/>
      <c r="D61" s="69"/>
      <c r="E61" s="69"/>
      <c r="F61" s="69"/>
      <c r="G61" s="69"/>
      <c r="H61" s="69"/>
      <c r="I61" s="69"/>
      <c r="J61" s="609"/>
      <c r="K61" s="610"/>
      <c r="L61" s="610"/>
      <c r="M61" s="610"/>
      <c r="N61" s="610"/>
      <c r="O61" s="624"/>
      <c r="P61" s="609"/>
      <c r="Q61" s="610"/>
      <c r="R61" s="610"/>
      <c r="S61" s="610"/>
      <c r="T61" s="610"/>
      <c r="U61" s="624"/>
      <c r="V61" s="609"/>
      <c r="W61" s="610"/>
      <c r="X61" s="610"/>
      <c r="Y61" s="610"/>
      <c r="Z61" s="610"/>
      <c r="AA61" s="624"/>
      <c r="AB61" s="609"/>
      <c r="AC61" s="610"/>
      <c r="AD61" s="610"/>
      <c r="AE61" s="610"/>
      <c r="AF61" s="610"/>
      <c r="AG61" s="624"/>
      <c r="AH61" s="609"/>
      <c r="AI61" s="610"/>
      <c r="AJ61" s="610"/>
      <c r="AK61" s="610"/>
      <c r="AL61" s="610"/>
      <c r="AM61" s="624"/>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x14ac:dyDescent="0.2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x14ac:dyDescent="0.25">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x14ac:dyDescent="0.25">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x14ac:dyDescent="0.2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x14ac:dyDescent="0.2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x14ac:dyDescent="0.2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x14ac:dyDescent="0.2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x14ac:dyDescent="0.2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x14ac:dyDescent="0.2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x14ac:dyDescent="0.2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x14ac:dyDescent="0.2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x14ac:dyDescent="0.2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x14ac:dyDescent="0.2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x14ac:dyDescent="0.2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x14ac:dyDescent="0.2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x14ac:dyDescent="0.2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x14ac:dyDescent="0.2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x14ac:dyDescent="0.2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x14ac:dyDescent="0.2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x14ac:dyDescent="0.2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x14ac:dyDescent="0.2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x14ac:dyDescent="0.2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x14ac:dyDescent="0.2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x14ac:dyDescent="0.2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x14ac:dyDescent="0.2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x14ac:dyDescent="0.2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x14ac:dyDescent="0.2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x14ac:dyDescent="0.2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x14ac:dyDescent="0.2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x14ac:dyDescent="0.2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x14ac:dyDescent="0.2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x14ac:dyDescent="0.2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x14ac:dyDescent="0.2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x14ac:dyDescent="0.2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x14ac:dyDescent="0.2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x14ac:dyDescent="0.2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x14ac:dyDescent="0.2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x14ac:dyDescent="0.2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x14ac:dyDescent="0.2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x14ac:dyDescent="0.2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x14ac:dyDescent="0.2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x14ac:dyDescent="0.2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x14ac:dyDescent="0.2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x14ac:dyDescent="0.2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x14ac:dyDescent="0.2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x14ac:dyDescent="0.2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x14ac:dyDescent="0.2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x14ac:dyDescent="0.2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x14ac:dyDescent="0.2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x14ac:dyDescent="0.25">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x14ac:dyDescent="0.25">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x14ac:dyDescent="0.2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x14ac:dyDescent="0.25">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x14ac:dyDescent="0.25">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x14ac:dyDescent="0.2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x14ac:dyDescent="0.2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x14ac:dyDescent="0.2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x14ac:dyDescent="0.25">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x14ac:dyDescent="0.25">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x14ac:dyDescent="0.2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x14ac:dyDescent="0.25">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x14ac:dyDescent="0.25">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x14ac:dyDescent="0.25">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x14ac:dyDescent="0.25">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x14ac:dyDescent="0.25">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x14ac:dyDescent="0.25">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x14ac:dyDescent="0.25">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x14ac:dyDescent="0.25">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x14ac:dyDescent="0.25">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x14ac:dyDescent="0.25">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x14ac:dyDescent="0.25">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x14ac:dyDescent="0.25">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x14ac:dyDescent="0.25">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x14ac:dyDescent="0.25">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x14ac:dyDescent="0.25">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x14ac:dyDescent="0.25">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x14ac:dyDescent="0.25">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x14ac:dyDescent="0.25">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x14ac:dyDescent="0.25">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x14ac:dyDescent="0.25">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x14ac:dyDescent="0.25">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x14ac:dyDescent="0.25">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x14ac:dyDescent="0.25">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x14ac:dyDescent="0.25">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x14ac:dyDescent="0.25">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x14ac:dyDescent="0.25">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x14ac:dyDescent="0.25">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x14ac:dyDescent="0.25">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x14ac:dyDescent="0.25">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x14ac:dyDescent="0.25">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x14ac:dyDescent="0.25">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x14ac:dyDescent="0.25">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x14ac:dyDescent="0.25">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x14ac:dyDescent="0.25">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x14ac:dyDescent="0.25">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x14ac:dyDescent="0.25">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x14ac:dyDescent="0.25">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x14ac:dyDescent="0.25">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x14ac:dyDescent="0.25">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x14ac:dyDescent="0.25">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x14ac:dyDescent="0.25">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x14ac:dyDescent="0.25">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x14ac:dyDescent="0.25">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x14ac:dyDescent="0.25">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x14ac:dyDescent="0.25">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x14ac:dyDescent="0.25">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x14ac:dyDescent="0.25">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x14ac:dyDescent="0.25">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x14ac:dyDescent="0.25">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x14ac:dyDescent="0.25">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x14ac:dyDescent="0.25">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x14ac:dyDescent="0.25">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x14ac:dyDescent="0.25">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x14ac:dyDescent="0.25">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x14ac:dyDescent="0.25">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x14ac:dyDescent="0.25">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x14ac:dyDescent="0.25">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x14ac:dyDescent="0.25">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x14ac:dyDescent="0.25">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x14ac:dyDescent="0.25">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x14ac:dyDescent="0.25">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x14ac:dyDescent="0.25">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x14ac:dyDescent="0.25">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x14ac:dyDescent="0.25">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x14ac:dyDescent="0.25">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x14ac:dyDescent="0.25">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x14ac:dyDescent="0.25">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x14ac:dyDescent="0.25">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x14ac:dyDescent="0.25">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x14ac:dyDescent="0.25">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x14ac:dyDescent="0.25">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x14ac:dyDescent="0.25">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x14ac:dyDescent="0.25">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x14ac:dyDescent="0.25">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x14ac:dyDescent="0.25">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x14ac:dyDescent="0.25">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x14ac:dyDescent="0.25">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x14ac:dyDescent="0.25">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x14ac:dyDescent="0.25">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x14ac:dyDescent="0.25">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x14ac:dyDescent="0.25">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x14ac:dyDescent="0.25">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x14ac:dyDescent="0.25">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x14ac:dyDescent="0.25">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x14ac:dyDescent="0.25">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x14ac:dyDescent="0.25">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x14ac:dyDescent="0.25">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x14ac:dyDescent="0.25">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x14ac:dyDescent="0.25">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x14ac:dyDescent="0.25">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x14ac:dyDescent="0.25">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x14ac:dyDescent="0.25">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x14ac:dyDescent="0.25">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x14ac:dyDescent="0.25">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x14ac:dyDescent="0.25">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x14ac:dyDescent="0.25">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x14ac:dyDescent="0.25">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x14ac:dyDescent="0.25">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x14ac:dyDescent="0.25">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x14ac:dyDescent="0.25">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x14ac:dyDescent="0.25">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x14ac:dyDescent="0.25">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x14ac:dyDescent="0.25">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x14ac:dyDescent="0.25">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x14ac:dyDescent="0.25">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x14ac:dyDescent="0.25">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x14ac:dyDescent="0.25">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x14ac:dyDescent="0.25">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x14ac:dyDescent="0.25">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x14ac:dyDescent="0.25">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x14ac:dyDescent="0.25">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x14ac:dyDescent="0.25">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x14ac:dyDescent="0.25">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x14ac:dyDescent="0.25">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x14ac:dyDescent="0.25">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x14ac:dyDescent="0.25">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x14ac:dyDescent="0.25">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x14ac:dyDescent="0.25">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x14ac:dyDescent="0.25">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x14ac:dyDescent="0.25">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x14ac:dyDescent="0.25">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x14ac:dyDescent="0.25">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x14ac:dyDescent="0.25">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x14ac:dyDescent="0.25">
      <c r="A245" s="69"/>
    </row>
    <row r="246" spans="1:60" x14ac:dyDescent="0.25">
      <c r="A246" s="69"/>
    </row>
    <row r="247" spans="1:60" x14ac:dyDescent="0.25">
      <c r="A247" s="69"/>
    </row>
    <row r="248" spans="1:60" x14ac:dyDescent="0.25">
      <c r="A248" s="69"/>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69"/>
      <c r="B1" s="644" t="s">
        <v>958</v>
      </c>
      <c r="C1" s="644"/>
      <c r="D1" s="644"/>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x14ac:dyDescent="0.25">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5" x14ac:dyDescent="0.25">
      <c r="A3" s="69"/>
      <c r="B3" s="3"/>
      <c r="C3" s="4" t="s">
        <v>959</v>
      </c>
      <c r="D3" s="4" t="s">
        <v>943</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1" x14ac:dyDescent="0.25">
      <c r="A4" s="69"/>
      <c r="B4" s="5" t="s">
        <v>960</v>
      </c>
      <c r="C4" s="6" t="s">
        <v>961</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1" x14ac:dyDescent="0.25">
      <c r="A5" s="69"/>
      <c r="B5" s="8" t="s">
        <v>962</v>
      </c>
      <c r="C5" s="9" t="s">
        <v>963</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1" x14ac:dyDescent="0.25">
      <c r="A6" s="69"/>
      <c r="B6" s="11" t="s">
        <v>964</v>
      </c>
      <c r="C6" s="9" t="s">
        <v>965</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6.5" x14ac:dyDescent="0.25">
      <c r="A7" s="69"/>
      <c r="B7" s="12" t="s">
        <v>966</v>
      </c>
      <c r="C7" s="9" t="s">
        <v>967</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1" x14ac:dyDescent="0.25">
      <c r="A8" s="69"/>
      <c r="B8" s="13" t="s">
        <v>968</v>
      </c>
      <c r="C8" s="9" t="s">
        <v>969</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x14ac:dyDescent="0.25">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ht="16.5" x14ac:dyDescent="0.25">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x14ac:dyDescent="0.25">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x14ac:dyDescent="0.25">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x14ac:dyDescent="0.25">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x14ac:dyDescent="0.25">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x14ac:dyDescent="0.25">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x14ac:dyDescent="0.25">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x14ac:dyDescent="0.25">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x14ac:dyDescent="0.25">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x14ac:dyDescent="0.25">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x14ac:dyDescent="0.25">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x14ac:dyDescent="0.2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x14ac:dyDescent="0.25">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x14ac:dyDescent="0.2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x14ac:dyDescent="0.25">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x14ac:dyDescent="0.25">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x14ac:dyDescent="0.25">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x14ac:dyDescent="0.2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x14ac:dyDescent="0.2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x14ac:dyDescent="0.25">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x14ac:dyDescent="0.2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x14ac:dyDescent="0.2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x14ac:dyDescent="0.25">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x14ac:dyDescent="0.25">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x14ac:dyDescent="0.25">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x14ac:dyDescent="0.25">
      <c r="A35" s="69"/>
    </row>
    <row r="36" spans="1:31" x14ac:dyDescent="0.25">
      <c r="A36" s="69"/>
    </row>
    <row r="37" spans="1:31" x14ac:dyDescent="0.25">
      <c r="A37" s="69"/>
    </row>
    <row r="38" spans="1:31" x14ac:dyDescent="0.25">
      <c r="A38" s="69"/>
    </row>
    <row r="39" spans="1:31" x14ac:dyDescent="0.25">
      <c r="A39" s="69"/>
    </row>
    <row r="40" spans="1:31" x14ac:dyDescent="0.25">
      <c r="A40" s="69"/>
    </row>
    <row r="41" spans="1:31" x14ac:dyDescent="0.25">
      <c r="A41" s="69"/>
    </row>
    <row r="42" spans="1:31" x14ac:dyDescent="0.25">
      <c r="A42" s="69"/>
    </row>
    <row r="43" spans="1:31" x14ac:dyDescent="0.25">
      <c r="A43" s="69"/>
    </row>
    <row r="44" spans="1:31" x14ac:dyDescent="0.25">
      <c r="A44" s="69"/>
    </row>
    <row r="45" spans="1:31" x14ac:dyDescent="0.25">
      <c r="A45" s="69"/>
    </row>
    <row r="46" spans="1:31" x14ac:dyDescent="0.25">
      <c r="A46" s="69"/>
    </row>
    <row r="47" spans="1:31" x14ac:dyDescent="0.25">
      <c r="A47" s="69"/>
    </row>
    <row r="48" spans="1:31" x14ac:dyDescent="0.25">
      <c r="A48" s="69"/>
    </row>
    <row r="49" spans="1:1" x14ac:dyDescent="0.25">
      <c r="A49" s="69"/>
    </row>
    <row r="50" spans="1:1" x14ac:dyDescent="0.25">
      <c r="A50" s="69"/>
    </row>
    <row r="51" spans="1:1" x14ac:dyDescent="0.25">
      <c r="A51" s="69"/>
    </row>
    <row r="52" spans="1:1" x14ac:dyDescent="0.25">
      <c r="A52" s="69"/>
    </row>
    <row r="53" spans="1:1" x14ac:dyDescent="0.25">
      <c r="A53" s="69"/>
    </row>
    <row r="54" spans="1:1" x14ac:dyDescent="0.25">
      <c r="A54" s="69"/>
    </row>
    <row r="55" spans="1:1" x14ac:dyDescent="0.25">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69"/>
      <c r="B1" s="645" t="s">
        <v>970</v>
      </c>
      <c r="C1" s="645"/>
      <c r="D1" s="645"/>
      <c r="E1" s="69"/>
      <c r="F1" s="69"/>
      <c r="G1" s="69"/>
      <c r="H1" s="69"/>
      <c r="I1" s="69"/>
      <c r="J1" s="69"/>
      <c r="K1" s="69"/>
      <c r="L1" s="69"/>
      <c r="M1" s="69"/>
      <c r="N1" s="69"/>
      <c r="O1" s="69"/>
      <c r="P1" s="69"/>
      <c r="Q1" s="69"/>
      <c r="R1" s="69"/>
      <c r="S1" s="69"/>
      <c r="T1" s="69"/>
      <c r="U1" s="69"/>
    </row>
    <row r="2" spans="1:21" x14ac:dyDescent="0.25">
      <c r="A2" s="69"/>
      <c r="B2" s="69"/>
      <c r="C2" s="69"/>
      <c r="D2" s="69"/>
      <c r="E2" s="69"/>
      <c r="F2" s="69"/>
      <c r="G2" s="69"/>
      <c r="H2" s="69"/>
      <c r="I2" s="69"/>
      <c r="J2" s="69"/>
      <c r="K2" s="69"/>
      <c r="L2" s="69"/>
      <c r="M2" s="69"/>
      <c r="N2" s="69"/>
      <c r="O2" s="69"/>
      <c r="P2" s="69"/>
      <c r="Q2" s="69"/>
      <c r="R2" s="69"/>
      <c r="S2" s="69"/>
      <c r="T2" s="69"/>
      <c r="U2" s="69"/>
    </row>
    <row r="3" spans="1:21" ht="60" x14ac:dyDescent="0.25">
      <c r="A3" s="69"/>
      <c r="B3" s="87"/>
      <c r="C3" s="22" t="s">
        <v>971</v>
      </c>
      <c r="D3" s="22" t="s">
        <v>972</v>
      </c>
      <c r="E3" s="69"/>
      <c r="F3" s="69"/>
      <c r="G3" s="69"/>
      <c r="H3" s="69"/>
      <c r="I3" s="69"/>
      <c r="J3" s="69"/>
      <c r="K3" s="69"/>
      <c r="L3" s="69"/>
      <c r="M3" s="69"/>
      <c r="N3" s="69"/>
      <c r="O3" s="69"/>
      <c r="P3" s="69"/>
      <c r="Q3" s="69"/>
      <c r="R3" s="69"/>
      <c r="S3" s="69"/>
      <c r="T3" s="69"/>
      <c r="U3" s="69"/>
    </row>
    <row r="4" spans="1:21" ht="33.75" x14ac:dyDescent="0.25">
      <c r="A4" s="86" t="s">
        <v>973</v>
      </c>
      <c r="B4" s="25" t="s">
        <v>974</v>
      </c>
      <c r="C4" s="30" t="s">
        <v>975</v>
      </c>
      <c r="D4" s="23" t="s">
        <v>976</v>
      </c>
      <c r="E4" s="69"/>
      <c r="F4" s="69"/>
      <c r="G4" s="69"/>
      <c r="H4" s="69"/>
      <c r="I4" s="69"/>
      <c r="J4" s="69"/>
      <c r="K4" s="69"/>
      <c r="L4" s="69"/>
      <c r="M4" s="69"/>
      <c r="N4" s="69"/>
      <c r="O4" s="69"/>
      <c r="P4" s="69"/>
      <c r="Q4" s="69"/>
      <c r="R4" s="69"/>
      <c r="S4" s="69"/>
      <c r="T4" s="69"/>
      <c r="U4" s="69"/>
    </row>
    <row r="5" spans="1:21" ht="101.25" x14ac:dyDescent="0.25">
      <c r="A5" s="86" t="s">
        <v>977</v>
      </c>
      <c r="B5" s="26" t="s">
        <v>978</v>
      </c>
      <c r="C5" s="31" t="s">
        <v>979</v>
      </c>
      <c r="D5" s="24" t="s">
        <v>980</v>
      </c>
      <c r="E5" s="69"/>
      <c r="F5" s="69"/>
      <c r="G5" s="69"/>
      <c r="H5" s="69"/>
      <c r="I5" s="69"/>
      <c r="J5" s="69"/>
      <c r="K5" s="69"/>
      <c r="L5" s="69"/>
      <c r="M5" s="69"/>
      <c r="N5" s="69"/>
      <c r="O5" s="69"/>
      <c r="P5" s="69"/>
      <c r="Q5" s="69"/>
      <c r="R5" s="69"/>
      <c r="S5" s="69"/>
      <c r="T5" s="69"/>
      <c r="U5" s="69"/>
    </row>
    <row r="6" spans="1:21" ht="67.5" x14ac:dyDescent="0.25">
      <c r="A6" s="86" t="s">
        <v>948</v>
      </c>
      <c r="B6" s="27" t="s">
        <v>981</v>
      </c>
      <c r="C6" s="31" t="s">
        <v>982</v>
      </c>
      <c r="D6" s="24" t="s">
        <v>983</v>
      </c>
      <c r="E6" s="69"/>
      <c r="F6" s="69"/>
      <c r="G6" s="69"/>
      <c r="H6" s="69"/>
      <c r="I6" s="69"/>
      <c r="J6" s="69"/>
      <c r="K6" s="69"/>
      <c r="L6" s="69"/>
      <c r="M6" s="69"/>
      <c r="N6" s="69"/>
      <c r="O6" s="69"/>
      <c r="P6" s="69"/>
      <c r="Q6" s="69"/>
      <c r="R6" s="69"/>
      <c r="S6" s="69"/>
      <c r="T6" s="69"/>
      <c r="U6" s="69"/>
    </row>
    <row r="7" spans="1:21" ht="101.25" x14ac:dyDescent="0.25">
      <c r="A7" s="86" t="s">
        <v>984</v>
      </c>
      <c r="B7" s="28" t="s">
        <v>985</v>
      </c>
      <c r="C7" s="31" t="s">
        <v>986</v>
      </c>
      <c r="D7" s="24" t="s">
        <v>987</v>
      </c>
      <c r="E7" s="69"/>
      <c r="F7" s="69"/>
      <c r="G7" s="69"/>
      <c r="H7" s="69"/>
      <c r="I7" s="69"/>
      <c r="J7" s="69"/>
      <c r="K7" s="69"/>
      <c r="L7" s="69"/>
      <c r="M7" s="69"/>
      <c r="N7" s="69"/>
      <c r="O7" s="69"/>
      <c r="P7" s="69"/>
      <c r="Q7" s="69"/>
      <c r="R7" s="69"/>
      <c r="S7" s="69"/>
      <c r="T7" s="69"/>
      <c r="U7" s="69"/>
    </row>
    <row r="8" spans="1:21" ht="67.5" x14ac:dyDescent="0.25">
      <c r="A8" s="86" t="s">
        <v>988</v>
      </c>
      <c r="B8" s="29" t="s">
        <v>989</v>
      </c>
      <c r="C8" s="31" t="s">
        <v>990</v>
      </c>
      <c r="D8" s="24" t="s">
        <v>991</v>
      </c>
      <c r="E8" s="69"/>
      <c r="F8" s="69"/>
      <c r="G8" s="69"/>
      <c r="H8" s="69"/>
      <c r="I8" s="69"/>
      <c r="J8" s="69"/>
      <c r="K8" s="69"/>
      <c r="L8" s="69"/>
      <c r="M8" s="69"/>
      <c r="N8" s="69"/>
      <c r="O8" s="69"/>
      <c r="P8" s="69"/>
      <c r="Q8" s="69"/>
      <c r="R8" s="69"/>
      <c r="S8" s="69"/>
      <c r="T8" s="69"/>
      <c r="U8" s="69"/>
    </row>
    <row r="9" spans="1:21" ht="20.25" x14ac:dyDescent="0.25">
      <c r="A9" s="86"/>
      <c r="B9" s="86"/>
      <c r="C9" s="88"/>
      <c r="D9" s="88"/>
      <c r="E9" s="69"/>
      <c r="F9" s="69"/>
      <c r="G9" s="69"/>
      <c r="H9" s="69"/>
      <c r="I9" s="69"/>
      <c r="J9" s="69"/>
      <c r="K9" s="69"/>
      <c r="L9" s="69"/>
      <c r="M9" s="69"/>
      <c r="N9" s="69"/>
      <c r="O9" s="69"/>
      <c r="P9" s="69"/>
      <c r="Q9" s="69"/>
      <c r="R9" s="69"/>
      <c r="S9" s="69"/>
      <c r="T9" s="69"/>
      <c r="U9" s="69"/>
    </row>
    <row r="10" spans="1:21" ht="16.5" x14ac:dyDescent="0.25">
      <c r="A10" s="86"/>
      <c r="B10" s="89"/>
      <c r="C10" s="89"/>
      <c r="D10" s="89"/>
      <c r="E10" s="69"/>
      <c r="F10" s="69"/>
      <c r="G10" s="69"/>
      <c r="H10" s="69"/>
      <c r="I10" s="69"/>
      <c r="J10" s="69"/>
      <c r="K10" s="69"/>
      <c r="L10" s="69"/>
      <c r="M10" s="69"/>
      <c r="N10" s="69"/>
      <c r="O10" s="69"/>
      <c r="P10" s="69"/>
      <c r="Q10" s="69"/>
      <c r="R10" s="69"/>
      <c r="S10" s="69"/>
      <c r="T10" s="69"/>
      <c r="U10" s="69"/>
    </row>
    <row r="11" spans="1:21" x14ac:dyDescent="0.25">
      <c r="A11" s="86"/>
      <c r="B11" s="86" t="s">
        <v>992</v>
      </c>
      <c r="C11" s="86" t="s">
        <v>993</v>
      </c>
      <c r="D11" s="86" t="s">
        <v>71</v>
      </c>
      <c r="E11" s="69"/>
      <c r="F11" s="69"/>
      <c r="G11" s="69"/>
      <c r="H11" s="69"/>
      <c r="I11" s="69"/>
      <c r="J11" s="69"/>
      <c r="K11" s="69"/>
      <c r="L11" s="69"/>
      <c r="M11" s="69"/>
      <c r="N11" s="69"/>
      <c r="O11" s="69"/>
      <c r="P11" s="69"/>
      <c r="Q11" s="69"/>
      <c r="R11" s="69"/>
      <c r="S11" s="69"/>
      <c r="T11" s="69"/>
      <c r="U11" s="69"/>
    </row>
    <row r="12" spans="1:21" x14ac:dyDescent="0.25">
      <c r="A12" s="86"/>
      <c r="B12" s="86" t="s">
        <v>994</v>
      </c>
      <c r="C12" s="86" t="s">
        <v>995</v>
      </c>
      <c r="D12" s="86" t="s">
        <v>996</v>
      </c>
      <c r="E12" s="69"/>
      <c r="F12" s="69"/>
      <c r="G12" s="69"/>
      <c r="H12" s="69"/>
      <c r="I12" s="69"/>
      <c r="J12" s="69"/>
      <c r="K12" s="69"/>
      <c r="L12" s="69"/>
      <c r="M12" s="69"/>
      <c r="N12" s="69"/>
      <c r="O12" s="69"/>
      <c r="P12" s="69"/>
      <c r="Q12" s="69"/>
      <c r="R12" s="69"/>
      <c r="S12" s="69"/>
      <c r="T12" s="69"/>
      <c r="U12" s="69"/>
    </row>
    <row r="13" spans="1:21" x14ac:dyDescent="0.25">
      <c r="A13" s="86"/>
      <c r="B13" s="86"/>
      <c r="C13" s="86" t="s">
        <v>997</v>
      </c>
      <c r="D13" s="86" t="s">
        <v>83</v>
      </c>
      <c r="E13" s="69"/>
      <c r="F13" s="69"/>
      <c r="G13" s="69"/>
      <c r="H13" s="69"/>
      <c r="I13" s="69"/>
      <c r="J13" s="69"/>
      <c r="K13" s="69"/>
      <c r="L13" s="69"/>
      <c r="M13" s="69"/>
      <c r="N13" s="69"/>
      <c r="O13" s="69"/>
      <c r="P13" s="69"/>
      <c r="Q13" s="69"/>
      <c r="R13" s="69"/>
      <c r="S13" s="69"/>
      <c r="T13" s="69"/>
      <c r="U13" s="69"/>
    </row>
    <row r="14" spans="1:21" x14ac:dyDescent="0.25">
      <c r="A14" s="86"/>
      <c r="B14" s="86"/>
      <c r="C14" s="86" t="s">
        <v>998</v>
      </c>
      <c r="D14" s="86" t="s">
        <v>999</v>
      </c>
      <c r="E14" s="69"/>
      <c r="F14" s="69"/>
      <c r="G14" s="69"/>
      <c r="H14" s="69"/>
      <c r="I14" s="69"/>
      <c r="J14" s="69"/>
      <c r="K14" s="69"/>
      <c r="L14" s="69"/>
      <c r="M14" s="69"/>
      <c r="N14" s="69"/>
      <c r="O14" s="69"/>
      <c r="P14" s="69"/>
      <c r="Q14" s="69"/>
      <c r="R14" s="69"/>
      <c r="S14" s="69"/>
      <c r="T14" s="69"/>
      <c r="U14" s="69"/>
    </row>
    <row r="15" spans="1:21" x14ac:dyDescent="0.25">
      <c r="A15" s="86"/>
      <c r="B15" s="86"/>
      <c r="C15" s="86" t="s">
        <v>1000</v>
      </c>
      <c r="D15" s="86" t="s">
        <v>1001</v>
      </c>
      <c r="E15" s="69"/>
      <c r="F15" s="69"/>
      <c r="G15" s="69"/>
      <c r="H15" s="69"/>
      <c r="I15" s="69"/>
      <c r="J15" s="69"/>
      <c r="K15" s="69"/>
      <c r="L15" s="69"/>
      <c r="M15" s="69"/>
      <c r="N15" s="69"/>
      <c r="O15" s="69"/>
      <c r="P15" s="69"/>
      <c r="Q15" s="69"/>
      <c r="R15" s="69"/>
      <c r="S15" s="69"/>
      <c r="T15" s="69"/>
      <c r="U15" s="69"/>
    </row>
    <row r="16" spans="1:21" x14ac:dyDescent="0.25">
      <c r="A16" s="86"/>
      <c r="B16" s="86"/>
      <c r="C16" s="86"/>
      <c r="D16" s="86"/>
      <c r="E16" s="69"/>
      <c r="F16" s="69"/>
      <c r="G16" s="69"/>
      <c r="H16" s="69"/>
      <c r="I16" s="69"/>
      <c r="J16" s="69"/>
      <c r="K16" s="69"/>
      <c r="L16" s="69"/>
      <c r="M16" s="69"/>
      <c r="N16" s="69"/>
      <c r="O16" s="69"/>
    </row>
    <row r="17" spans="1:15" x14ac:dyDescent="0.25">
      <c r="A17" s="86"/>
      <c r="B17" s="86"/>
      <c r="C17" s="86"/>
      <c r="D17" s="86"/>
      <c r="E17" s="69"/>
      <c r="F17" s="69"/>
      <c r="G17" s="69"/>
      <c r="H17" s="69"/>
      <c r="I17" s="69"/>
      <c r="J17" s="69"/>
      <c r="K17" s="69"/>
      <c r="L17" s="69"/>
      <c r="M17" s="69"/>
      <c r="N17" s="69"/>
      <c r="O17" s="69"/>
    </row>
    <row r="18" spans="1:15" x14ac:dyDescent="0.25">
      <c r="A18" s="86"/>
      <c r="B18" s="90"/>
      <c r="C18" s="90"/>
      <c r="D18" s="90"/>
      <c r="E18" s="69"/>
      <c r="F18" s="69"/>
      <c r="G18" s="69"/>
      <c r="H18" s="69"/>
      <c r="I18" s="69"/>
      <c r="J18" s="69"/>
      <c r="K18" s="69"/>
      <c r="L18" s="69"/>
      <c r="M18" s="69"/>
      <c r="N18" s="69"/>
      <c r="O18" s="69"/>
    </row>
    <row r="19" spans="1:15" x14ac:dyDescent="0.25">
      <c r="A19" s="86"/>
      <c r="B19" s="90"/>
      <c r="C19" s="90"/>
      <c r="D19" s="90"/>
      <c r="E19" s="69"/>
      <c r="F19" s="69"/>
      <c r="G19" s="69"/>
      <c r="H19" s="69"/>
      <c r="I19" s="69"/>
      <c r="J19" s="69"/>
      <c r="K19" s="69"/>
      <c r="L19" s="69"/>
      <c r="M19" s="69"/>
      <c r="N19" s="69"/>
      <c r="O19" s="69"/>
    </row>
    <row r="20" spans="1:15" x14ac:dyDescent="0.25">
      <c r="A20" s="86"/>
      <c r="B20" s="90"/>
      <c r="C20" s="90"/>
      <c r="D20" s="90"/>
      <c r="E20" s="69"/>
      <c r="F20" s="69"/>
      <c r="G20" s="69"/>
      <c r="H20" s="69"/>
      <c r="I20" s="69"/>
      <c r="J20" s="69"/>
      <c r="K20" s="69"/>
      <c r="L20" s="69"/>
      <c r="M20" s="69"/>
      <c r="N20" s="69"/>
      <c r="O20" s="69"/>
    </row>
    <row r="21" spans="1:15" x14ac:dyDescent="0.25">
      <c r="A21" s="86"/>
      <c r="B21" s="90"/>
      <c r="C21" s="90"/>
      <c r="D21" s="90"/>
      <c r="E21" s="69"/>
      <c r="F21" s="69"/>
      <c r="G21" s="69"/>
      <c r="H21" s="69"/>
      <c r="I21" s="69"/>
      <c r="J21" s="69"/>
      <c r="K21" s="69"/>
      <c r="L21" s="69"/>
      <c r="M21" s="69"/>
      <c r="N21" s="69"/>
      <c r="O21" s="69"/>
    </row>
    <row r="22" spans="1:15" ht="20.25" x14ac:dyDescent="0.25">
      <c r="A22" s="86"/>
      <c r="B22" s="86"/>
      <c r="C22" s="88"/>
      <c r="D22" s="88"/>
      <c r="E22" s="69"/>
      <c r="F22" s="69"/>
      <c r="G22" s="69"/>
      <c r="H22" s="69"/>
      <c r="I22" s="69"/>
      <c r="J22" s="69"/>
      <c r="K22" s="69"/>
      <c r="L22" s="69"/>
      <c r="M22" s="69"/>
      <c r="N22" s="69"/>
      <c r="O22" s="69"/>
    </row>
    <row r="23" spans="1:15" ht="20.25" x14ac:dyDescent="0.25">
      <c r="A23" s="86"/>
      <c r="B23" s="86"/>
      <c r="C23" s="88"/>
      <c r="D23" s="88"/>
      <c r="E23" s="69"/>
      <c r="F23" s="69"/>
      <c r="G23" s="69"/>
      <c r="H23" s="69"/>
      <c r="I23" s="69"/>
      <c r="J23" s="69"/>
      <c r="K23" s="69"/>
      <c r="L23" s="69"/>
      <c r="M23" s="69"/>
      <c r="N23" s="69"/>
      <c r="O23" s="69"/>
    </row>
    <row r="24" spans="1:15" ht="20.25" x14ac:dyDescent="0.25">
      <c r="A24" s="86"/>
      <c r="B24" s="86"/>
      <c r="C24" s="88"/>
      <c r="D24" s="88"/>
      <c r="E24" s="69"/>
      <c r="F24" s="69"/>
      <c r="G24" s="69"/>
      <c r="H24" s="69"/>
      <c r="I24" s="69"/>
      <c r="J24" s="69"/>
      <c r="K24" s="69"/>
      <c r="L24" s="69"/>
      <c r="M24" s="69"/>
      <c r="N24" s="69"/>
      <c r="O24" s="69"/>
    </row>
    <row r="25" spans="1:15" ht="20.25" x14ac:dyDescent="0.25">
      <c r="A25" s="86"/>
      <c r="B25" s="86"/>
      <c r="C25" s="88"/>
      <c r="D25" s="88"/>
      <c r="E25" s="69"/>
      <c r="F25" s="69"/>
      <c r="G25" s="69"/>
      <c r="H25" s="69"/>
      <c r="I25" s="69"/>
      <c r="J25" s="69"/>
      <c r="K25" s="69"/>
      <c r="L25" s="69"/>
      <c r="M25" s="69"/>
      <c r="N25" s="69"/>
      <c r="O25" s="69"/>
    </row>
    <row r="26" spans="1:15" ht="20.25" x14ac:dyDescent="0.25">
      <c r="A26" s="86"/>
      <c r="B26" s="86"/>
      <c r="C26" s="88"/>
      <c r="D26" s="88"/>
      <c r="E26" s="69"/>
      <c r="F26" s="69"/>
      <c r="G26" s="69"/>
      <c r="H26" s="69"/>
      <c r="I26" s="69"/>
      <c r="J26" s="69"/>
      <c r="K26" s="69"/>
      <c r="L26" s="69"/>
      <c r="M26" s="69"/>
      <c r="N26" s="69"/>
      <c r="O26" s="69"/>
    </row>
    <row r="27" spans="1:15" ht="20.25" x14ac:dyDescent="0.25">
      <c r="A27" s="86"/>
      <c r="B27" s="86"/>
      <c r="C27" s="88"/>
      <c r="D27" s="88"/>
      <c r="E27" s="69"/>
      <c r="F27" s="69"/>
      <c r="G27" s="69"/>
      <c r="H27" s="69"/>
      <c r="I27" s="69"/>
      <c r="J27" s="69"/>
      <c r="K27" s="69"/>
      <c r="L27" s="69"/>
      <c r="M27" s="69"/>
      <c r="N27" s="69"/>
      <c r="O27" s="69"/>
    </row>
    <row r="28" spans="1:15" ht="20.25" x14ac:dyDescent="0.25">
      <c r="A28" s="86"/>
      <c r="B28" s="86"/>
      <c r="C28" s="88"/>
      <c r="D28" s="88"/>
      <c r="E28" s="69"/>
      <c r="F28" s="69"/>
      <c r="G28" s="69"/>
      <c r="H28" s="69"/>
      <c r="I28" s="69"/>
      <c r="J28" s="69"/>
      <c r="K28" s="69"/>
      <c r="L28" s="69"/>
      <c r="M28" s="69"/>
      <c r="N28" s="69"/>
      <c r="O28" s="69"/>
    </row>
    <row r="29" spans="1:15" ht="20.25" x14ac:dyDescent="0.25">
      <c r="A29" s="86"/>
      <c r="B29" s="86"/>
      <c r="C29" s="88"/>
      <c r="D29" s="88"/>
      <c r="E29" s="69"/>
      <c r="F29" s="69"/>
      <c r="G29" s="69"/>
      <c r="H29" s="69"/>
      <c r="I29" s="69"/>
      <c r="J29" s="69"/>
      <c r="K29" s="69"/>
      <c r="L29" s="69"/>
      <c r="M29" s="69"/>
      <c r="N29" s="69"/>
      <c r="O29" s="69"/>
    </row>
    <row r="30" spans="1:15" ht="20.25" x14ac:dyDescent="0.25">
      <c r="A30" s="86"/>
      <c r="B30" s="86"/>
      <c r="C30" s="88"/>
      <c r="D30" s="88"/>
      <c r="E30" s="69"/>
      <c r="F30" s="69"/>
      <c r="G30" s="69"/>
      <c r="H30" s="69"/>
      <c r="I30" s="69"/>
      <c r="J30" s="69"/>
      <c r="K30" s="69"/>
      <c r="L30" s="69"/>
      <c r="M30" s="69"/>
      <c r="N30" s="69"/>
      <c r="O30" s="69"/>
    </row>
    <row r="31" spans="1:15" ht="20.25" x14ac:dyDescent="0.25">
      <c r="A31" s="86"/>
      <c r="B31" s="86"/>
      <c r="C31" s="88"/>
      <c r="D31" s="88"/>
      <c r="E31" s="69"/>
      <c r="F31" s="69"/>
      <c r="G31" s="69"/>
      <c r="H31" s="69"/>
      <c r="I31" s="69"/>
      <c r="J31" s="69"/>
      <c r="K31" s="69"/>
      <c r="L31" s="69"/>
      <c r="M31" s="69"/>
      <c r="N31" s="69"/>
      <c r="O31" s="69"/>
    </row>
    <row r="32" spans="1:15" ht="20.25" x14ac:dyDescent="0.25">
      <c r="A32" s="86"/>
      <c r="B32" s="86"/>
      <c r="C32" s="88"/>
      <c r="D32" s="88"/>
      <c r="E32" s="69"/>
      <c r="F32" s="69"/>
      <c r="G32" s="69"/>
      <c r="H32" s="69"/>
      <c r="I32" s="69"/>
      <c r="J32" s="69"/>
      <c r="K32" s="69"/>
      <c r="L32" s="69"/>
      <c r="M32" s="69"/>
      <c r="N32" s="69"/>
      <c r="O32" s="69"/>
    </row>
    <row r="33" spans="1:15" ht="20.25" x14ac:dyDescent="0.25">
      <c r="A33" s="86"/>
      <c r="B33" s="86"/>
      <c r="C33" s="88"/>
      <c r="D33" s="88"/>
      <c r="E33" s="69"/>
      <c r="F33" s="69"/>
      <c r="G33" s="69"/>
      <c r="H33" s="69"/>
      <c r="I33" s="69"/>
      <c r="J33" s="69"/>
      <c r="K33" s="69"/>
      <c r="L33" s="69"/>
      <c r="M33" s="69"/>
      <c r="N33" s="69"/>
      <c r="O33" s="69"/>
    </row>
    <row r="34" spans="1:15" ht="20.25" x14ac:dyDescent="0.25">
      <c r="A34" s="86"/>
      <c r="B34" s="86"/>
      <c r="C34" s="88"/>
      <c r="D34" s="88"/>
      <c r="E34" s="69"/>
      <c r="F34" s="69"/>
      <c r="G34" s="69"/>
      <c r="H34" s="69"/>
      <c r="I34" s="69"/>
      <c r="J34" s="69"/>
      <c r="K34" s="69"/>
      <c r="L34" s="69"/>
      <c r="M34" s="69"/>
      <c r="N34" s="69"/>
      <c r="O34" s="69"/>
    </row>
    <row r="35" spans="1:15" ht="20.25" x14ac:dyDescent="0.25">
      <c r="A35" s="86"/>
      <c r="B35" s="86"/>
      <c r="C35" s="88"/>
      <c r="D35" s="88"/>
      <c r="E35" s="69"/>
      <c r="F35" s="69"/>
      <c r="G35" s="69"/>
      <c r="H35" s="69"/>
      <c r="I35" s="69"/>
      <c r="J35" s="69"/>
      <c r="K35" s="69"/>
      <c r="L35" s="69"/>
      <c r="M35" s="69"/>
      <c r="N35" s="69"/>
      <c r="O35" s="69"/>
    </row>
    <row r="36" spans="1:15" ht="20.25" x14ac:dyDescent="0.25">
      <c r="A36" s="86"/>
      <c r="B36" s="86"/>
      <c r="C36" s="88"/>
      <c r="D36" s="88"/>
      <c r="E36" s="69"/>
      <c r="F36" s="69"/>
      <c r="G36" s="69"/>
      <c r="H36" s="69"/>
      <c r="I36" s="69"/>
      <c r="J36" s="69"/>
      <c r="K36" s="69"/>
      <c r="L36" s="69"/>
      <c r="M36" s="69"/>
      <c r="N36" s="69"/>
      <c r="O36" s="69"/>
    </row>
    <row r="37" spans="1:15" ht="20.25" x14ac:dyDescent="0.25">
      <c r="A37" s="86"/>
      <c r="B37" s="86"/>
      <c r="C37" s="88"/>
      <c r="D37" s="88"/>
      <c r="E37" s="69"/>
      <c r="F37" s="69"/>
      <c r="G37" s="69"/>
      <c r="H37" s="69"/>
      <c r="I37" s="69"/>
      <c r="J37" s="69"/>
      <c r="K37" s="69"/>
      <c r="L37" s="69"/>
      <c r="M37" s="69"/>
      <c r="N37" s="69"/>
      <c r="O37" s="69"/>
    </row>
    <row r="38" spans="1:15" ht="20.25" x14ac:dyDescent="0.25">
      <c r="A38" s="86"/>
      <c r="B38" s="86"/>
      <c r="C38" s="88"/>
      <c r="D38" s="88"/>
      <c r="E38" s="69"/>
      <c r="F38" s="69"/>
      <c r="G38" s="69"/>
      <c r="H38" s="69"/>
      <c r="I38" s="69"/>
      <c r="J38" s="69"/>
      <c r="K38" s="69"/>
      <c r="L38" s="69"/>
      <c r="M38" s="69"/>
      <c r="N38" s="69"/>
      <c r="O38" s="69"/>
    </row>
    <row r="39" spans="1:15" ht="20.25" x14ac:dyDescent="0.25">
      <c r="A39" s="86"/>
      <c r="B39" s="86"/>
      <c r="C39" s="88"/>
      <c r="D39" s="88"/>
      <c r="E39" s="69"/>
      <c r="F39" s="69"/>
      <c r="G39" s="69"/>
      <c r="H39" s="69"/>
      <c r="I39" s="69"/>
      <c r="J39" s="69"/>
      <c r="K39" s="69"/>
      <c r="L39" s="69"/>
      <c r="M39" s="69"/>
      <c r="N39" s="69"/>
      <c r="O39" s="69"/>
    </row>
    <row r="40" spans="1:15" ht="20.25" x14ac:dyDescent="0.25">
      <c r="A40" s="86"/>
      <c r="B40" s="86"/>
      <c r="C40" s="88"/>
      <c r="D40" s="88"/>
      <c r="E40" s="69"/>
      <c r="F40" s="69"/>
      <c r="G40" s="69"/>
      <c r="H40" s="69"/>
      <c r="I40" s="69"/>
      <c r="J40" s="69"/>
      <c r="K40" s="69"/>
      <c r="L40" s="69"/>
      <c r="M40" s="69"/>
      <c r="N40" s="69"/>
      <c r="O40" s="69"/>
    </row>
    <row r="41" spans="1:15" ht="20.25" x14ac:dyDescent="0.25">
      <c r="A41" s="86"/>
      <c r="B41" s="86"/>
      <c r="C41" s="88"/>
      <c r="D41" s="88"/>
      <c r="E41" s="69"/>
      <c r="F41" s="69"/>
      <c r="G41" s="69"/>
      <c r="H41" s="69"/>
      <c r="I41" s="69"/>
      <c r="J41" s="69"/>
      <c r="K41" s="69"/>
      <c r="L41" s="69"/>
      <c r="M41" s="69"/>
      <c r="N41" s="69"/>
      <c r="O41" s="69"/>
    </row>
    <row r="42" spans="1:15" ht="20.25" x14ac:dyDescent="0.25">
      <c r="A42" s="86"/>
      <c r="B42" s="86"/>
      <c r="C42" s="88"/>
      <c r="D42" s="88"/>
      <c r="E42" s="69"/>
      <c r="F42" s="69"/>
      <c r="G42" s="69"/>
      <c r="H42" s="69"/>
      <c r="I42" s="69"/>
      <c r="J42" s="69"/>
      <c r="K42" s="69"/>
      <c r="L42" s="69"/>
      <c r="M42" s="69"/>
      <c r="N42" s="69"/>
      <c r="O42" s="69"/>
    </row>
    <row r="43" spans="1:15" ht="20.25" x14ac:dyDescent="0.25">
      <c r="A43" s="86"/>
      <c r="B43" s="86"/>
      <c r="C43" s="88"/>
      <c r="D43" s="88"/>
      <c r="E43" s="69"/>
      <c r="F43" s="69"/>
      <c r="G43" s="69"/>
      <c r="H43" s="69"/>
      <c r="I43" s="69"/>
      <c r="J43" s="69"/>
      <c r="K43" s="69"/>
      <c r="L43" s="69"/>
      <c r="M43" s="69"/>
      <c r="N43" s="69"/>
      <c r="O43" s="69"/>
    </row>
    <row r="44" spans="1:15" ht="20.25" x14ac:dyDescent="0.25">
      <c r="A44" s="86"/>
      <c r="B44" s="86"/>
      <c r="C44" s="88"/>
      <c r="D44" s="88"/>
      <c r="E44" s="69"/>
      <c r="F44" s="69"/>
      <c r="G44" s="69"/>
      <c r="H44" s="69"/>
      <c r="I44" s="69"/>
      <c r="J44" s="69"/>
      <c r="K44" s="69"/>
      <c r="L44" s="69"/>
      <c r="M44" s="69"/>
      <c r="N44" s="69"/>
      <c r="O44" s="69"/>
    </row>
    <row r="45" spans="1:15" ht="20.25" x14ac:dyDescent="0.25">
      <c r="A45" s="86"/>
      <c r="B45" s="86"/>
      <c r="C45" s="88"/>
      <c r="D45" s="88"/>
      <c r="E45" s="69"/>
      <c r="F45" s="69"/>
      <c r="G45" s="69"/>
      <c r="H45" s="69"/>
      <c r="I45" s="69"/>
      <c r="J45" s="69"/>
      <c r="K45" s="69"/>
      <c r="L45" s="69"/>
      <c r="M45" s="69"/>
      <c r="N45" s="69"/>
      <c r="O45" s="69"/>
    </row>
    <row r="46" spans="1:15" ht="20.25" x14ac:dyDescent="0.25">
      <c r="A46" s="86"/>
      <c r="B46" s="86"/>
      <c r="C46" s="88"/>
      <c r="D46" s="88"/>
      <c r="E46" s="69"/>
      <c r="F46" s="69"/>
      <c r="G46" s="69"/>
      <c r="H46" s="69"/>
      <c r="I46" s="69"/>
      <c r="J46" s="69"/>
      <c r="K46" s="69"/>
      <c r="L46" s="69"/>
      <c r="M46" s="69"/>
      <c r="N46" s="69"/>
      <c r="O46" s="69"/>
    </row>
    <row r="47" spans="1:15" ht="20.25" x14ac:dyDescent="0.25">
      <c r="A47" s="86"/>
      <c r="B47" s="86"/>
      <c r="C47" s="88"/>
      <c r="D47" s="88"/>
      <c r="E47" s="69"/>
      <c r="F47" s="69"/>
      <c r="G47" s="69"/>
      <c r="H47" s="69"/>
      <c r="I47" s="69"/>
      <c r="J47" s="69"/>
      <c r="K47" s="69"/>
      <c r="L47" s="69"/>
      <c r="M47" s="69"/>
      <c r="N47" s="69"/>
      <c r="O47" s="69"/>
    </row>
    <row r="48" spans="1:15" ht="20.25" x14ac:dyDescent="0.25">
      <c r="A48" s="86"/>
      <c r="B48" s="86"/>
      <c r="C48" s="88"/>
      <c r="D48" s="88"/>
      <c r="E48" s="69"/>
      <c r="F48" s="69"/>
      <c r="G48" s="69"/>
      <c r="H48" s="69"/>
      <c r="I48" s="69"/>
      <c r="J48" s="69"/>
      <c r="K48" s="69"/>
      <c r="L48" s="69"/>
      <c r="M48" s="69"/>
      <c r="N48" s="69"/>
      <c r="O48" s="69"/>
    </row>
    <row r="49" spans="1:15" ht="20.25" x14ac:dyDescent="0.25">
      <c r="A49" s="86"/>
      <c r="B49" s="86"/>
      <c r="C49" s="88"/>
      <c r="D49" s="88"/>
      <c r="E49" s="69"/>
      <c r="F49" s="69"/>
      <c r="G49" s="69"/>
      <c r="H49" s="69"/>
      <c r="I49" s="69"/>
      <c r="J49" s="69"/>
      <c r="K49" s="69"/>
      <c r="L49" s="69"/>
      <c r="M49" s="69"/>
      <c r="N49" s="69"/>
      <c r="O49" s="69"/>
    </row>
    <row r="50" spans="1:15" ht="20.25" x14ac:dyDescent="0.25">
      <c r="A50" s="86"/>
      <c r="B50" s="86"/>
      <c r="C50" s="88"/>
      <c r="D50" s="88"/>
      <c r="E50" s="69"/>
      <c r="F50" s="69"/>
      <c r="G50" s="69"/>
      <c r="H50" s="69"/>
      <c r="I50" s="69"/>
      <c r="J50" s="69"/>
      <c r="K50" s="69"/>
      <c r="L50" s="69"/>
      <c r="M50" s="69"/>
      <c r="N50" s="69"/>
      <c r="O50" s="69"/>
    </row>
    <row r="51" spans="1:15" ht="20.25" x14ac:dyDescent="0.25">
      <c r="A51" s="86"/>
      <c r="B51" s="86"/>
      <c r="C51" s="88"/>
      <c r="D51" s="88"/>
      <c r="E51" s="69"/>
      <c r="F51" s="69"/>
      <c r="G51" s="69"/>
      <c r="H51" s="69"/>
      <c r="I51" s="69"/>
      <c r="J51" s="69"/>
      <c r="K51" s="69"/>
      <c r="L51" s="69"/>
      <c r="M51" s="69"/>
      <c r="N51" s="69"/>
      <c r="O51" s="69"/>
    </row>
    <row r="52" spans="1:15" ht="20.25" x14ac:dyDescent="0.25">
      <c r="A52" s="86"/>
      <c r="B52" s="15"/>
      <c r="C52" s="20"/>
      <c r="D52" s="20"/>
    </row>
    <row r="53" spans="1:15" ht="20.25" x14ac:dyDescent="0.25">
      <c r="A53" s="86"/>
      <c r="B53" s="15"/>
      <c r="C53" s="20"/>
      <c r="D53" s="20"/>
    </row>
    <row r="54" spans="1:15" ht="20.25" x14ac:dyDescent="0.25">
      <c r="A54" s="86"/>
      <c r="B54" s="15"/>
      <c r="C54" s="20"/>
      <c r="D54" s="20"/>
    </row>
    <row r="55" spans="1:15" ht="20.25" x14ac:dyDescent="0.25">
      <c r="A55" s="86"/>
      <c r="B55" s="15"/>
      <c r="C55" s="20"/>
      <c r="D55" s="20"/>
    </row>
    <row r="56" spans="1:15" ht="20.25" x14ac:dyDescent="0.25">
      <c r="A56" s="86"/>
      <c r="B56" s="15"/>
      <c r="C56" s="20"/>
      <c r="D56" s="20"/>
    </row>
    <row r="57" spans="1:15" ht="20.25" x14ac:dyDescent="0.25">
      <c r="A57" s="86"/>
      <c r="B57" s="15"/>
      <c r="C57" s="20"/>
      <c r="D57" s="20"/>
    </row>
    <row r="58" spans="1:15" ht="20.25" x14ac:dyDescent="0.25">
      <c r="A58" s="86"/>
      <c r="B58" s="15"/>
      <c r="C58" s="20"/>
      <c r="D58" s="20"/>
    </row>
    <row r="59" spans="1:15" ht="20.25" x14ac:dyDescent="0.25">
      <c r="A59" s="86"/>
      <c r="B59" s="15"/>
      <c r="C59" s="20"/>
      <c r="D59" s="20"/>
    </row>
    <row r="60" spans="1:15" ht="20.25" x14ac:dyDescent="0.25">
      <c r="A60" s="86"/>
      <c r="B60" s="15"/>
      <c r="C60" s="20"/>
      <c r="D60" s="20"/>
    </row>
    <row r="61" spans="1:15" ht="20.25" x14ac:dyDescent="0.25">
      <c r="A61" s="86"/>
      <c r="B61" s="15"/>
      <c r="C61" s="20"/>
      <c r="D61" s="20"/>
    </row>
    <row r="62" spans="1:15" ht="20.25" x14ac:dyDescent="0.25">
      <c r="A62" s="86"/>
      <c r="B62" s="15"/>
      <c r="C62" s="20"/>
      <c r="D62" s="20"/>
    </row>
    <row r="63" spans="1:15" ht="20.25" x14ac:dyDescent="0.25">
      <c r="A63" s="86"/>
      <c r="B63" s="15"/>
      <c r="C63" s="20"/>
      <c r="D63" s="20"/>
    </row>
    <row r="64" spans="1:15" ht="20.25" x14ac:dyDescent="0.25">
      <c r="A64" s="86"/>
      <c r="B64" s="15"/>
      <c r="C64" s="20"/>
      <c r="D64" s="20"/>
    </row>
    <row r="65" spans="1:4" ht="20.25" x14ac:dyDescent="0.25">
      <c r="A65" s="86"/>
      <c r="B65" s="15"/>
      <c r="C65" s="20"/>
      <c r="D65" s="20"/>
    </row>
    <row r="66" spans="1:4" ht="20.25" x14ac:dyDescent="0.25">
      <c r="A66" s="86"/>
      <c r="B66" s="15"/>
      <c r="C66" s="20"/>
      <c r="D66" s="20"/>
    </row>
    <row r="67" spans="1:4" ht="20.25" x14ac:dyDescent="0.25">
      <c r="A67" s="86"/>
      <c r="B67" s="15"/>
      <c r="C67" s="20"/>
      <c r="D67" s="20"/>
    </row>
    <row r="68" spans="1:4" ht="20.25" x14ac:dyDescent="0.25">
      <c r="A68" s="86"/>
      <c r="B68" s="15"/>
      <c r="C68" s="20"/>
      <c r="D68" s="20"/>
    </row>
    <row r="69" spans="1:4" ht="20.25" x14ac:dyDescent="0.25">
      <c r="A69" s="86"/>
      <c r="B69" s="15"/>
      <c r="C69" s="20"/>
      <c r="D69" s="20"/>
    </row>
    <row r="70" spans="1:4" ht="20.25" x14ac:dyDescent="0.25">
      <c r="A70" s="86"/>
      <c r="B70" s="15"/>
      <c r="C70" s="20"/>
      <c r="D70" s="20"/>
    </row>
    <row r="71" spans="1:4" ht="20.25" x14ac:dyDescent="0.25">
      <c r="A71" s="86"/>
      <c r="B71" s="15"/>
      <c r="C71" s="20"/>
      <c r="D71" s="20"/>
    </row>
    <row r="72" spans="1:4" ht="20.25" x14ac:dyDescent="0.25">
      <c r="A72" s="86"/>
      <c r="B72" s="15"/>
      <c r="C72" s="20"/>
      <c r="D72" s="20"/>
    </row>
    <row r="73" spans="1:4" ht="20.25" x14ac:dyDescent="0.25">
      <c r="A73" s="86"/>
      <c r="B73" s="15"/>
      <c r="C73" s="20"/>
      <c r="D73" s="20"/>
    </row>
    <row r="74" spans="1:4" ht="20.25" x14ac:dyDescent="0.25">
      <c r="A74" s="86"/>
      <c r="B74" s="15"/>
      <c r="C74" s="20"/>
      <c r="D74" s="20"/>
    </row>
    <row r="75" spans="1:4" ht="20.25" x14ac:dyDescent="0.25">
      <c r="A75" s="86"/>
      <c r="B75" s="15"/>
      <c r="C75" s="20"/>
      <c r="D75" s="20"/>
    </row>
    <row r="76" spans="1:4" ht="20.25" x14ac:dyDescent="0.25">
      <c r="A76" s="86"/>
      <c r="B76" s="15"/>
      <c r="C76" s="20"/>
      <c r="D76" s="20"/>
    </row>
    <row r="77" spans="1:4" ht="20.25" x14ac:dyDescent="0.25">
      <c r="A77" s="86"/>
      <c r="B77" s="15"/>
      <c r="C77" s="20"/>
      <c r="D77" s="20"/>
    </row>
    <row r="78" spans="1:4" ht="20.25" x14ac:dyDescent="0.25">
      <c r="A78" s="86"/>
      <c r="B78" s="15"/>
      <c r="C78" s="20"/>
      <c r="D78" s="20"/>
    </row>
    <row r="79" spans="1:4" ht="20.25" x14ac:dyDescent="0.25">
      <c r="A79" s="86"/>
      <c r="B79" s="15"/>
      <c r="C79" s="20"/>
      <c r="D79" s="20"/>
    </row>
    <row r="80" spans="1:4" ht="20.25" x14ac:dyDescent="0.25">
      <c r="A80" s="86"/>
      <c r="B80" s="15"/>
      <c r="C80" s="20"/>
      <c r="D80" s="20"/>
    </row>
    <row r="81" spans="1:4" ht="20.25" x14ac:dyDescent="0.25">
      <c r="A81" s="86"/>
      <c r="B81" s="15"/>
      <c r="C81" s="20"/>
      <c r="D81" s="20"/>
    </row>
    <row r="82" spans="1:4" ht="20.25" x14ac:dyDescent="0.25">
      <c r="A82" s="86"/>
      <c r="B82" s="15"/>
      <c r="C82" s="20"/>
      <c r="D82" s="20"/>
    </row>
    <row r="83" spans="1:4" ht="20.25" x14ac:dyDescent="0.25">
      <c r="A83" s="86"/>
      <c r="B83" s="15"/>
      <c r="C83" s="20"/>
      <c r="D83" s="20"/>
    </row>
    <row r="84" spans="1:4" ht="20.25" x14ac:dyDescent="0.25">
      <c r="A84" s="86"/>
      <c r="B84" s="15"/>
      <c r="C84" s="20"/>
      <c r="D84" s="20"/>
    </row>
    <row r="85" spans="1:4" ht="20.25" x14ac:dyDescent="0.25">
      <c r="A85" s="86"/>
      <c r="B85" s="15"/>
      <c r="C85" s="20"/>
      <c r="D85" s="20"/>
    </row>
    <row r="86" spans="1:4" ht="20.25" x14ac:dyDescent="0.25">
      <c r="A86" s="86"/>
      <c r="B86" s="15"/>
      <c r="C86" s="20"/>
      <c r="D86" s="20"/>
    </row>
    <row r="87" spans="1:4" ht="20.25" x14ac:dyDescent="0.25">
      <c r="A87" s="86"/>
      <c r="B87" s="15"/>
      <c r="C87" s="20"/>
      <c r="D87" s="20"/>
    </row>
    <row r="88" spans="1:4" ht="20.25" x14ac:dyDescent="0.25">
      <c r="A88" s="86"/>
      <c r="B88" s="15"/>
      <c r="C88" s="20"/>
      <c r="D88" s="20"/>
    </row>
    <row r="89" spans="1:4" ht="20.25" x14ac:dyDescent="0.25">
      <c r="A89" s="86"/>
      <c r="B89" s="15"/>
      <c r="C89" s="20"/>
      <c r="D89" s="20"/>
    </row>
    <row r="90" spans="1:4" ht="20.25" x14ac:dyDescent="0.25">
      <c r="A90" s="86"/>
      <c r="B90" s="15"/>
      <c r="C90" s="20"/>
      <c r="D90" s="20"/>
    </row>
    <row r="91" spans="1:4" ht="20.25" x14ac:dyDescent="0.25">
      <c r="A91" s="86"/>
      <c r="B91" s="15"/>
      <c r="C91" s="20"/>
      <c r="D91" s="20"/>
    </row>
    <row r="92" spans="1:4" ht="20.25" x14ac:dyDescent="0.25">
      <c r="A92" s="86"/>
      <c r="B92" s="15"/>
      <c r="C92" s="20"/>
      <c r="D92" s="20"/>
    </row>
    <row r="93" spans="1:4" ht="20.25" x14ac:dyDescent="0.25">
      <c r="A93" s="86"/>
      <c r="B93" s="15"/>
      <c r="C93" s="20"/>
      <c r="D93" s="20"/>
    </row>
    <row r="94" spans="1:4" ht="20.25" x14ac:dyDescent="0.25">
      <c r="A94" s="86"/>
      <c r="B94" s="15"/>
      <c r="C94" s="20"/>
      <c r="D94" s="20"/>
    </row>
    <row r="95" spans="1:4" ht="20.25" x14ac:dyDescent="0.25">
      <c r="A95" s="86"/>
      <c r="B95" s="15"/>
      <c r="C95" s="20"/>
      <c r="D95" s="20"/>
    </row>
    <row r="96" spans="1:4" ht="20.25" x14ac:dyDescent="0.25">
      <c r="A96" s="86"/>
      <c r="B96" s="15"/>
      <c r="C96" s="20"/>
      <c r="D96" s="20"/>
    </row>
    <row r="97" spans="1:4" ht="20.25" x14ac:dyDescent="0.25">
      <c r="A97" s="86"/>
      <c r="B97" s="15"/>
      <c r="C97" s="20"/>
      <c r="D97" s="20"/>
    </row>
    <row r="98" spans="1:4" ht="20.25" x14ac:dyDescent="0.25">
      <c r="A98" s="86"/>
      <c r="B98" s="15"/>
      <c r="C98" s="20"/>
      <c r="D98" s="20"/>
    </row>
    <row r="99" spans="1:4" ht="20.25" x14ac:dyDescent="0.25">
      <c r="A99" s="86"/>
      <c r="B99" s="15"/>
      <c r="C99" s="20"/>
      <c r="D99" s="20"/>
    </row>
    <row r="100" spans="1:4" ht="20.25" x14ac:dyDescent="0.25">
      <c r="A100" s="86"/>
      <c r="B100" s="15"/>
      <c r="C100" s="20"/>
      <c r="D100" s="20"/>
    </row>
    <row r="101" spans="1:4" ht="20.25" x14ac:dyDescent="0.25">
      <c r="A101" s="86"/>
      <c r="B101" s="15"/>
      <c r="C101" s="20"/>
      <c r="D101" s="20"/>
    </row>
    <row r="102" spans="1:4" ht="20.25" x14ac:dyDescent="0.25">
      <c r="A102" s="86"/>
      <c r="B102" s="15"/>
      <c r="C102" s="20"/>
      <c r="D102" s="20"/>
    </row>
    <row r="103" spans="1:4" ht="20.25" x14ac:dyDescent="0.25">
      <c r="A103" s="86"/>
      <c r="B103" s="15"/>
      <c r="C103" s="20"/>
      <c r="D103" s="20"/>
    </row>
    <row r="104" spans="1:4" ht="20.25" x14ac:dyDescent="0.25">
      <c r="A104" s="86"/>
      <c r="B104" s="15"/>
      <c r="C104" s="20"/>
      <c r="D104" s="20"/>
    </row>
    <row r="105" spans="1:4" ht="20.25" x14ac:dyDescent="0.25">
      <c r="A105" s="86"/>
      <c r="B105" s="15"/>
      <c r="C105" s="20"/>
      <c r="D105" s="20"/>
    </row>
    <row r="106" spans="1:4" ht="20.25" x14ac:dyDescent="0.25">
      <c r="A106" s="86"/>
      <c r="B106" s="15"/>
      <c r="C106" s="20"/>
      <c r="D106" s="20"/>
    </row>
    <row r="107" spans="1:4" ht="20.25" x14ac:dyDescent="0.25">
      <c r="A107" s="86"/>
      <c r="B107" s="15"/>
      <c r="C107" s="20"/>
      <c r="D107" s="20"/>
    </row>
    <row r="108" spans="1:4" ht="20.25" x14ac:dyDescent="0.25">
      <c r="A108" s="86"/>
      <c r="B108" s="15"/>
      <c r="C108" s="20"/>
      <c r="D108" s="20"/>
    </row>
    <row r="109" spans="1:4" ht="20.25" x14ac:dyDescent="0.25">
      <c r="A109" s="86"/>
      <c r="B109" s="15"/>
      <c r="C109" s="20"/>
      <c r="D109" s="20"/>
    </row>
    <row r="110" spans="1:4" ht="20.25" x14ac:dyDescent="0.25">
      <c r="A110" s="86"/>
      <c r="B110" s="15"/>
      <c r="C110" s="20"/>
      <c r="D110" s="20"/>
    </row>
    <row r="111" spans="1:4" ht="20.25" x14ac:dyDescent="0.25">
      <c r="A111" s="86"/>
      <c r="B111" s="15"/>
      <c r="C111" s="20"/>
      <c r="D111" s="20"/>
    </row>
    <row r="112" spans="1:4" ht="20.25" x14ac:dyDescent="0.25">
      <c r="A112" s="86"/>
      <c r="B112" s="15"/>
      <c r="C112" s="20"/>
      <c r="D112" s="20"/>
    </row>
    <row r="113" spans="1:4" ht="20.25" x14ac:dyDescent="0.25">
      <c r="A113" s="86"/>
      <c r="B113" s="15"/>
      <c r="C113" s="20"/>
      <c r="D113" s="20"/>
    </row>
    <row r="114" spans="1:4" ht="20.25" x14ac:dyDescent="0.25">
      <c r="A114" s="86"/>
      <c r="B114" s="15"/>
      <c r="C114" s="20"/>
      <c r="D114" s="20"/>
    </row>
    <row r="115" spans="1:4" ht="20.25" x14ac:dyDescent="0.25">
      <c r="A115" s="86"/>
      <c r="B115" s="15"/>
      <c r="C115" s="20"/>
      <c r="D115" s="20"/>
    </row>
    <row r="116" spans="1:4" ht="20.25" x14ac:dyDescent="0.25">
      <c r="A116" s="86"/>
      <c r="B116" s="15"/>
      <c r="C116" s="20"/>
      <c r="D116" s="20"/>
    </row>
    <row r="117" spans="1:4" ht="20.25" x14ac:dyDescent="0.25">
      <c r="A117" s="86"/>
      <c r="B117" s="15"/>
      <c r="C117" s="20"/>
      <c r="D117" s="20"/>
    </row>
    <row r="118" spans="1:4" ht="20.25" x14ac:dyDescent="0.25">
      <c r="A118" s="86"/>
      <c r="B118" s="15"/>
      <c r="C118" s="20"/>
      <c r="D118" s="20"/>
    </row>
    <row r="119" spans="1:4" ht="20.25" x14ac:dyDescent="0.25">
      <c r="A119" s="86"/>
      <c r="B119" s="15"/>
      <c r="C119" s="20"/>
      <c r="D119" s="20"/>
    </row>
    <row r="120" spans="1:4" ht="20.25" x14ac:dyDescent="0.25">
      <c r="A120" s="86"/>
      <c r="B120" s="15"/>
      <c r="C120" s="20"/>
      <c r="D120" s="20"/>
    </row>
    <row r="121" spans="1:4" ht="20.25" x14ac:dyDescent="0.25">
      <c r="A121" s="86"/>
      <c r="B121" s="15"/>
      <c r="C121" s="20"/>
      <c r="D121" s="20"/>
    </row>
    <row r="122" spans="1:4" ht="20.25" x14ac:dyDescent="0.25">
      <c r="A122" s="86"/>
      <c r="B122" s="15"/>
      <c r="C122" s="20"/>
      <c r="D122" s="20"/>
    </row>
    <row r="123" spans="1:4" ht="20.25" x14ac:dyDescent="0.25">
      <c r="A123" s="86"/>
      <c r="B123" s="15"/>
      <c r="C123" s="20"/>
      <c r="D123" s="20"/>
    </row>
    <row r="124" spans="1:4" ht="20.25" x14ac:dyDescent="0.25">
      <c r="A124" s="86"/>
      <c r="B124" s="15"/>
      <c r="C124" s="20"/>
      <c r="D124" s="20"/>
    </row>
    <row r="125" spans="1:4" ht="20.25" x14ac:dyDescent="0.25">
      <c r="A125" s="86"/>
      <c r="B125" s="15"/>
      <c r="C125" s="20"/>
      <c r="D125" s="20"/>
    </row>
    <row r="126" spans="1:4" ht="20.25" x14ac:dyDescent="0.25">
      <c r="A126" s="86"/>
      <c r="B126" s="15"/>
      <c r="C126" s="20"/>
      <c r="D126" s="20"/>
    </row>
    <row r="127" spans="1:4" ht="20.25" x14ac:dyDescent="0.25">
      <c r="A127" s="86"/>
      <c r="B127" s="15"/>
      <c r="C127" s="20"/>
      <c r="D127" s="20"/>
    </row>
    <row r="128" spans="1:4" ht="20.25" x14ac:dyDescent="0.25">
      <c r="A128" s="86"/>
      <c r="B128" s="15"/>
      <c r="C128" s="20"/>
      <c r="D128" s="20"/>
    </row>
    <row r="129" spans="1:4" ht="20.25" x14ac:dyDescent="0.25">
      <c r="A129" s="86"/>
      <c r="B129" s="15"/>
      <c r="C129" s="20"/>
      <c r="D129" s="20"/>
    </row>
    <row r="130" spans="1:4" ht="20.25" x14ac:dyDescent="0.25">
      <c r="A130" s="86"/>
      <c r="B130" s="15"/>
      <c r="C130" s="20"/>
      <c r="D130" s="20"/>
    </row>
    <row r="131" spans="1:4" ht="20.25" x14ac:dyDescent="0.25">
      <c r="A131" s="86"/>
      <c r="B131" s="15"/>
      <c r="C131" s="20"/>
      <c r="D131" s="20"/>
    </row>
    <row r="132" spans="1:4" ht="20.25" x14ac:dyDescent="0.25">
      <c r="A132" s="86"/>
      <c r="B132" s="15"/>
      <c r="C132" s="20"/>
      <c r="D132" s="20"/>
    </row>
    <row r="133" spans="1:4" ht="20.25" x14ac:dyDescent="0.25">
      <c r="A133" s="86"/>
      <c r="B133" s="15"/>
      <c r="C133" s="20"/>
      <c r="D133" s="20"/>
    </row>
    <row r="134" spans="1:4" ht="20.25" x14ac:dyDescent="0.25">
      <c r="A134" s="86"/>
      <c r="B134" s="15"/>
      <c r="C134" s="20"/>
      <c r="D134" s="20"/>
    </row>
    <row r="135" spans="1:4" ht="20.25" x14ac:dyDescent="0.25">
      <c r="A135" s="86"/>
      <c r="B135" s="15"/>
      <c r="C135" s="20"/>
      <c r="D135" s="20"/>
    </row>
    <row r="136" spans="1:4" ht="20.25" x14ac:dyDescent="0.25">
      <c r="A136" s="86"/>
      <c r="B136" s="15"/>
      <c r="C136" s="20"/>
      <c r="D136" s="20"/>
    </row>
    <row r="137" spans="1:4" ht="20.25" x14ac:dyDescent="0.25">
      <c r="A137" s="86"/>
      <c r="B137" s="15"/>
      <c r="C137" s="20"/>
      <c r="D137" s="20"/>
    </row>
    <row r="138" spans="1:4" ht="20.25" x14ac:dyDescent="0.25">
      <c r="A138" s="86"/>
      <c r="B138" s="15"/>
      <c r="C138" s="20"/>
      <c r="D138" s="20"/>
    </row>
    <row r="139" spans="1:4" ht="20.25" x14ac:dyDescent="0.25">
      <c r="A139" s="86"/>
      <c r="B139" s="15"/>
      <c r="C139" s="20"/>
      <c r="D139" s="20"/>
    </row>
    <row r="140" spans="1:4" ht="20.25" x14ac:dyDescent="0.25">
      <c r="A140" s="86"/>
      <c r="B140" s="15"/>
      <c r="C140" s="20"/>
      <c r="D140" s="20"/>
    </row>
    <row r="141" spans="1:4" ht="20.25" x14ac:dyDescent="0.25">
      <c r="A141" s="86"/>
      <c r="B141" s="15"/>
      <c r="C141" s="20"/>
      <c r="D141" s="20"/>
    </row>
    <row r="142" spans="1:4" ht="20.25" x14ac:dyDescent="0.25">
      <c r="A142" s="86"/>
      <c r="B142" s="15"/>
      <c r="C142" s="20"/>
      <c r="D142" s="20"/>
    </row>
    <row r="143" spans="1:4" ht="20.25" x14ac:dyDescent="0.25">
      <c r="A143" s="86"/>
      <c r="B143" s="15"/>
      <c r="C143" s="20"/>
      <c r="D143" s="20"/>
    </row>
    <row r="144" spans="1:4" ht="20.25" x14ac:dyDescent="0.25">
      <c r="A144" s="86"/>
      <c r="B144" s="15"/>
      <c r="C144" s="20"/>
      <c r="D144" s="20"/>
    </row>
    <row r="145" spans="1:4" ht="20.25" x14ac:dyDescent="0.25">
      <c r="A145" s="86"/>
      <c r="B145" s="15"/>
      <c r="C145" s="20"/>
      <c r="D145" s="20"/>
    </row>
    <row r="146" spans="1:4" ht="20.25" x14ac:dyDescent="0.25">
      <c r="A146" s="86"/>
      <c r="B146" s="15"/>
      <c r="C146" s="20"/>
      <c r="D146" s="20"/>
    </row>
    <row r="147" spans="1:4" ht="20.25" x14ac:dyDescent="0.25">
      <c r="A147" s="86"/>
      <c r="B147" s="15"/>
      <c r="C147" s="20"/>
      <c r="D147" s="20"/>
    </row>
    <row r="148" spans="1:4" ht="20.25" x14ac:dyDescent="0.25">
      <c r="A148" s="86"/>
      <c r="B148" s="15"/>
      <c r="C148" s="20"/>
      <c r="D148" s="20"/>
    </row>
    <row r="149" spans="1:4" ht="20.25" x14ac:dyDescent="0.25">
      <c r="A149" s="86"/>
      <c r="B149" s="15"/>
      <c r="C149" s="20"/>
      <c r="D149" s="20"/>
    </row>
    <row r="150" spans="1:4" ht="20.25" x14ac:dyDescent="0.25">
      <c r="A150" s="86"/>
      <c r="B150" s="15"/>
      <c r="C150" s="20"/>
      <c r="D150" s="20"/>
    </row>
    <row r="151" spans="1:4" ht="20.25" x14ac:dyDescent="0.25">
      <c r="A151" s="86"/>
      <c r="B151" s="15"/>
      <c r="C151" s="20"/>
      <c r="D151" s="20"/>
    </row>
    <row r="152" spans="1:4" ht="20.25" x14ac:dyDescent="0.25">
      <c r="A152" s="86"/>
      <c r="B152" s="15"/>
      <c r="C152" s="20"/>
      <c r="D152" s="20"/>
    </row>
    <row r="153" spans="1:4" ht="20.25" x14ac:dyDescent="0.25">
      <c r="A153" s="86"/>
      <c r="B153" s="15"/>
      <c r="C153" s="20"/>
      <c r="D153" s="20"/>
    </row>
    <row r="154" spans="1:4" ht="20.25" x14ac:dyDescent="0.25">
      <c r="A154" s="86"/>
      <c r="B154" s="15"/>
      <c r="C154" s="20"/>
      <c r="D154" s="20"/>
    </row>
    <row r="155" spans="1:4" ht="20.25" x14ac:dyDescent="0.25">
      <c r="A155" s="86"/>
      <c r="B155" s="15"/>
      <c r="C155" s="20"/>
      <c r="D155" s="20"/>
    </row>
    <row r="156" spans="1:4" ht="20.25" x14ac:dyDescent="0.25">
      <c r="A156" s="86"/>
      <c r="B156" s="15"/>
      <c r="C156" s="20"/>
      <c r="D156" s="20"/>
    </row>
    <row r="157" spans="1:4" ht="20.25" x14ac:dyDescent="0.25">
      <c r="A157" s="86"/>
      <c r="B157" s="15"/>
      <c r="C157" s="20"/>
      <c r="D157" s="20"/>
    </row>
    <row r="158" spans="1:4" ht="20.25" x14ac:dyDescent="0.25">
      <c r="A158" s="86"/>
      <c r="B158" s="15"/>
      <c r="C158" s="20"/>
      <c r="D158" s="20"/>
    </row>
    <row r="159" spans="1:4" ht="20.25" x14ac:dyDescent="0.25">
      <c r="A159" s="86"/>
      <c r="B159" s="15"/>
      <c r="C159" s="20"/>
      <c r="D159" s="20"/>
    </row>
    <row r="160" spans="1:4" ht="20.25" x14ac:dyDescent="0.25">
      <c r="A160" s="86"/>
      <c r="B160" s="15"/>
      <c r="C160" s="20"/>
      <c r="D160" s="20"/>
    </row>
    <row r="161" spans="1:4" ht="20.25" x14ac:dyDescent="0.25">
      <c r="A161" s="86"/>
      <c r="B161" s="15"/>
      <c r="C161" s="20"/>
      <c r="D161" s="20"/>
    </row>
    <row r="162" spans="1:4" ht="20.25" x14ac:dyDescent="0.25">
      <c r="A162" s="86"/>
      <c r="B162" s="15"/>
      <c r="C162" s="20"/>
      <c r="D162" s="20"/>
    </row>
    <row r="163" spans="1:4" ht="20.25" x14ac:dyDescent="0.25">
      <c r="A163" s="86"/>
      <c r="B163" s="15"/>
      <c r="C163" s="20"/>
      <c r="D163" s="20"/>
    </row>
    <row r="164" spans="1:4" ht="20.25" x14ac:dyDescent="0.25">
      <c r="A164" s="86"/>
      <c r="B164" s="15"/>
      <c r="C164" s="20"/>
      <c r="D164" s="20"/>
    </row>
    <row r="165" spans="1:4" ht="20.25" x14ac:dyDescent="0.25">
      <c r="A165" s="86"/>
      <c r="B165" s="15"/>
      <c r="C165" s="20"/>
      <c r="D165" s="20"/>
    </row>
    <row r="166" spans="1:4" ht="20.25" x14ac:dyDescent="0.25">
      <c r="A166" s="86"/>
      <c r="B166" s="15"/>
      <c r="C166" s="20"/>
      <c r="D166" s="20"/>
    </row>
    <row r="167" spans="1:4" ht="20.25" x14ac:dyDescent="0.25">
      <c r="A167" s="86"/>
      <c r="B167" s="15"/>
      <c r="C167" s="20"/>
      <c r="D167" s="20"/>
    </row>
    <row r="168" spans="1:4" ht="20.25" x14ac:dyDescent="0.25">
      <c r="A168" s="86"/>
      <c r="B168" s="15"/>
      <c r="C168" s="20"/>
      <c r="D168" s="20"/>
    </row>
    <row r="169" spans="1:4" ht="20.25" x14ac:dyDescent="0.25">
      <c r="A169" s="86"/>
      <c r="B169" s="15"/>
      <c r="C169" s="20"/>
      <c r="D169" s="20"/>
    </row>
    <row r="170" spans="1:4" ht="20.25" x14ac:dyDescent="0.25">
      <c r="A170" s="86"/>
      <c r="B170" s="15"/>
      <c r="C170" s="20"/>
      <c r="D170" s="20"/>
    </row>
    <row r="171" spans="1:4" ht="20.25" x14ac:dyDescent="0.25">
      <c r="A171" s="86"/>
      <c r="B171" s="15"/>
      <c r="C171" s="20"/>
      <c r="D171" s="20"/>
    </row>
    <row r="172" spans="1:4" ht="20.25" x14ac:dyDescent="0.25">
      <c r="A172" s="86"/>
      <c r="B172" s="15"/>
      <c r="C172" s="20"/>
      <c r="D172" s="20"/>
    </row>
    <row r="173" spans="1:4" ht="20.25" x14ac:dyDescent="0.25">
      <c r="A173" s="86"/>
      <c r="B173" s="15"/>
      <c r="C173" s="20"/>
      <c r="D173" s="20"/>
    </row>
    <row r="174" spans="1:4" ht="20.25" x14ac:dyDescent="0.25">
      <c r="A174" s="86"/>
      <c r="B174" s="15"/>
      <c r="C174" s="20"/>
      <c r="D174" s="20"/>
    </row>
    <row r="175" spans="1:4" ht="20.25" x14ac:dyDescent="0.25">
      <c r="A175" s="86"/>
      <c r="B175" s="15"/>
      <c r="C175" s="20"/>
      <c r="D175" s="20"/>
    </row>
    <row r="176" spans="1:4" ht="20.25" x14ac:dyDescent="0.25">
      <c r="A176" s="86"/>
      <c r="B176" s="15"/>
      <c r="C176" s="20"/>
      <c r="D176" s="20"/>
    </row>
    <row r="177" spans="1:4" ht="20.25" x14ac:dyDescent="0.25">
      <c r="A177" s="86"/>
      <c r="B177" s="15"/>
      <c r="C177" s="20"/>
      <c r="D177" s="20"/>
    </row>
    <row r="178" spans="1:4" ht="20.25" x14ac:dyDescent="0.25">
      <c r="A178" s="86"/>
      <c r="B178" s="15"/>
      <c r="C178" s="20"/>
      <c r="D178" s="20"/>
    </row>
    <row r="179" spans="1:4" ht="20.25" x14ac:dyDescent="0.25">
      <c r="A179" s="86"/>
      <c r="B179" s="15"/>
      <c r="C179" s="20"/>
      <c r="D179" s="20"/>
    </row>
    <row r="180" spans="1:4" ht="20.25" x14ac:dyDescent="0.25">
      <c r="A180" s="86"/>
      <c r="B180" s="15"/>
      <c r="C180" s="20"/>
      <c r="D180" s="20"/>
    </row>
    <row r="181" spans="1:4" ht="20.25" x14ac:dyDescent="0.25">
      <c r="A181" s="86"/>
      <c r="B181" s="15"/>
      <c r="C181" s="20"/>
      <c r="D181" s="20"/>
    </row>
    <row r="182" spans="1:4" ht="20.25" x14ac:dyDescent="0.25">
      <c r="A182" s="86"/>
      <c r="B182" s="15"/>
      <c r="C182" s="20"/>
      <c r="D182" s="20"/>
    </row>
    <row r="183" spans="1:4" ht="20.25" x14ac:dyDescent="0.25">
      <c r="A183" s="86"/>
      <c r="B183" s="15"/>
      <c r="C183" s="20"/>
      <c r="D183" s="20"/>
    </row>
    <row r="184" spans="1:4" ht="20.25" x14ac:dyDescent="0.25">
      <c r="A184" s="86"/>
      <c r="B184" s="15"/>
      <c r="C184" s="20"/>
      <c r="D184" s="20"/>
    </row>
    <row r="185" spans="1:4" ht="20.25" x14ac:dyDescent="0.25">
      <c r="A185" s="86"/>
      <c r="B185" s="15"/>
      <c r="C185" s="20"/>
      <c r="D185" s="20"/>
    </row>
    <row r="186" spans="1:4" ht="20.25" x14ac:dyDescent="0.25">
      <c r="A186" s="86"/>
      <c r="B186" s="15"/>
      <c r="C186" s="20"/>
      <c r="D186" s="20"/>
    </row>
    <row r="187" spans="1:4" ht="20.25" x14ac:dyDescent="0.25">
      <c r="A187" s="86"/>
      <c r="B187" s="15"/>
      <c r="C187" s="20"/>
      <c r="D187" s="20"/>
    </row>
    <row r="188" spans="1:4" ht="20.25" x14ac:dyDescent="0.25">
      <c r="A188" s="86"/>
      <c r="B188" s="15"/>
      <c r="C188" s="20"/>
      <c r="D188" s="20"/>
    </row>
    <row r="189" spans="1:4" ht="20.25" x14ac:dyDescent="0.25">
      <c r="A189" s="86"/>
      <c r="B189" s="15"/>
      <c r="C189" s="20"/>
      <c r="D189" s="20"/>
    </row>
    <row r="190" spans="1:4" ht="20.25" x14ac:dyDescent="0.25">
      <c r="A190" s="86"/>
      <c r="B190" s="15"/>
      <c r="C190" s="20"/>
      <c r="D190" s="20"/>
    </row>
    <row r="191" spans="1:4" ht="20.25" x14ac:dyDescent="0.25">
      <c r="A191" s="86"/>
      <c r="B191" s="15"/>
      <c r="C191" s="20"/>
      <c r="D191" s="20"/>
    </row>
    <row r="192" spans="1:4" ht="20.25" x14ac:dyDescent="0.25">
      <c r="A192" s="86"/>
      <c r="B192" s="15"/>
      <c r="C192" s="20"/>
      <c r="D192" s="20"/>
    </row>
    <row r="193" spans="1:4" ht="20.25" x14ac:dyDescent="0.25">
      <c r="A193" s="86"/>
      <c r="B193" s="15"/>
      <c r="C193" s="20"/>
      <c r="D193" s="20"/>
    </row>
    <row r="194" spans="1:4" ht="20.25" x14ac:dyDescent="0.25">
      <c r="A194" s="86"/>
      <c r="B194" s="15"/>
      <c r="C194" s="20"/>
      <c r="D194" s="20"/>
    </row>
    <row r="195" spans="1:4" ht="20.25" x14ac:dyDescent="0.25">
      <c r="A195" s="86"/>
      <c r="B195" s="15"/>
      <c r="C195" s="20"/>
      <c r="D195" s="20"/>
    </row>
    <row r="196" spans="1:4" ht="20.25" x14ac:dyDescent="0.25">
      <c r="A196" s="86"/>
      <c r="B196" s="15"/>
      <c r="C196" s="20"/>
      <c r="D196" s="20"/>
    </row>
    <row r="197" spans="1:4" ht="20.25" x14ac:dyDescent="0.25">
      <c r="A197" s="86"/>
      <c r="B197" s="15"/>
      <c r="C197" s="20"/>
      <c r="D197" s="20"/>
    </row>
    <row r="198" spans="1:4" ht="20.25" x14ac:dyDescent="0.25">
      <c r="A198" s="86"/>
      <c r="B198" s="15"/>
      <c r="C198" s="20"/>
      <c r="D198" s="20"/>
    </row>
    <row r="199" spans="1:4" ht="20.25" x14ac:dyDescent="0.25">
      <c r="A199" s="86"/>
      <c r="B199" s="15"/>
      <c r="C199" s="20"/>
      <c r="D199" s="20"/>
    </row>
    <row r="200" spans="1:4" ht="20.25" x14ac:dyDescent="0.25">
      <c r="A200" s="86"/>
      <c r="B200" s="15"/>
      <c r="C200" s="20"/>
      <c r="D200" s="20"/>
    </row>
    <row r="201" spans="1:4" ht="20.25" x14ac:dyDescent="0.25">
      <c r="A201" s="86"/>
      <c r="B201" s="15"/>
      <c r="C201" s="20"/>
      <c r="D201" s="20"/>
    </row>
    <row r="202" spans="1:4" ht="20.25" x14ac:dyDescent="0.25">
      <c r="A202" s="86"/>
      <c r="B202" s="15"/>
      <c r="C202" s="20"/>
      <c r="D202" s="20"/>
    </row>
    <row r="203" spans="1:4" ht="20.25" x14ac:dyDescent="0.25">
      <c r="A203" s="86"/>
      <c r="B203" s="15"/>
      <c r="C203" s="20"/>
      <c r="D203" s="20"/>
    </row>
    <row r="204" spans="1:4" ht="20.25" x14ac:dyDescent="0.25">
      <c r="A204" s="86"/>
      <c r="B204" s="15"/>
      <c r="C204" s="20"/>
      <c r="D204" s="20"/>
    </row>
    <row r="205" spans="1:4" ht="20.25" x14ac:dyDescent="0.25">
      <c r="A205" s="86"/>
      <c r="B205" s="15"/>
      <c r="C205" s="20"/>
      <c r="D205" s="20"/>
    </row>
    <row r="206" spans="1:4" ht="20.25" x14ac:dyDescent="0.25">
      <c r="A206" s="86"/>
      <c r="B206" s="15"/>
      <c r="C206" s="20"/>
      <c r="D206" s="20"/>
    </row>
    <row r="207" spans="1:4" ht="20.25" x14ac:dyDescent="0.25">
      <c r="A207" s="86"/>
      <c r="B207" s="15"/>
      <c r="C207" s="20"/>
      <c r="D207" s="20"/>
    </row>
    <row r="208" spans="1:4" x14ac:dyDescent="0.25">
      <c r="A208" s="69"/>
      <c r="B208" s="15"/>
      <c r="C208" s="15"/>
      <c r="D208" s="15"/>
    </row>
    <row r="209" spans="1:8" ht="20.25" x14ac:dyDescent="0.25">
      <c r="A209" s="69"/>
      <c r="B209" s="16" t="s">
        <v>1002</v>
      </c>
      <c r="C209" s="16" t="s">
        <v>1003</v>
      </c>
      <c r="D209" s="19" t="s">
        <v>1002</v>
      </c>
      <c r="E209" s="19" t="s">
        <v>1003</v>
      </c>
    </row>
    <row r="210" spans="1:8" ht="21" x14ac:dyDescent="0.35">
      <c r="A210" s="69"/>
      <c r="B210" s="17" t="s">
        <v>1004</v>
      </c>
      <c r="C210" s="17" t="s">
        <v>1005</v>
      </c>
      <c r="D210" t="s">
        <v>1004</v>
      </c>
      <c r="F210" t="str">
        <f>IF(NOT(ISBLANK(D210)),D210,IF(NOT(ISBLANK(E210)),"     "&amp;E210,FALSE))</f>
        <v>Afectación Económica o presupuestal</v>
      </c>
      <c r="G210" t="s">
        <v>1004</v>
      </c>
      <c r="H210" t="str">
        <f>IF(NOT(ISERROR(MATCH(G210,_xlfn.ANCHORARRAY(B221),0))),F223&amp;"Por favor no seleccionar los criterios de impacto",G210)</f>
        <v>❌Por favor no seleccionar los criterios de impacto</v>
      </c>
    </row>
    <row r="211" spans="1:8" ht="21" x14ac:dyDescent="0.35">
      <c r="A211" s="69"/>
      <c r="B211" s="17" t="s">
        <v>1004</v>
      </c>
      <c r="C211" s="17" t="s">
        <v>979</v>
      </c>
      <c r="E211" t="s">
        <v>1005</v>
      </c>
      <c r="F211" t="str">
        <f t="shared" ref="F211:F221" si="0">IF(NOT(ISBLANK(D211)),D211,IF(NOT(ISBLANK(E211)),"     "&amp;E211,FALSE))</f>
        <v xml:space="preserve">     Afectación menor a 10 SMLMV .</v>
      </c>
    </row>
    <row r="212" spans="1:8" ht="21" x14ac:dyDescent="0.35">
      <c r="A212" s="69"/>
      <c r="B212" s="17" t="s">
        <v>1004</v>
      </c>
      <c r="C212" s="17" t="s">
        <v>982</v>
      </c>
      <c r="E212" t="s">
        <v>979</v>
      </c>
      <c r="F212" t="str">
        <f t="shared" si="0"/>
        <v xml:space="preserve">     Entre 10 y 50 SMLMV </v>
      </c>
    </row>
    <row r="213" spans="1:8" ht="21" x14ac:dyDescent="0.35">
      <c r="A213" s="69"/>
      <c r="B213" s="17" t="s">
        <v>1004</v>
      </c>
      <c r="C213" s="17" t="s">
        <v>986</v>
      </c>
      <c r="E213" t="s">
        <v>982</v>
      </c>
      <c r="F213" t="str">
        <f t="shared" si="0"/>
        <v xml:space="preserve">     Entre 50 y 100 SMLMV </v>
      </c>
    </row>
    <row r="214" spans="1:8" ht="21" x14ac:dyDescent="0.35">
      <c r="A214" s="69"/>
      <c r="B214" s="17" t="s">
        <v>1004</v>
      </c>
      <c r="C214" s="17" t="s">
        <v>990</v>
      </c>
      <c r="E214" t="s">
        <v>986</v>
      </c>
      <c r="F214" t="str">
        <f t="shared" si="0"/>
        <v xml:space="preserve">     Entre 100 y 500 SMLMV </v>
      </c>
    </row>
    <row r="215" spans="1:8" ht="21" x14ac:dyDescent="0.35">
      <c r="A215" s="69"/>
      <c r="B215" s="17" t="s">
        <v>972</v>
      </c>
      <c r="C215" s="17" t="s">
        <v>976</v>
      </c>
      <c r="E215" t="s">
        <v>990</v>
      </c>
      <c r="F215" t="str">
        <f t="shared" si="0"/>
        <v xml:space="preserve">     Mayor a 500 SMLMV </v>
      </c>
    </row>
    <row r="216" spans="1:8" ht="21" x14ac:dyDescent="0.35">
      <c r="A216" s="69"/>
      <c r="B216" s="17" t="s">
        <v>972</v>
      </c>
      <c r="C216" s="17" t="s">
        <v>980</v>
      </c>
      <c r="D216" t="s">
        <v>972</v>
      </c>
      <c r="F216" t="str">
        <f t="shared" si="0"/>
        <v>Pérdida Reputacional</v>
      </c>
    </row>
    <row r="217" spans="1:8" ht="21" x14ac:dyDescent="0.35">
      <c r="A217" s="69"/>
      <c r="B217" s="17" t="s">
        <v>972</v>
      </c>
      <c r="C217" s="17" t="s">
        <v>983</v>
      </c>
      <c r="E217" t="s">
        <v>976</v>
      </c>
      <c r="F217" t="str">
        <f t="shared" si="0"/>
        <v xml:space="preserve">     El riesgo afecta la imagen de alguna área de la organización</v>
      </c>
    </row>
    <row r="218" spans="1:8" ht="21" x14ac:dyDescent="0.35">
      <c r="A218" s="69"/>
      <c r="B218" s="17" t="s">
        <v>972</v>
      </c>
      <c r="C218" s="17" t="s">
        <v>987</v>
      </c>
      <c r="E218" t="s">
        <v>980</v>
      </c>
      <c r="F218" t="str">
        <f t="shared" si="0"/>
        <v xml:space="preserve">     El riesgo afecta la imagen de la entidad internamente, de conocimiento general, nivel interno, de junta dircetiva y accionistas y/o de provedores</v>
      </c>
    </row>
    <row r="219" spans="1:8" ht="21" x14ac:dyDescent="0.35">
      <c r="A219" s="69"/>
      <c r="B219" s="17" t="s">
        <v>972</v>
      </c>
      <c r="C219" s="17" t="s">
        <v>991</v>
      </c>
      <c r="E219" t="s">
        <v>983</v>
      </c>
      <c r="F219" t="str">
        <f t="shared" si="0"/>
        <v xml:space="preserve">     El riesgo afecta la imagen de la entidad con algunos usuarios de relevancia frente al logro de los objetivos</v>
      </c>
    </row>
    <row r="220" spans="1:8" x14ac:dyDescent="0.25">
      <c r="A220" s="69"/>
      <c r="B220" s="18"/>
      <c r="C220" s="18"/>
      <c r="E220" t="s">
        <v>987</v>
      </c>
      <c r="F220" t="str">
        <f t="shared" si="0"/>
        <v xml:space="preserve">     El riesgo afecta la imagen de de la entidad con efecto publicitario sostenido a nivel de sector administrativo, nivel departamental o municipal</v>
      </c>
    </row>
    <row r="221" spans="1:8" x14ac:dyDescent="0.25">
      <c r="A221" s="69"/>
      <c r="B221" s="18" t="str" cm="1">
        <f t="array" ref="B221:B223">_xlfn.UNIQUE(Tabla1[[#All],[Criterios]])</f>
        <v>Criterios</v>
      </c>
      <c r="C221" s="18"/>
      <c r="E221" t="s">
        <v>991</v>
      </c>
      <c r="F221" t="str">
        <f t="shared" si="0"/>
        <v xml:space="preserve">     El riesgo afecta la imagen de la entidad a nivel nacional, con efecto publicitarios sostenible a nivel país</v>
      </c>
    </row>
    <row r="222" spans="1:8" x14ac:dyDescent="0.25">
      <c r="A222" s="69"/>
      <c r="B222" s="18" t="str">
        <v>Afectación Económica o presupuestal</v>
      </c>
      <c r="C222" s="18"/>
    </row>
    <row r="223" spans="1:8" x14ac:dyDescent="0.25">
      <c r="B223" s="18" t="str">
        <v>Pérdida Reputacional</v>
      </c>
      <c r="C223" s="18"/>
      <c r="F223" s="21" t="s">
        <v>1006</v>
      </c>
    </row>
    <row r="224" spans="1:8" x14ac:dyDescent="0.25">
      <c r="B224" s="14"/>
      <c r="C224" s="14"/>
      <c r="F224" s="21" t="s">
        <v>1007</v>
      </c>
    </row>
    <row r="225" spans="2:4" x14ac:dyDescent="0.25">
      <c r="B225" s="14"/>
      <c r="C225" s="14"/>
    </row>
    <row r="226" spans="2:4" x14ac:dyDescent="0.25">
      <c r="B226" s="14"/>
      <c r="C226" s="14"/>
    </row>
    <row r="227" spans="2:4" x14ac:dyDescent="0.25">
      <c r="B227" s="14"/>
      <c r="C227" s="14"/>
      <c r="D227" s="14"/>
    </row>
    <row r="228" spans="2:4" x14ac:dyDescent="0.25">
      <c r="B228" s="14"/>
      <c r="C228" s="14"/>
      <c r="D228" s="14"/>
    </row>
    <row r="229" spans="2:4" x14ac:dyDescent="0.25">
      <c r="B229" s="14"/>
      <c r="C229" s="14"/>
      <c r="D229" s="14"/>
    </row>
    <row r="230" spans="2:4" x14ac:dyDescent="0.25">
      <c r="B230" s="14"/>
      <c r="C230" s="14"/>
      <c r="D230" s="14"/>
    </row>
    <row r="231" spans="2:4" x14ac:dyDescent="0.25">
      <c r="B231" s="14"/>
      <c r="C231" s="14"/>
      <c r="D231" s="14"/>
    </row>
    <row r="232" spans="2:4" x14ac:dyDescent="0.25">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28515625" defaultRowHeight="12.75" x14ac:dyDescent="0.2"/>
  <cols>
    <col min="1" max="2" width="14.28515625" style="71"/>
    <col min="3" max="3" width="17" style="71" customWidth="1"/>
    <col min="4" max="4" width="14.28515625" style="71"/>
    <col min="5" max="5" width="46" style="71" customWidth="1"/>
    <col min="6" max="16384" width="14.28515625" style="71"/>
  </cols>
  <sheetData>
    <row r="1" spans="2:6" ht="24" customHeight="1" thickBot="1" x14ac:dyDescent="0.25">
      <c r="B1" s="646" t="s">
        <v>1008</v>
      </c>
      <c r="C1" s="647"/>
      <c r="D1" s="647"/>
      <c r="E1" s="647"/>
      <c r="F1" s="648"/>
    </row>
    <row r="2" spans="2:6" ht="16.5" thickBot="1" x14ac:dyDescent="0.3">
      <c r="B2" s="72"/>
      <c r="C2" s="72"/>
      <c r="D2" s="72"/>
      <c r="E2" s="72"/>
      <c r="F2" s="72"/>
    </row>
    <row r="3" spans="2:6" ht="16.5" thickBot="1" x14ac:dyDescent="0.25">
      <c r="B3" s="650" t="s">
        <v>1009</v>
      </c>
      <c r="C3" s="651"/>
      <c r="D3" s="651"/>
      <c r="E3" s="84" t="s">
        <v>1010</v>
      </c>
      <c r="F3" s="85" t="s">
        <v>1011</v>
      </c>
    </row>
    <row r="4" spans="2:6" ht="31.5" x14ac:dyDescent="0.2">
      <c r="B4" s="652" t="s">
        <v>1012</v>
      </c>
      <c r="C4" s="654" t="s">
        <v>56</v>
      </c>
      <c r="D4" s="73" t="s">
        <v>72</v>
      </c>
      <c r="E4" s="74" t="s">
        <v>1013</v>
      </c>
      <c r="F4" s="75">
        <v>0.25</v>
      </c>
    </row>
    <row r="5" spans="2:6" ht="47.25" x14ac:dyDescent="0.2">
      <c r="B5" s="653"/>
      <c r="C5" s="655"/>
      <c r="D5" s="76" t="s">
        <v>1014</v>
      </c>
      <c r="E5" s="77" t="s">
        <v>1015</v>
      </c>
      <c r="F5" s="78">
        <v>0.15</v>
      </c>
    </row>
    <row r="6" spans="2:6" ht="47.25" x14ac:dyDescent="0.2">
      <c r="B6" s="653"/>
      <c r="C6" s="655"/>
      <c r="D6" s="76" t="s">
        <v>1016</v>
      </c>
      <c r="E6" s="77" t="s">
        <v>1017</v>
      </c>
      <c r="F6" s="78">
        <v>0.1</v>
      </c>
    </row>
    <row r="7" spans="2:6" ht="63" x14ac:dyDescent="0.2">
      <c r="B7" s="653"/>
      <c r="C7" s="655" t="s">
        <v>57</v>
      </c>
      <c r="D7" s="76" t="s">
        <v>1018</v>
      </c>
      <c r="E7" s="77" t="s">
        <v>1019</v>
      </c>
      <c r="F7" s="78">
        <v>0.25</v>
      </c>
    </row>
    <row r="8" spans="2:6" ht="31.5" x14ac:dyDescent="0.2">
      <c r="B8" s="653"/>
      <c r="C8" s="655"/>
      <c r="D8" s="76" t="s">
        <v>73</v>
      </c>
      <c r="E8" s="77" t="s">
        <v>1020</v>
      </c>
      <c r="F8" s="78">
        <v>0.15</v>
      </c>
    </row>
    <row r="9" spans="2:6" ht="47.25" x14ac:dyDescent="0.2">
      <c r="B9" s="653" t="s">
        <v>1021</v>
      </c>
      <c r="C9" s="655" t="s">
        <v>59</v>
      </c>
      <c r="D9" s="76" t="s">
        <v>1022</v>
      </c>
      <c r="E9" s="77" t="s">
        <v>1023</v>
      </c>
      <c r="F9" s="79" t="s">
        <v>1024</v>
      </c>
    </row>
    <row r="10" spans="2:6" ht="63" x14ac:dyDescent="0.2">
      <c r="B10" s="653"/>
      <c r="C10" s="655"/>
      <c r="D10" s="76" t="s">
        <v>74</v>
      </c>
      <c r="E10" s="77" t="s">
        <v>1025</v>
      </c>
      <c r="F10" s="79" t="s">
        <v>1024</v>
      </c>
    </row>
    <row r="11" spans="2:6" ht="47.25" x14ac:dyDescent="0.2">
      <c r="B11" s="653"/>
      <c r="C11" s="655" t="s">
        <v>60</v>
      </c>
      <c r="D11" s="76" t="s">
        <v>75</v>
      </c>
      <c r="E11" s="77" t="s">
        <v>1026</v>
      </c>
      <c r="F11" s="79" t="s">
        <v>1024</v>
      </c>
    </row>
    <row r="12" spans="2:6" ht="47.25" x14ac:dyDescent="0.2">
      <c r="B12" s="653"/>
      <c r="C12" s="655"/>
      <c r="D12" s="76" t="s">
        <v>84</v>
      </c>
      <c r="E12" s="77" t="s">
        <v>1027</v>
      </c>
      <c r="F12" s="79" t="s">
        <v>1024</v>
      </c>
    </row>
    <row r="13" spans="2:6" ht="31.5" x14ac:dyDescent="0.2">
      <c r="B13" s="653"/>
      <c r="C13" s="655" t="s">
        <v>61</v>
      </c>
      <c r="D13" s="76" t="s">
        <v>1028</v>
      </c>
      <c r="E13" s="77" t="s">
        <v>1029</v>
      </c>
      <c r="F13" s="79" t="s">
        <v>1024</v>
      </c>
    </row>
    <row r="14" spans="2:6" ht="32.25" thickBot="1" x14ac:dyDescent="0.25">
      <c r="B14" s="656"/>
      <c r="C14" s="657"/>
      <c r="D14" s="80" t="s">
        <v>76</v>
      </c>
      <c r="E14" s="81" t="s">
        <v>1030</v>
      </c>
      <c r="F14" s="82" t="s">
        <v>1024</v>
      </c>
    </row>
    <row r="15" spans="2:6" ht="49.5" customHeight="1" x14ac:dyDescent="0.2">
      <c r="B15" s="649" t="s">
        <v>1031</v>
      </c>
      <c r="C15" s="649"/>
      <c r="D15" s="649"/>
      <c r="E15" s="649"/>
      <c r="F15" s="649"/>
    </row>
    <row r="16" spans="2:6" ht="27" customHeight="1" x14ac:dyDescent="0.25">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2578125" defaultRowHeight="15" x14ac:dyDescent="0.25"/>
  <cols>
    <col min="1" max="1" width="40.28515625" customWidth="1"/>
    <col min="2" max="2" width="49.85546875" customWidth="1"/>
    <col min="3" max="5" width="17.42578125" customWidth="1"/>
    <col min="7" max="7" width="38.140625" customWidth="1"/>
    <col min="8" max="8" width="15.7109375" customWidth="1"/>
  </cols>
  <sheetData>
    <row r="1" spans="1:8" x14ac:dyDescent="0.25">
      <c r="A1" s="94" t="s">
        <v>17</v>
      </c>
      <c r="B1" s="99" t="s">
        <v>18</v>
      </c>
      <c r="C1" s="95" t="s">
        <v>25</v>
      </c>
      <c r="D1" s="95" t="s">
        <v>1032</v>
      </c>
      <c r="E1" s="95" t="s">
        <v>27</v>
      </c>
      <c r="H1" s="143" t="s">
        <v>23</v>
      </c>
    </row>
    <row r="2" spans="1:8" ht="30" x14ac:dyDescent="0.25">
      <c r="A2" s="93" t="s">
        <v>1033</v>
      </c>
      <c r="B2" s="100" t="s">
        <v>1034</v>
      </c>
      <c r="C2" s="101" t="s">
        <v>69</v>
      </c>
      <c r="D2" s="101" t="s">
        <v>69</v>
      </c>
      <c r="E2" s="101" t="s">
        <v>69</v>
      </c>
      <c r="G2" s="104" t="s">
        <v>1035</v>
      </c>
      <c r="H2" s="104" t="s">
        <v>67</v>
      </c>
    </row>
    <row r="3" spans="1:8" x14ac:dyDescent="0.25">
      <c r="A3" s="93" t="s">
        <v>1036</v>
      </c>
      <c r="B3" s="100" t="s">
        <v>1037</v>
      </c>
      <c r="C3" s="102" t="s">
        <v>70</v>
      </c>
      <c r="D3" s="102" t="s">
        <v>70</v>
      </c>
      <c r="E3" s="102" t="s">
        <v>70</v>
      </c>
      <c r="G3" s="104" t="s">
        <v>78</v>
      </c>
      <c r="H3" s="104" t="s">
        <v>1038</v>
      </c>
    </row>
    <row r="4" spans="1:8" ht="30" x14ac:dyDescent="0.25">
      <c r="A4" s="93" t="s">
        <v>1039</v>
      </c>
      <c r="B4" s="100" t="s">
        <v>1040</v>
      </c>
      <c r="C4" s="103" t="s">
        <v>1041</v>
      </c>
      <c r="D4" s="103" t="s">
        <v>1041</v>
      </c>
      <c r="E4" s="103" t="s">
        <v>1041</v>
      </c>
      <c r="H4" s="69"/>
    </row>
    <row r="5" spans="1:8" x14ac:dyDescent="0.25">
      <c r="A5" s="93" t="s">
        <v>1042</v>
      </c>
      <c r="B5" s="97" t="s">
        <v>1043</v>
      </c>
    </row>
    <row r="6" spans="1:8" x14ac:dyDescent="0.25">
      <c r="A6" s="93" t="s">
        <v>1044</v>
      </c>
      <c r="B6" s="97" t="s">
        <v>1045</v>
      </c>
    </row>
    <row r="7" spans="1:8" x14ac:dyDescent="0.25">
      <c r="A7" s="93" t="s">
        <v>1046</v>
      </c>
      <c r="B7" s="97" t="s">
        <v>63</v>
      </c>
    </row>
    <row r="8" spans="1:8" x14ac:dyDescent="0.25">
      <c r="A8" s="96" t="s">
        <v>62</v>
      </c>
      <c r="B8" s="97" t="s">
        <v>1047</v>
      </c>
    </row>
    <row r="9" spans="1:8" ht="30" x14ac:dyDescent="0.25">
      <c r="A9" s="96" t="s">
        <v>1048</v>
      </c>
      <c r="B9" s="97" t="s">
        <v>1049</v>
      </c>
    </row>
    <row r="10" spans="1:8" ht="28.5" x14ac:dyDescent="0.25">
      <c r="A10" s="96" t="s">
        <v>1050</v>
      </c>
      <c r="B10" s="98" t="s">
        <v>1051</v>
      </c>
    </row>
    <row r="11" spans="1:8" ht="28.5" x14ac:dyDescent="0.25">
      <c r="A11" s="96" t="s">
        <v>1052</v>
      </c>
      <c r="B11" s="92"/>
    </row>
    <row r="12" spans="1:8" x14ac:dyDescent="0.25">
      <c r="A12" s="96" t="s">
        <v>1053</v>
      </c>
      <c r="B12" s="92"/>
    </row>
    <row r="13" spans="1:8" x14ac:dyDescent="0.25">
      <c r="A13" s="96" t="s">
        <v>1054</v>
      </c>
      <c r="B13" s="92"/>
    </row>
    <row r="14" spans="1:8" x14ac:dyDescent="0.25">
      <c r="A14" s="96" t="s">
        <v>1055</v>
      </c>
    </row>
    <row r="15" spans="1:8" x14ac:dyDescent="0.25">
      <c r="A15" s="96" t="s">
        <v>1056</v>
      </c>
      <c r="B15" s="92"/>
    </row>
    <row r="16" spans="1:8" x14ac:dyDescent="0.25">
      <c r="A16" s="96" t="s">
        <v>1057</v>
      </c>
      <c r="B16" s="92"/>
    </row>
    <row r="17" spans="1:2" x14ac:dyDescent="0.25">
      <c r="A17" s="96" t="s">
        <v>1058</v>
      </c>
    </row>
    <row r="18" spans="1:2" x14ac:dyDescent="0.25">
      <c r="A18" s="96" t="s">
        <v>1059</v>
      </c>
      <c r="B18" s="92"/>
    </row>
    <row r="19" spans="1:2" x14ac:dyDescent="0.25">
      <c r="A19" s="96" t="s">
        <v>1060</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2578125" defaultRowHeight="15" x14ac:dyDescent="0.25"/>
  <cols>
    <col min="9" max="9" width="37.42578125" customWidth="1"/>
  </cols>
  <sheetData>
    <row r="2" spans="2:9" x14ac:dyDescent="0.25">
      <c r="B2" t="s">
        <v>77</v>
      </c>
      <c r="E2" t="s">
        <v>1061</v>
      </c>
      <c r="I2" t="s">
        <v>1062</v>
      </c>
    </row>
    <row r="3" spans="2:9" ht="13.5" customHeight="1" x14ac:dyDescent="0.25">
      <c r="B3" t="s">
        <v>89</v>
      </c>
      <c r="E3" t="s">
        <v>1063</v>
      </c>
      <c r="I3" t="s">
        <v>1064</v>
      </c>
    </row>
    <row r="4" spans="2:9" ht="13.5" customHeight="1" x14ac:dyDescent="0.25">
      <c r="B4" t="s">
        <v>85</v>
      </c>
      <c r="E4" t="s">
        <v>1065</v>
      </c>
      <c r="I4" t="s">
        <v>1066</v>
      </c>
    </row>
    <row r="5" spans="2:9" ht="13.5" customHeight="1" x14ac:dyDescent="0.25">
      <c r="B5" t="s">
        <v>1067</v>
      </c>
    </row>
    <row r="6" spans="2:9" ht="13.5" customHeight="1" x14ac:dyDescent="0.25">
      <c r="I6" t="s">
        <v>75</v>
      </c>
    </row>
    <row r="7" spans="2:9" ht="13.5" customHeight="1" x14ac:dyDescent="0.25">
      <c r="I7" t="s">
        <v>84</v>
      </c>
    </row>
    <row r="8" spans="2:9" ht="13.5" customHeight="1" x14ac:dyDescent="0.25">
      <c r="B8" t="s">
        <v>1068</v>
      </c>
    </row>
    <row r="9" spans="2:9" ht="13.5" customHeight="1" x14ac:dyDescent="0.25">
      <c r="B9" t="s">
        <v>1069</v>
      </c>
    </row>
    <row r="10" spans="2:9" ht="13.5" customHeight="1" x14ac:dyDescent="0.25">
      <c r="B10" t="s">
        <v>1070</v>
      </c>
      <c r="I10" t="s">
        <v>1071</v>
      </c>
    </row>
    <row r="11" spans="2:9" ht="13.5" customHeight="1" x14ac:dyDescent="0.25">
      <c r="I11" t="s">
        <v>1072</v>
      </c>
    </row>
    <row r="13" spans="2:9" x14ac:dyDescent="0.25">
      <c r="B13" t="s">
        <v>1073</v>
      </c>
      <c r="I13" t="s">
        <v>1074</v>
      </c>
    </row>
    <row r="14" spans="2:9" x14ac:dyDescent="0.25">
      <c r="B14" t="s">
        <v>1075</v>
      </c>
      <c r="I14" t="s">
        <v>1076</v>
      </c>
    </row>
    <row r="15" spans="2:9" x14ac:dyDescent="0.25">
      <c r="B15" t="s">
        <v>1077</v>
      </c>
      <c r="I15" t="s">
        <v>1078</v>
      </c>
    </row>
    <row r="16" spans="2:9" x14ac:dyDescent="0.25">
      <c r="B16" t="s">
        <v>1079</v>
      </c>
    </row>
    <row r="17" spans="2:2" x14ac:dyDescent="0.25">
      <c r="B17" t="s">
        <v>1080</v>
      </c>
    </row>
    <row r="18" spans="2:2" x14ac:dyDescent="0.25">
      <c r="B18" t="s">
        <v>1081</v>
      </c>
    </row>
    <row r="19" spans="2:2" x14ac:dyDescent="0.25">
      <c r="B19" t="s">
        <v>1082</v>
      </c>
    </row>
    <row r="21" spans="2:2" x14ac:dyDescent="0.25">
      <c r="B21" t="s">
        <v>112</v>
      </c>
    </row>
    <row r="22" spans="2:2" x14ac:dyDescent="0.25">
      <c r="B22" t="s">
        <v>1083</v>
      </c>
    </row>
    <row r="23" spans="2:2" x14ac:dyDescent="0.25">
      <c r="B23" t="s">
        <v>1084</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2578125" defaultRowHeight="12.75" x14ac:dyDescent="0.2"/>
  <cols>
    <col min="1" max="1" width="32.85546875" style="1" customWidth="1"/>
    <col min="2" max="16384" width="11.42578125" style="1"/>
  </cols>
  <sheetData>
    <row r="3" spans="1:1" x14ac:dyDescent="0.2">
      <c r="A3" s="2" t="s">
        <v>72</v>
      </c>
    </row>
    <row r="4" spans="1:1" x14ac:dyDescent="0.2">
      <c r="A4" s="2" t="s">
        <v>1014</v>
      </c>
    </row>
    <row r="5" spans="1:1" x14ac:dyDescent="0.2">
      <c r="A5" s="2" t="s">
        <v>1016</v>
      </c>
    </row>
    <row r="6" spans="1:1" x14ac:dyDescent="0.2">
      <c r="A6" s="2" t="s">
        <v>1018</v>
      </c>
    </row>
    <row r="7" spans="1:1" x14ac:dyDescent="0.2">
      <c r="A7" s="2" t="s">
        <v>73</v>
      </c>
    </row>
    <row r="8" spans="1:1" x14ac:dyDescent="0.2">
      <c r="A8" s="2" t="s">
        <v>1022</v>
      </c>
    </row>
    <row r="9" spans="1:1" x14ac:dyDescent="0.2">
      <c r="A9" s="2" t="s">
        <v>74</v>
      </c>
    </row>
    <row r="10" spans="1:1" x14ac:dyDescent="0.2">
      <c r="A10" s="2" t="s">
        <v>75</v>
      </c>
    </row>
    <row r="11" spans="1:1" x14ac:dyDescent="0.2">
      <c r="A11" s="2" t="s">
        <v>84</v>
      </c>
    </row>
    <row r="12" spans="1:1" x14ac:dyDescent="0.2">
      <c r="A12" s="2" t="s">
        <v>1085</v>
      </c>
    </row>
    <row r="13" spans="1:1" x14ac:dyDescent="0.2">
      <c r="A13" s="2" t="s">
        <v>1086</v>
      </c>
    </row>
    <row r="14" spans="1:1" x14ac:dyDescent="0.2">
      <c r="A14" s="2" t="s">
        <v>1087</v>
      </c>
    </row>
    <row r="16" spans="1:1" x14ac:dyDescent="0.2">
      <c r="A16" s="2" t="s">
        <v>1088</v>
      </c>
    </row>
    <row r="17" spans="1:1" x14ac:dyDescent="0.2">
      <c r="A17" s="2" t="s">
        <v>77</v>
      </c>
    </row>
    <row r="18" spans="1:1" x14ac:dyDescent="0.2">
      <c r="A18" s="2" t="s">
        <v>89</v>
      </c>
    </row>
    <row r="20" spans="1:1" x14ac:dyDescent="0.2">
      <c r="A20" s="2" t="s">
        <v>1069</v>
      </c>
    </row>
    <row r="21" spans="1:1" x14ac:dyDescent="0.2">
      <c r="A21" s="2" t="s">
        <v>1070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4" ma:contentTypeDescription="Crear nuevo documento." ma:contentTypeScope="" ma:versionID="818a725826e8adf1713f34d11167bda1">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e969552792926b54a65277fbc38a8927"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Reviso" minOccurs="0"/>
                <xsd:element ref="ns2:Aprob_x00f3_" minOccurs="0"/>
                <xsd:element ref="ns2: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Reviso" ma:index="29" nillable="true" ma:displayName="Reviso " ma:description="Quien Revisa" ma:format="Dropdown" ma:list="UserInfo" ma:SharePointGroup="0" ma:internalName="Revis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rob_x00f3_" ma:index="30" nillable="true" ma:displayName="Aprobó" ma:description="Quien Aprobó" ma:format="Dropdown" ma:list="UserInfo" ma:SharePointGroup="0" ma:internalName="Aprob_x00f3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ol" ma:index="31" nillable="true" ma:displayName="Control" ma:default="0" ma:format="Dropdown" ma:internalName="Contro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Aprob_x00f3_ xmlns="94a08013-3499-4e5d-b155-fa81fcf2d04d">
      <UserInfo>
        <DisplayName/>
        <AccountId xsi:nil="true"/>
        <AccountType/>
      </UserInfo>
    </Aprob_x00f3_>
    <Reviso xmlns="94a08013-3499-4e5d-b155-fa81fcf2d04d">
      <UserInfo>
        <DisplayName/>
        <AccountId xsi:nil="true"/>
        <AccountType/>
      </UserInfo>
    </Reviso>
    <Control xmlns="94a08013-3499-4e5d-b155-fa81fcf2d04d">false</Control>
  </documentManagement>
</p:properties>
</file>

<file path=customXml/itemProps1.xml><?xml version="1.0" encoding="utf-8"?>
<ds:datastoreItem xmlns:ds="http://schemas.openxmlformats.org/officeDocument/2006/customXml" ds:itemID="{A20A35E2-4773-4963-BB69-5D6DCD773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3.xml><?xml version="1.0" encoding="utf-8"?>
<ds:datastoreItem xmlns:ds="http://schemas.openxmlformats.org/officeDocument/2006/customXml" ds:itemID="{79152EDC-1310-4014-AADB-F1E941CE0401}">
  <ds:schemaRefs>
    <ds:schemaRef ds:uri="http://schemas.microsoft.com/office/2006/metadata/properties"/>
    <ds:schemaRef ds:uri="http://schemas.microsoft.com/office/infopath/2007/PartnerControls"/>
    <ds:schemaRef ds:uri="94a08013-3499-4e5d-b155-fa81fcf2d04d"/>
    <ds:schemaRef ds:uri="http://schemas.microsoft.com/sharepoint/v3"/>
    <ds:schemaRef ds:uri="435a11ef-c2bf-4d1e-b58b-639ade20a3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Karol Isabel Suarez Mora</cp:lastModifiedBy>
  <cp:revision/>
  <dcterms:created xsi:type="dcterms:W3CDTF">2020-03-24T23:12:47Z</dcterms:created>
  <dcterms:modified xsi:type="dcterms:W3CDTF">2025-11-07T17:54:50Z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ies>
</file>